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7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Dr. Lobo\Downloads\"/>
    </mc:Choice>
  </mc:AlternateContent>
  <xr:revisionPtr revIDLastSave="0" documentId="8_{C09EB6EF-49D4-448C-BD86-BB92943BB164}" xr6:coauthVersionLast="47" xr6:coauthVersionMax="47" xr10:uidLastSave="{00000000-0000-0000-0000-000000000000}"/>
  <bookViews>
    <workbookView xWindow="-120" yWindow="-120" windowWidth="38640" windowHeight="15840" activeTab="3" xr2:uid="{00000000-000D-0000-FFFF-FFFF00000000}"/>
  </bookViews>
  <sheets>
    <sheet name="OAN DATABASE" sheetId="2" r:id="rId1"/>
    <sheet name="AGUILAR DATABASE" sheetId="6" r:id="rId2"/>
    <sheet name="Sheet2" sheetId="4" r:id="rId3"/>
    <sheet name="COMPILED" sheetId="1" r:id="rId4"/>
    <sheet name="Prism Correction" sheetId="25" r:id="rId5"/>
    <sheet name="Luders" sheetId="24" r:id="rId6"/>
    <sheet name="Haider" sheetId="23" r:id="rId7"/>
    <sheet name="Lists" sheetId="5" r:id="rId8"/>
    <sheet name="Voon" sheetId="21" r:id="rId9"/>
    <sheet name="ChenHidalgo" sheetId="20" r:id="rId10"/>
    <sheet name="Minaie" sheetId="19" r:id="rId11"/>
    <sheet name="Ghanem" sheetId="18" r:id="rId12"/>
    <sheet name="Schultz" sheetId="17" r:id="rId13"/>
    <sheet name="BaenzigerPorter" sheetId="16" r:id="rId14"/>
    <sheet name="Elmapruk" sheetId="15" r:id="rId15"/>
    <sheet name="Maleki" sheetId="14" r:id="rId16"/>
    <sheet name="Matsumara" sheetId="7" r:id="rId17"/>
    <sheet name="Oan" sheetId="8" r:id="rId18"/>
    <sheet name="Nolph" sheetId="10" r:id="rId19"/>
    <sheet name="YanceyScribner" sheetId="11" r:id="rId20"/>
    <sheet name="Scrivener" sheetId="12" r:id="rId21"/>
    <sheet name="Ramirez" sheetId="13" r:id="rId22"/>
  </sheets>
  <definedNames>
    <definedName name="_xlnm._FilterDatabase" localSheetId="1" hidden="1">'AGUILAR DATABASE'!$A$1:$CF$260</definedName>
    <definedName name="_xlnm._FilterDatabase" localSheetId="3" hidden="1">COMPILED!$A$8:$AR$8</definedName>
    <definedName name="_xlnm._FilterDatabase" localSheetId="0" hidden="1">'OAN DATABASE'!$A$1:$P$198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G181" i="1" l="1"/>
  <c r="AG180" i="1"/>
  <c r="AG178" i="1"/>
  <c r="AE181" i="1"/>
  <c r="AE179" i="1"/>
  <c r="AG179" i="1" s="1"/>
  <c r="AG177" i="1"/>
  <c r="AG176" i="1"/>
  <c r="AG175" i="1"/>
  <c r="AG174" i="1"/>
  <c r="AE177" i="1"/>
  <c r="AE176" i="1"/>
  <c r="AE175" i="1"/>
  <c r="AE174" i="1"/>
  <c r="AG173" i="1"/>
  <c r="AE172" i="1"/>
  <c r="AG172" i="1" s="1"/>
  <c r="AE173" i="1"/>
  <c r="AG166" i="1"/>
  <c r="AE167" i="1"/>
  <c r="AG167" i="1" s="1"/>
  <c r="AE168" i="1"/>
  <c r="AG168" i="1" s="1"/>
  <c r="AE169" i="1"/>
  <c r="AG169" i="1" s="1"/>
  <c r="AE170" i="1"/>
  <c r="AG170" i="1" s="1"/>
  <c r="AE171" i="1"/>
  <c r="AG171" i="1" s="1"/>
  <c r="AE166" i="1"/>
  <c r="AG165" i="1"/>
  <c r="AG164" i="1"/>
  <c r="AG163" i="1"/>
  <c r="AE165" i="1"/>
  <c r="AE164" i="1"/>
  <c r="AE163" i="1"/>
  <c r="AE162" i="1"/>
  <c r="AG162" i="1" s="1"/>
  <c r="AE161" i="1"/>
  <c r="AG161" i="1" s="1"/>
  <c r="AE160" i="1"/>
  <c r="AG160" i="1" s="1"/>
  <c r="AE157" i="1"/>
  <c r="AG157" i="1" s="1"/>
  <c r="AE155" i="1"/>
  <c r="AG155" i="1" s="1"/>
  <c r="AE152" i="1"/>
  <c r="AG152" i="1" s="1"/>
  <c r="AG145" i="1"/>
  <c r="AG144" i="1"/>
  <c r="AG143" i="1"/>
  <c r="AE145" i="1"/>
  <c r="AE144" i="1"/>
  <c r="AE143" i="1"/>
  <c r="AE142" i="1"/>
  <c r="AG142" i="1" s="1"/>
  <c r="AE141" i="1"/>
  <c r="AG141" i="1" s="1"/>
  <c r="AG126" i="1"/>
  <c r="AG125" i="1"/>
  <c r="AG124" i="1"/>
  <c r="AG120" i="1"/>
  <c r="AG119" i="1"/>
  <c r="AE130" i="1"/>
  <c r="AG130" i="1" s="1"/>
  <c r="AE129" i="1"/>
  <c r="AG129" i="1" s="1"/>
  <c r="AE128" i="1"/>
  <c r="AG128" i="1" s="1"/>
  <c r="AE127" i="1"/>
  <c r="AG127" i="1" s="1"/>
  <c r="AE123" i="1"/>
  <c r="AG123" i="1" s="1"/>
  <c r="AE122" i="1"/>
  <c r="AG122" i="1" s="1"/>
  <c r="AE121" i="1"/>
  <c r="AG121" i="1" s="1"/>
  <c r="AG115" i="1"/>
  <c r="AG114" i="1"/>
  <c r="AG112" i="1"/>
  <c r="AG109" i="1"/>
  <c r="AF117" i="1"/>
  <c r="AG117" i="1" s="1"/>
  <c r="AF116" i="1"/>
  <c r="AG116" i="1" s="1"/>
  <c r="AF111" i="1"/>
  <c r="AG111" i="1" s="1"/>
  <c r="AE112" i="1"/>
  <c r="AE113" i="1"/>
  <c r="AG113" i="1" s="1"/>
  <c r="AE114" i="1"/>
  <c r="AE115" i="1"/>
  <c r="AE116" i="1"/>
  <c r="AE117" i="1"/>
  <c r="AE118" i="1"/>
  <c r="AG118" i="1" s="1"/>
  <c r="AF110" i="1"/>
  <c r="AG110" i="1" s="1"/>
  <c r="AG105" i="1"/>
  <c r="AG106" i="1"/>
  <c r="AG107" i="1"/>
  <c r="AG108" i="1"/>
  <c r="AG104" i="1"/>
  <c r="AG11" i="1"/>
  <c r="AG12" i="1"/>
  <c r="AG15" i="1"/>
  <c r="AG19" i="1"/>
  <c r="AG20" i="1"/>
  <c r="AG23" i="1"/>
  <c r="AG27" i="1"/>
  <c r="AG28" i="1"/>
  <c r="AG31" i="1"/>
  <c r="AG35" i="1"/>
  <c r="AG36" i="1"/>
  <c r="AF10" i="1"/>
  <c r="AG10" i="1" s="1"/>
  <c r="AF11" i="1"/>
  <c r="AF12" i="1"/>
  <c r="AF13" i="1"/>
  <c r="AG13" i="1" s="1"/>
  <c r="AF14" i="1"/>
  <c r="AG14" i="1" s="1"/>
  <c r="AF15" i="1"/>
  <c r="AF16" i="1"/>
  <c r="AG16" i="1" s="1"/>
  <c r="AF17" i="1"/>
  <c r="AG17" i="1" s="1"/>
  <c r="AF18" i="1"/>
  <c r="AG18" i="1" s="1"/>
  <c r="AF19" i="1"/>
  <c r="AF20" i="1"/>
  <c r="AF21" i="1"/>
  <c r="AG21" i="1" s="1"/>
  <c r="AF22" i="1"/>
  <c r="AG22" i="1" s="1"/>
  <c r="AF23" i="1"/>
  <c r="AF24" i="1"/>
  <c r="AG24" i="1" s="1"/>
  <c r="AF25" i="1"/>
  <c r="AG25" i="1" s="1"/>
  <c r="AF26" i="1"/>
  <c r="AG26" i="1" s="1"/>
  <c r="AF27" i="1"/>
  <c r="AF28" i="1"/>
  <c r="AF29" i="1"/>
  <c r="AG29" i="1" s="1"/>
  <c r="AF30" i="1"/>
  <c r="AG30" i="1" s="1"/>
  <c r="AF31" i="1"/>
  <c r="AF32" i="1"/>
  <c r="AG32" i="1" s="1"/>
  <c r="AF33" i="1"/>
  <c r="AG33" i="1" s="1"/>
  <c r="AF34" i="1"/>
  <c r="AG34" i="1" s="1"/>
  <c r="AF35" i="1"/>
  <c r="AF36" i="1"/>
  <c r="AF37" i="1"/>
  <c r="AG37" i="1" s="1"/>
  <c r="AF9" i="1"/>
  <c r="AG9" i="1" s="1"/>
  <c r="C25" i="4"/>
  <c r="AQ191" i="1"/>
  <c r="AQ190" i="1"/>
  <c r="AQ189" i="1"/>
  <c r="AQ188" i="1"/>
  <c r="AQ187" i="1"/>
  <c r="AQ186" i="1"/>
  <c r="AQ185" i="1"/>
  <c r="AQ184" i="1"/>
  <c r="AC191" i="1"/>
  <c r="AC190" i="1"/>
  <c r="AC189" i="1"/>
  <c r="AC188" i="1"/>
  <c r="AC187" i="1"/>
  <c r="AC186" i="1"/>
  <c r="AC185" i="1"/>
  <c r="AC184" i="1"/>
  <c r="Y185" i="1"/>
  <c r="Y186" i="1"/>
  <c r="Y187" i="1"/>
  <c r="Y188" i="1"/>
  <c r="Y189" i="1"/>
  <c r="Y190" i="1"/>
  <c r="Y191" i="1"/>
  <c r="Y184" i="1"/>
  <c r="O191" i="1"/>
  <c r="O190" i="1"/>
  <c r="O189" i="1"/>
  <c r="O188" i="1"/>
  <c r="O187" i="1"/>
  <c r="O186" i="1"/>
  <c r="O185" i="1"/>
  <c r="O184" i="1"/>
  <c r="N185" i="1"/>
  <c r="AR185" i="1" s="1"/>
  <c r="N186" i="1"/>
  <c r="AR186" i="1" s="1"/>
  <c r="N187" i="1"/>
  <c r="AR187" i="1" s="1"/>
  <c r="N188" i="1"/>
  <c r="AR188" i="1" s="1"/>
  <c r="N189" i="1"/>
  <c r="AR189" i="1" s="1"/>
  <c r="N190" i="1"/>
  <c r="AR190" i="1" s="1"/>
  <c r="N191" i="1"/>
  <c r="AR191" i="1" s="1"/>
  <c r="N184" i="1"/>
  <c r="AR184" i="1" s="1"/>
  <c r="N176" i="1"/>
  <c r="P184" i="1" l="1"/>
  <c r="S184" i="1" s="1"/>
  <c r="P185" i="1"/>
  <c r="S185" i="1" s="1"/>
  <c r="P188" i="1"/>
  <c r="S188" i="1" s="1"/>
  <c r="P189" i="1"/>
  <c r="S189" i="1" s="1"/>
  <c r="Z188" i="1"/>
  <c r="P186" i="1"/>
  <c r="S186" i="1" s="1"/>
  <c r="P190" i="1"/>
  <c r="S190" i="1" s="1"/>
  <c r="P187" i="1"/>
  <c r="S187" i="1" s="1"/>
  <c r="P191" i="1"/>
  <c r="S191" i="1" s="1"/>
  <c r="N180" i="1"/>
  <c r="L184" i="1"/>
  <c r="L185" i="1"/>
  <c r="L186" i="1"/>
  <c r="L187" i="1"/>
  <c r="L188" i="1"/>
  <c r="L189" i="1"/>
  <c r="L190" i="1"/>
  <c r="L191" i="1"/>
  <c r="K184" i="1"/>
  <c r="Z184" i="1" s="1"/>
  <c r="K185" i="1"/>
  <c r="Z185" i="1" s="1"/>
  <c r="K186" i="1"/>
  <c r="Z186" i="1" s="1"/>
  <c r="K187" i="1"/>
  <c r="Z187" i="1" s="1"/>
  <c r="K188" i="1"/>
  <c r="K189" i="1"/>
  <c r="Z189" i="1" s="1"/>
  <c r="K190" i="1"/>
  <c r="Z190" i="1" s="1"/>
  <c r="K191" i="1"/>
  <c r="Z191" i="1" s="1"/>
  <c r="I184" i="1"/>
  <c r="I185" i="1"/>
  <c r="I186" i="1"/>
  <c r="I187" i="1"/>
  <c r="I188" i="1"/>
  <c r="I189" i="1"/>
  <c r="I190" i="1"/>
  <c r="I191" i="1"/>
  <c r="G184" i="1"/>
  <c r="M184" i="1" s="1"/>
  <c r="AB184" i="1" s="1"/>
  <c r="G185" i="1"/>
  <c r="M185" i="1" s="1"/>
  <c r="AB185" i="1" s="1"/>
  <c r="G186" i="1"/>
  <c r="M186" i="1" s="1"/>
  <c r="AB186" i="1" s="1"/>
  <c r="G187" i="1"/>
  <c r="M187" i="1" s="1"/>
  <c r="AB187" i="1" s="1"/>
  <c r="G188" i="1"/>
  <c r="M188" i="1" s="1"/>
  <c r="AB188" i="1" s="1"/>
  <c r="G189" i="1"/>
  <c r="M189" i="1" s="1"/>
  <c r="AB189" i="1" s="1"/>
  <c r="G190" i="1"/>
  <c r="M190" i="1" s="1"/>
  <c r="AB190" i="1" s="1"/>
  <c r="G191" i="1"/>
  <c r="M191" i="1" s="1"/>
  <c r="AB191" i="1" s="1"/>
  <c r="B25" i="4" l="1"/>
  <c r="AT9" i="1" l="1"/>
  <c r="G175" i="1" l="1"/>
  <c r="M175" i="1" s="1"/>
  <c r="G176" i="1"/>
  <c r="M176" i="1" s="1"/>
  <c r="G177" i="1"/>
  <c r="M177" i="1" s="1"/>
  <c r="G182" i="1"/>
  <c r="M182" i="1" s="1"/>
  <c r="G183" i="1"/>
  <c r="M183" i="1" s="1"/>
  <c r="G10" i="1"/>
  <c r="M10" i="1" s="1"/>
  <c r="G11" i="1"/>
  <c r="M11" i="1" s="1"/>
  <c r="G12" i="1"/>
  <c r="M12" i="1" s="1"/>
  <c r="G13" i="1"/>
  <c r="M13" i="1" s="1"/>
  <c r="G14" i="1"/>
  <c r="G15" i="1"/>
  <c r="M15" i="1" s="1"/>
  <c r="G16" i="1"/>
  <c r="M16" i="1" s="1"/>
  <c r="G17" i="1"/>
  <c r="M17" i="1" s="1"/>
  <c r="G18" i="1"/>
  <c r="G19" i="1"/>
  <c r="G20" i="1"/>
  <c r="M20" i="1" s="1"/>
  <c r="G21" i="1"/>
  <c r="M21" i="1" s="1"/>
  <c r="G22" i="1"/>
  <c r="M22" i="1" s="1"/>
  <c r="G23" i="1"/>
  <c r="M23" i="1" s="1"/>
  <c r="G24" i="1"/>
  <c r="M24" i="1" s="1"/>
  <c r="G25" i="1"/>
  <c r="M25" i="1" s="1"/>
  <c r="G26" i="1"/>
  <c r="G27" i="1"/>
  <c r="G28" i="1"/>
  <c r="M28" i="1" s="1"/>
  <c r="G29" i="1"/>
  <c r="M29" i="1" s="1"/>
  <c r="G30" i="1"/>
  <c r="M30" i="1" s="1"/>
  <c r="G31" i="1"/>
  <c r="M31" i="1" s="1"/>
  <c r="G32" i="1"/>
  <c r="M32" i="1" s="1"/>
  <c r="G33" i="1"/>
  <c r="M33" i="1" s="1"/>
  <c r="G34" i="1"/>
  <c r="G35" i="1"/>
  <c r="M35" i="1" s="1"/>
  <c r="G36" i="1"/>
  <c r="M36" i="1" s="1"/>
  <c r="G37" i="1"/>
  <c r="M37" i="1" s="1"/>
  <c r="G38" i="1"/>
  <c r="M38" i="1" s="1"/>
  <c r="G39" i="1"/>
  <c r="M39" i="1" s="1"/>
  <c r="G40" i="1"/>
  <c r="M40" i="1" s="1"/>
  <c r="G41" i="1"/>
  <c r="M41" i="1" s="1"/>
  <c r="G42" i="1"/>
  <c r="G43" i="1"/>
  <c r="M43" i="1" s="1"/>
  <c r="G44" i="1"/>
  <c r="M44" i="1" s="1"/>
  <c r="G45" i="1"/>
  <c r="M45" i="1" s="1"/>
  <c r="G46" i="1"/>
  <c r="M46" i="1" s="1"/>
  <c r="G47" i="1"/>
  <c r="M47" i="1" s="1"/>
  <c r="G48" i="1"/>
  <c r="M48" i="1" s="1"/>
  <c r="G49" i="1"/>
  <c r="M49" i="1" s="1"/>
  <c r="G50" i="1"/>
  <c r="M50" i="1" s="1"/>
  <c r="G51" i="1"/>
  <c r="M51" i="1" s="1"/>
  <c r="G52" i="1"/>
  <c r="M52" i="1" s="1"/>
  <c r="G53" i="1"/>
  <c r="M53" i="1" s="1"/>
  <c r="G54" i="1"/>
  <c r="G55" i="1"/>
  <c r="G56" i="1"/>
  <c r="M56" i="1" s="1"/>
  <c r="G57" i="1"/>
  <c r="M57" i="1" s="1"/>
  <c r="G58" i="1"/>
  <c r="M58" i="1" s="1"/>
  <c r="G59" i="1"/>
  <c r="M59" i="1" s="1"/>
  <c r="G60" i="1"/>
  <c r="M60" i="1" s="1"/>
  <c r="G61" i="1"/>
  <c r="M61" i="1" s="1"/>
  <c r="G62" i="1"/>
  <c r="G63" i="1"/>
  <c r="G64" i="1"/>
  <c r="M64" i="1" s="1"/>
  <c r="G65" i="1"/>
  <c r="M65" i="1" s="1"/>
  <c r="G66" i="1"/>
  <c r="M66" i="1" s="1"/>
  <c r="G67" i="1"/>
  <c r="M67" i="1" s="1"/>
  <c r="G68" i="1"/>
  <c r="M68" i="1" s="1"/>
  <c r="G69" i="1"/>
  <c r="M69" i="1" s="1"/>
  <c r="G70" i="1"/>
  <c r="G71" i="1"/>
  <c r="M71" i="1" s="1"/>
  <c r="G72" i="1"/>
  <c r="M72" i="1" s="1"/>
  <c r="G73" i="1"/>
  <c r="M73" i="1" s="1"/>
  <c r="G74" i="1"/>
  <c r="M74" i="1" s="1"/>
  <c r="G75" i="1"/>
  <c r="M75" i="1" s="1"/>
  <c r="G76" i="1"/>
  <c r="M76" i="1" s="1"/>
  <c r="G77" i="1"/>
  <c r="M77" i="1" s="1"/>
  <c r="G78" i="1"/>
  <c r="G79" i="1"/>
  <c r="M79" i="1" s="1"/>
  <c r="G80" i="1"/>
  <c r="M80" i="1" s="1"/>
  <c r="G81" i="1"/>
  <c r="M81" i="1" s="1"/>
  <c r="G82" i="1"/>
  <c r="G83" i="1"/>
  <c r="G84" i="1"/>
  <c r="M84" i="1" s="1"/>
  <c r="G85" i="1"/>
  <c r="M85" i="1" s="1"/>
  <c r="G86" i="1"/>
  <c r="M86" i="1" s="1"/>
  <c r="G87" i="1"/>
  <c r="M87" i="1" s="1"/>
  <c r="G88" i="1"/>
  <c r="M88" i="1" s="1"/>
  <c r="G89" i="1"/>
  <c r="M89" i="1" s="1"/>
  <c r="G90" i="1"/>
  <c r="G91" i="1"/>
  <c r="G92" i="1"/>
  <c r="M92" i="1" s="1"/>
  <c r="G93" i="1"/>
  <c r="M93" i="1" s="1"/>
  <c r="G94" i="1"/>
  <c r="M94" i="1" s="1"/>
  <c r="G95" i="1"/>
  <c r="M95" i="1" s="1"/>
  <c r="G96" i="1"/>
  <c r="M96" i="1" s="1"/>
  <c r="G97" i="1"/>
  <c r="M97" i="1" s="1"/>
  <c r="G98" i="1"/>
  <c r="G99" i="1"/>
  <c r="M99" i="1" s="1"/>
  <c r="G100" i="1"/>
  <c r="M100" i="1" s="1"/>
  <c r="G101" i="1"/>
  <c r="M101" i="1" s="1"/>
  <c r="G102" i="1"/>
  <c r="M102" i="1" s="1"/>
  <c r="G103" i="1"/>
  <c r="M103" i="1" s="1"/>
  <c r="G104" i="1"/>
  <c r="M104" i="1" s="1"/>
  <c r="G105" i="1"/>
  <c r="M105" i="1" s="1"/>
  <c r="G106" i="1"/>
  <c r="G107" i="1"/>
  <c r="M107" i="1" s="1"/>
  <c r="G108" i="1"/>
  <c r="M108" i="1" s="1"/>
  <c r="G131" i="1"/>
  <c r="G132" i="1"/>
  <c r="M132" i="1" s="1"/>
  <c r="G133" i="1"/>
  <c r="M133" i="1" s="1"/>
  <c r="G134" i="1"/>
  <c r="M134" i="1" s="1"/>
  <c r="G135" i="1"/>
  <c r="G136" i="1"/>
  <c r="M136" i="1" s="1"/>
  <c r="G137" i="1"/>
  <c r="M137" i="1" s="1"/>
  <c r="G138" i="1"/>
  <c r="M138" i="1" s="1"/>
  <c r="G139" i="1"/>
  <c r="G140" i="1"/>
  <c r="M140" i="1" s="1"/>
  <c r="G141" i="1"/>
  <c r="M141" i="1" s="1"/>
  <c r="G142" i="1"/>
  <c r="M142" i="1" s="1"/>
  <c r="G143" i="1"/>
  <c r="G144" i="1"/>
  <c r="M144" i="1" s="1"/>
  <c r="G145" i="1"/>
  <c r="M145" i="1" s="1"/>
  <c r="G152" i="1"/>
  <c r="M152" i="1" s="1"/>
  <c r="G153" i="1"/>
  <c r="M153" i="1" s="1"/>
  <c r="G154" i="1"/>
  <c r="M154" i="1" s="1"/>
  <c r="G155" i="1"/>
  <c r="M155" i="1" s="1"/>
  <c r="G156" i="1"/>
  <c r="M156" i="1" s="1"/>
  <c r="G157" i="1"/>
  <c r="M157" i="1" s="1"/>
  <c r="G158" i="1"/>
  <c r="G159" i="1"/>
  <c r="M159" i="1" s="1"/>
  <c r="G160" i="1"/>
  <c r="M160" i="1" s="1"/>
  <c r="G161" i="1"/>
  <c r="M161" i="1" s="1"/>
  <c r="G162" i="1"/>
  <c r="G163" i="1"/>
  <c r="G164" i="1"/>
  <c r="M164" i="1" s="1"/>
  <c r="G165" i="1"/>
  <c r="M165" i="1" s="1"/>
  <c r="G166" i="1"/>
  <c r="M166" i="1" s="1"/>
  <c r="G167" i="1"/>
  <c r="M167" i="1" s="1"/>
  <c r="G168" i="1"/>
  <c r="M168" i="1" s="1"/>
  <c r="G169" i="1"/>
  <c r="M169" i="1" s="1"/>
  <c r="G170" i="1"/>
  <c r="G171" i="1"/>
  <c r="G9" i="1"/>
  <c r="M9" i="1" s="1"/>
  <c r="M14" i="1"/>
  <c r="M18" i="1"/>
  <c r="M19" i="1"/>
  <c r="M26" i="1"/>
  <c r="M27" i="1"/>
  <c r="M34" i="1"/>
  <c r="M42" i="1"/>
  <c r="M54" i="1"/>
  <c r="M55" i="1"/>
  <c r="M62" i="1"/>
  <c r="M63" i="1"/>
  <c r="M70" i="1"/>
  <c r="M78" i="1"/>
  <c r="M82" i="1"/>
  <c r="M83" i="1"/>
  <c r="M90" i="1"/>
  <c r="M91" i="1"/>
  <c r="M98" i="1"/>
  <c r="M106" i="1"/>
  <c r="M131" i="1"/>
  <c r="M135" i="1"/>
  <c r="M139" i="1"/>
  <c r="M143" i="1"/>
  <c r="M158" i="1"/>
  <c r="M162" i="1"/>
  <c r="M163" i="1"/>
  <c r="M170" i="1"/>
  <c r="M171" i="1"/>
  <c r="L10" i="1"/>
  <c r="L11" i="1"/>
  <c r="L12" i="1"/>
  <c r="L13" i="1"/>
  <c r="L14" i="1"/>
  <c r="L15" i="1"/>
  <c r="L16" i="1"/>
  <c r="L17" i="1"/>
  <c r="L18" i="1"/>
  <c r="L19" i="1"/>
  <c r="L20" i="1"/>
  <c r="L21" i="1"/>
  <c r="L22" i="1"/>
  <c r="L23" i="1"/>
  <c r="L24" i="1"/>
  <c r="L25" i="1"/>
  <c r="L26" i="1"/>
  <c r="L27" i="1"/>
  <c r="L28" i="1"/>
  <c r="L29" i="1"/>
  <c r="L30" i="1"/>
  <c r="L31" i="1"/>
  <c r="L32" i="1"/>
  <c r="L33" i="1"/>
  <c r="L34" i="1"/>
  <c r="L35" i="1"/>
  <c r="L36" i="1"/>
  <c r="L37" i="1"/>
  <c r="L38" i="1"/>
  <c r="L39" i="1"/>
  <c r="L40" i="1"/>
  <c r="L41" i="1"/>
  <c r="L42" i="1"/>
  <c r="L43" i="1"/>
  <c r="L44" i="1"/>
  <c r="L45" i="1"/>
  <c r="L46" i="1"/>
  <c r="L47" i="1"/>
  <c r="L48" i="1"/>
  <c r="L49" i="1"/>
  <c r="L50" i="1"/>
  <c r="L51" i="1"/>
  <c r="L52" i="1"/>
  <c r="L53" i="1"/>
  <c r="L54" i="1"/>
  <c r="L55" i="1"/>
  <c r="L56" i="1"/>
  <c r="L57" i="1"/>
  <c r="L58" i="1"/>
  <c r="L59" i="1"/>
  <c r="L60" i="1"/>
  <c r="L61" i="1"/>
  <c r="L62" i="1"/>
  <c r="L63" i="1"/>
  <c r="L64" i="1"/>
  <c r="L65" i="1"/>
  <c r="L66" i="1"/>
  <c r="L67" i="1"/>
  <c r="L68" i="1"/>
  <c r="L69" i="1"/>
  <c r="L70" i="1"/>
  <c r="L71" i="1"/>
  <c r="L72" i="1"/>
  <c r="L73" i="1"/>
  <c r="L74" i="1"/>
  <c r="L75" i="1"/>
  <c r="L76" i="1"/>
  <c r="L77" i="1"/>
  <c r="L78" i="1"/>
  <c r="L79" i="1"/>
  <c r="L80" i="1"/>
  <c r="L81" i="1"/>
  <c r="L82" i="1"/>
  <c r="L83" i="1"/>
  <c r="L84" i="1"/>
  <c r="L85" i="1"/>
  <c r="L86" i="1"/>
  <c r="L87" i="1"/>
  <c r="L88" i="1"/>
  <c r="L89" i="1"/>
  <c r="L90" i="1"/>
  <c r="L91" i="1"/>
  <c r="L92" i="1"/>
  <c r="L93" i="1"/>
  <c r="L94" i="1"/>
  <c r="L95" i="1"/>
  <c r="L96" i="1"/>
  <c r="L97" i="1"/>
  <c r="L98" i="1"/>
  <c r="L99" i="1"/>
  <c r="L100" i="1"/>
  <c r="L101" i="1"/>
  <c r="L102" i="1"/>
  <c r="L103" i="1"/>
  <c r="L104" i="1"/>
  <c r="L105" i="1"/>
  <c r="L106" i="1"/>
  <c r="L107" i="1"/>
  <c r="L108" i="1"/>
  <c r="L131" i="1"/>
  <c r="L132" i="1"/>
  <c r="L133" i="1"/>
  <c r="L134" i="1"/>
  <c r="L135" i="1"/>
  <c r="L136" i="1"/>
  <c r="L137" i="1"/>
  <c r="L138" i="1"/>
  <c r="L139" i="1"/>
  <c r="L140" i="1"/>
  <c r="L141" i="1"/>
  <c r="L142" i="1"/>
  <c r="L143" i="1"/>
  <c r="L144" i="1"/>
  <c r="L145" i="1"/>
  <c r="L152" i="1"/>
  <c r="L153" i="1"/>
  <c r="L154" i="1"/>
  <c r="L155" i="1"/>
  <c r="L156" i="1"/>
  <c r="L157" i="1"/>
  <c r="L158" i="1"/>
  <c r="L159" i="1"/>
  <c r="L160" i="1"/>
  <c r="L161" i="1"/>
  <c r="L162" i="1"/>
  <c r="L163" i="1"/>
  <c r="L164" i="1"/>
  <c r="L165" i="1"/>
  <c r="L166" i="1"/>
  <c r="L167" i="1"/>
  <c r="L168" i="1"/>
  <c r="L169" i="1"/>
  <c r="L170" i="1"/>
  <c r="L171" i="1"/>
  <c r="L174" i="1"/>
  <c r="L175" i="1"/>
  <c r="L176" i="1"/>
  <c r="L177" i="1"/>
  <c r="L182" i="1"/>
  <c r="L183" i="1"/>
  <c r="L9" i="1"/>
  <c r="G174" i="1"/>
  <c r="M174" i="1" s="1"/>
  <c r="K183" i="1" l="1"/>
  <c r="K182" i="1"/>
  <c r="K177" i="1"/>
  <c r="K176" i="1"/>
  <c r="K175" i="1"/>
  <c r="K174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AC130" i="1"/>
  <c r="AC129" i="1"/>
  <c r="AC122" i="1"/>
  <c r="AC120" i="1"/>
  <c r="N183" i="1" l="1"/>
  <c r="AR183" i="1" s="1"/>
  <c r="N182" i="1"/>
  <c r="AR182" i="1" s="1"/>
  <c r="O183" i="1"/>
  <c r="O182" i="1"/>
  <c r="AQ183" i="1"/>
  <c r="AQ182" i="1"/>
  <c r="AM183" i="1"/>
  <c r="AM182" i="1"/>
  <c r="AD183" i="1"/>
  <c r="AD182" i="1"/>
  <c r="Y183" i="1"/>
  <c r="Z183" i="1" s="1"/>
  <c r="Y182" i="1"/>
  <c r="Z182" i="1" s="1"/>
  <c r="AB183" i="1"/>
  <c r="AB182" i="1"/>
  <c r="I183" i="1"/>
  <c r="I182" i="1"/>
  <c r="N181" i="1"/>
  <c r="N178" i="1"/>
  <c r="N179" i="1"/>
  <c r="AI181" i="1"/>
  <c r="AI179" i="1"/>
  <c r="AD181" i="1"/>
  <c r="AD180" i="1"/>
  <c r="AD179" i="1"/>
  <c r="Y181" i="1"/>
  <c r="Y180" i="1"/>
  <c r="Y179" i="1"/>
  <c r="AA181" i="1"/>
  <c r="AA180" i="1"/>
  <c r="AA179" i="1"/>
  <c r="R179" i="1"/>
  <c r="R180" i="1"/>
  <c r="R181" i="1"/>
  <c r="R178" i="1"/>
  <c r="T179" i="1"/>
  <c r="T180" i="1"/>
  <c r="T181" i="1"/>
  <c r="T178" i="1"/>
  <c r="J179" i="1"/>
  <c r="J180" i="1"/>
  <c r="J181" i="1"/>
  <c r="J178" i="1"/>
  <c r="H179" i="1"/>
  <c r="K179" i="1" s="1"/>
  <c r="H180" i="1"/>
  <c r="H181" i="1"/>
  <c r="K181" i="1" s="1"/>
  <c r="H178" i="1"/>
  <c r="K178" i="1" s="1"/>
  <c r="F179" i="1"/>
  <c r="AL179" i="1" s="1"/>
  <c r="F180" i="1"/>
  <c r="F181" i="1"/>
  <c r="AL181" i="1" s="1"/>
  <c r="F178" i="1"/>
  <c r="AQ177" i="1"/>
  <c r="AQ176" i="1"/>
  <c r="AQ175" i="1"/>
  <c r="AQ174" i="1"/>
  <c r="AL177" i="1"/>
  <c r="AH177" i="1" s="1"/>
  <c r="AJ177" i="1" s="1"/>
  <c r="AL176" i="1"/>
  <c r="AH176" i="1" s="1"/>
  <c r="AJ176" i="1" s="1"/>
  <c r="AL175" i="1"/>
  <c r="AH175" i="1" s="1"/>
  <c r="AJ175" i="1" s="1"/>
  <c r="AL174" i="1"/>
  <c r="AH174" i="1" s="1"/>
  <c r="AJ174" i="1" s="1"/>
  <c r="Y177" i="1"/>
  <c r="Z177" i="1" s="1"/>
  <c r="Y176" i="1"/>
  <c r="Z176" i="1" s="1"/>
  <c r="Y175" i="1"/>
  <c r="Z175" i="1" s="1"/>
  <c r="Y174" i="1"/>
  <c r="Z174" i="1" s="1"/>
  <c r="N175" i="1"/>
  <c r="AM176" i="1"/>
  <c r="N177" i="1"/>
  <c r="AM177" i="1" s="1"/>
  <c r="N174" i="1"/>
  <c r="AR174" i="1" s="1"/>
  <c r="O177" i="1"/>
  <c r="O176" i="1"/>
  <c r="O175" i="1"/>
  <c r="O174" i="1"/>
  <c r="AB177" i="1"/>
  <c r="AB176" i="1"/>
  <c r="AB175" i="1"/>
  <c r="AB174" i="1"/>
  <c r="I177" i="1"/>
  <c r="I176" i="1"/>
  <c r="I175" i="1"/>
  <c r="I174" i="1"/>
  <c r="O178" i="1" l="1"/>
  <c r="Z178" i="1"/>
  <c r="AN177" i="1"/>
  <c r="I178" i="1"/>
  <c r="G178" i="1"/>
  <c r="M178" i="1" s="1"/>
  <c r="AB178" i="1" s="1"/>
  <c r="L178" i="1"/>
  <c r="Z181" i="1"/>
  <c r="P176" i="1"/>
  <c r="S176" i="1" s="1"/>
  <c r="P175" i="1"/>
  <c r="S175" i="1" s="1"/>
  <c r="AR176" i="1"/>
  <c r="G180" i="1"/>
  <c r="M180" i="1" s="1"/>
  <c r="AB180" i="1" s="1"/>
  <c r="L180" i="1"/>
  <c r="I180" i="1"/>
  <c r="K180" i="1"/>
  <c r="Z180" i="1" s="1"/>
  <c r="AN176" i="1"/>
  <c r="G181" i="1"/>
  <c r="M181" i="1" s="1"/>
  <c r="AB181" i="1" s="1"/>
  <c r="L181" i="1"/>
  <c r="L179" i="1"/>
  <c r="G179" i="1"/>
  <c r="M179" i="1" s="1"/>
  <c r="AB179" i="1" s="1"/>
  <c r="O179" i="1"/>
  <c r="P179" i="1" s="1"/>
  <c r="S179" i="1" s="1"/>
  <c r="Z179" i="1"/>
  <c r="AO183" i="1"/>
  <c r="P182" i="1"/>
  <c r="S182" i="1" s="1"/>
  <c r="P183" i="1"/>
  <c r="S183" i="1" s="1"/>
  <c r="AO182" i="1"/>
  <c r="AN183" i="1"/>
  <c r="AN182" i="1"/>
  <c r="AH181" i="1"/>
  <c r="AJ181" i="1" s="1"/>
  <c r="P174" i="1"/>
  <c r="S174" i="1" s="1"/>
  <c r="I181" i="1"/>
  <c r="I179" i="1"/>
  <c r="AH179" i="1"/>
  <c r="AJ179" i="1" s="1"/>
  <c r="O180" i="1"/>
  <c r="P180" i="1" s="1"/>
  <c r="S180" i="1" s="1"/>
  <c r="P177" i="1"/>
  <c r="S177" i="1" s="1"/>
  <c r="AM175" i="1"/>
  <c r="AN175" i="1" s="1"/>
  <c r="AR175" i="1"/>
  <c r="AR177" i="1"/>
  <c r="O181" i="1"/>
  <c r="P181" i="1" s="1"/>
  <c r="S181" i="1" s="1"/>
  <c r="AM174" i="1"/>
  <c r="AN174" i="1" s="1"/>
  <c r="Y173" i="1"/>
  <c r="Y172" i="1"/>
  <c r="AD173" i="1"/>
  <c r="AD172" i="1"/>
  <c r="AL172" i="1"/>
  <c r="AL173" i="1"/>
  <c r="AA173" i="1"/>
  <c r="AA172" i="1"/>
  <c r="J173" i="1"/>
  <c r="J172" i="1"/>
  <c r="AN173" i="1"/>
  <c r="AN172" i="1"/>
  <c r="H173" i="1"/>
  <c r="K173" i="1" s="1"/>
  <c r="F173" i="1"/>
  <c r="H172" i="1"/>
  <c r="F172" i="1"/>
  <c r="R173" i="1"/>
  <c r="R172" i="1"/>
  <c r="T173" i="1"/>
  <c r="T172" i="1"/>
  <c r="AK171" i="1"/>
  <c r="AK170" i="1"/>
  <c r="AK169" i="1"/>
  <c r="AK168" i="1"/>
  <c r="AK167" i="1"/>
  <c r="AK166" i="1"/>
  <c r="AJ166" i="1"/>
  <c r="AJ171" i="1"/>
  <c r="AJ169" i="1"/>
  <c r="AJ168" i="1"/>
  <c r="AJ167" i="1"/>
  <c r="AJ170" i="1"/>
  <c r="AQ171" i="1"/>
  <c r="AQ170" i="1"/>
  <c r="AQ169" i="1"/>
  <c r="AQ168" i="1"/>
  <c r="AQ167" i="1"/>
  <c r="AQ166" i="1"/>
  <c r="N171" i="1"/>
  <c r="AO171" i="1" s="1"/>
  <c r="O171" i="1"/>
  <c r="AN171" i="1" s="1"/>
  <c r="N170" i="1"/>
  <c r="AO170" i="1" s="1"/>
  <c r="O170" i="1"/>
  <c r="AN170" i="1" s="1"/>
  <c r="N169" i="1"/>
  <c r="O169" i="1"/>
  <c r="AN169" i="1" s="1"/>
  <c r="N168" i="1"/>
  <c r="AO168" i="1" s="1"/>
  <c r="O168" i="1"/>
  <c r="AN168" i="1" s="1"/>
  <c r="N167" i="1"/>
  <c r="AR167" i="1" s="1"/>
  <c r="O167" i="1"/>
  <c r="AN167" i="1" s="1"/>
  <c r="N166" i="1"/>
  <c r="AO166" i="1" s="1"/>
  <c r="O166" i="1"/>
  <c r="AN166" i="1" s="1"/>
  <c r="AD171" i="1"/>
  <c r="AC171" i="1"/>
  <c r="Y171" i="1"/>
  <c r="Z171" i="1" s="1"/>
  <c r="AD170" i="1"/>
  <c r="AC170" i="1"/>
  <c r="Y170" i="1"/>
  <c r="Z170" i="1" s="1"/>
  <c r="AD169" i="1"/>
  <c r="AC169" i="1"/>
  <c r="Y169" i="1"/>
  <c r="Z169" i="1" s="1"/>
  <c r="AD168" i="1"/>
  <c r="AC168" i="1"/>
  <c r="Y168" i="1"/>
  <c r="Z168" i="1" s="1"/>
  <c r="AD167" i="1"/>
  <c r="AC167" i="1"/>
  <c r="Y167" i="1"/>
  <c r="Z167" i="1" s="1"/>
  <c r="AD166" i="1"/>
  <c r="AC166" i="1"/>
  <c r="Y166" i="1"/>
  <c r="Z166" i="1" s="1"/>
  <c r="AB171" i="1"/>
  <c r="AB170" i="1"/>
  <c r="AB169" i="1"/>
  <c r="AB168" i="1"/>
  <c r="AB167" i="1"/>
  <c r="AB166" i="1"/>
  <c r="AQ165" i="1"/>
  <c r="AQ164" i="1"/>
  <c r="AQ163" i="1"/>
  <c r="AQ162" i="1"/>
  <c r="AQ161" i="1"/>
  <c r="AQ160" i="1"/>
  <c r="AH165" i="1"/>
  <c r="AJ165" i="1" s="1"/>
  <c r="AH164" i="1"/>
  <c r="AJ164" i="1" s="1"/>
  <c r="AH163" i="1"/>
  <c r="AJ163" i="1" s="1"/>
  <c r="AH162" i="1"/>
  <c r="AJ162" i="1" s="1"/>
  <c r="AH161" i="1"/>
  <c r="AJ161" i="1" s="1"/>
  <c r="AH160" i="1"/>
  <c r="AJ160" i="1" s="1"/>
  <c r="AD161" i="1"/>
  <c r="AD162" i="1"/>
  <c r="AD163" i="1"/>
  <c r="AD164" i="1"/>
  <c r="AD165" i="1"/>
  <c r="AD160" i="1"/>
  <c r="AC165" i="1"/>
  <c r="AC164" i="1"/>
  <c r="AC163" i="1"/>
  <c r="AC162" i="1"/>
  <c r="AC161" i="1"/>
  <c r="Y165" i="1"/>
  <c r="Z165" i="1" s="1"/>
  <c r="Y164" i="1"/>
  <c r="Z164" i="1" s="1"/>
  <c r="Y163" i="1"/>
  <c r="Z163" i="1" s="1"/>
  <c r="Y162" i="1"/>
  <c r="Z162" i="1" s="1"/>
  <c r="Y161" i="1"/>
  <c r="Z161" i="1" s="1"/>
  <c r="AC160" i="1"/>
  <c r="Y160" i="1"/>
  <c r="Z160" i="1" s="1"/>
  <c r="N165" i="1"/>
  <c r="AO165" i="1" s="1"/>
  <c r="N164" i="1"/>
  <c r="AO164" i="1" s="1"/>
  <c r="N163" i="1"/>
  <c r="AO163" i="1" s="1"/>
  <c r="N162" i="1"/>
  <c r="AO162" i="1" s="1"/>
  <c r="N161" i="1"/>
  <c r="AO161" i="1" s="1"/>
  <c r="N160" i="1"/>
  <c r="AO160" i="1" s="1"/>
  <c r="O165" i="1"/>
  <c r="O164" i="1"/>
  <c r="AN164" i="1" s="1"/>
  <c r="O163" i="1"/>
  <c r="AN163" i="1" s="1"/>
  <c r="O162" i="1"/>
  <c r="O161" i="1"/>
  <c r="P161" i="1" s="1"/>
  <c r="S161" i="1" s="1"/>
  <c r="O160" i="1"/>
  <c r="AN160" i="1" s="1"/>
  <c r="AB165" i="1"/>
  <c r="AB164" i="1"/>
  <c r="AB163" i="1"/>
  <c r="AB162" i="1"/>
  <c r="AB161" i="1"/>
  <c r="AB160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AR37" i="1"/>
  <c r="AR36" i="1"/>
  <c r="AR35" i="1"/>
  <c r="AR34" i="1"/>
  <c r="AR33" i="1"/>
  <c r="AR32" i="1"/>
  <c r="AR31" i="1"/>
  <c r="AR30" i="1"/>
  <c r="AR29" i="1"/>
  <c r="AR28" i="1"/>
  <c r="AR27" i="1"/>
  <c r="AR26" i="1"/>
  <c r="AR25" i="1"/>
  <c r="AR24" i="1"/>
  <c r="AR23" i="1"/>
  <c r="AR22" i="1"/>
  <c r="AR21" i="1"/>
  <c r="AR20" i="1"/>
  <c r="AR19" i="1"/>
  <c r="AR18" i="1"/>
  <c r="AR17" i="1"/>
  <c r="AR16" i="1"/>
  <c r="AR15" i="1"/>
  <c r="AR13" i="1"/>
  <c r="AR12" i="1"/>
  <c r="AR11" i="1"/>
  <c r="AQ37" i="1"/>
  <c r="AQ36" i="1"/>
  <c r="AQ35" i="1"/>
  <c r="AQ34" i="1"/>
  <c r="AQ33" i="1"/>
  <c r="AQ32" i="1"/>
  <c r="AQ31" i="1"/>
  <c r="AQ30" i="1"/>
  <c r="AQ29" i="1"/>
  <c r="AQ28" i="1"/>
  <c r="AQ27" i="1"/>
  <c r="AQ26" i="1"/>
  <c r="AQ25" i="1"/>
  <c r="AQ24" i="1"/>
  <c r="AQ23" i="1"/>
  <c r="AQ22" i="1"/>
  <c r="AQ21" i="1"/>
  <c r="AQ20" i="1"/>
  <c r="AQ19" i="1"/>
  <c r="AQ18" i="1"/>
  <c r="AQ17" i="1"/>
  <c r="AQ16" i="1"/>
  <c r="AQ15" i="1"/>
  <c r="AQ13" i="1"/>
  <c r="AQ12" i="1"/>
  <c r="AQ11" i="1"/>
  <c r="AQ10" i="1"/>
  <c r="AR9" i="1"/>
  <c r="AQ9" i="1"/>
  <c r="AQ159" i="1"/>
  <c r="AQ158" i="1"/>
  <c r="AQ157" i="1"/>
  <c r="AQ156" i="1"/>
  <c r="AQ155" i="1"/>
  <c r="AQ154" i="1"/>
  <c r="AQ153" i="1"/>
  <c r="AQ152" i="1"/>
  <c r="Y159" i="1"/>
  <c r="Z159" i="1" s="1"/>
  <c r="Y158" i="1"/>
  <c r="Z158" i="1" s="1"/>
  <c r="Y157" i="1"/>
  <c r="Z157" i="1" s="1"/>
  <c r="Y155" i="1"/>
  <c r="Z155" i="1" s="1"/>
  <c r="Y156" i="1"/>
  <c r="Z156" i="1" s="1"/>
  <c r="Y153" i="1"/>
  <c r="Z153" i="1" s="1"/>
  <c r="Y152" i="1"/>
  <c r="Z152" i="1" s="1"/>
  <c r="Y154" i="1"/>
  <c r="Z154" i="1" s="1"/>
  <c r="AL159" i="1"/>
  <c r="AL158" i="1"/>
  <c r="AL156" i="1"/>
  <c r="AL154" i="1"/>
  <c r="AL153" i="1"/>
  <c r="AL157" i="1"/>
  <c r="AL155" i="1"/>
  <c r="AK159" i="1"/>
  <c r="AF159" i="1" s="1"/>
  <c r="AG159" i="1" s="1"/>
  <c r="AK158" i="1"/>
  <c r="AF158" i="1" s="1"/>
  <c r="AG158" i="1" s="1"/>
  <c r="AK157" i="1"/>
  <c r="AK156" i="1"/>
  <c r="AF156" i="1" s="1"/>
  <c r="AG156" i="1" s="1"/>
  <c r="AK155" i="1"/>
  <c r="AK154" i="1"/>
  <c r="AF154" i="1" s="1"/>
  <c r="AG154" i="1" s="1"/>
  <c r="AK153" i="1"/>
  <c r="AF153" i="1" s="1"/>
  <c r="AG153" i="1" s="1"/>
  <c r="AL152" i="1"/>
  <c r="AH159" i="1"/>
  <c r="AJ159" i="1" s="1"/>
  <c r="AH158" i="1"/>
  <c r="AH157" i="1"/>
  <c r="AH156" i="1"/>
  <c r="AJ156" i="1" s="1"/>
  <c r="AH155" i="1"/>
  <c r="AJ155" i="1" s="1"/>
  <c r="AH154" i="1"/>
  <c r="AJ154" i="1" s="1"/>
  <c r="AH153" i="1"/>
  <c r="AJ153" i="1" s="1"/>
  <c r="AH152" i="1"/>
  <c r="AK152" i="1"/>
  <c r="AJ158" i="1"/>
  <c r="AJ157" i="1"/>
  <c r="T159" i="1"/>
  <c r="T158" i="1"/>
  <c r="T157" i="1"/>
  <c r="T156" i="1"/>
  <c r="T155" i="1"/>
  <c r="T154" i="1"/>
  <c r="T153" i="1"/>
  <c r="T152" i="1"/>
  <c r="R159" i="1"/>
  <c r="R158" i="1"/>
  <c r="R157" i="1"/>
  <c r="R156" i="1"/>
  <c r="R155" i="1"/>
  <c r="R154" i="1"/>
  <c r="R153" i="1"/>
  <c r="R152" i="1"/>
  <c r="N159" i="1"/>
  <c r="N158" i="1"/>
  <c r="N157" i="1"/>
  <c r="N156" i="1"/>
  <c r="N155" i="1"/>
  <c r="N154" i="1"/>
  <c r="N153" i="1"/>
  <c r="N152" i="1"/>
  <c r="O159" i="1"/>
  <c r="P159" i="1" s="1"/>
  <c r="O158" i="1"/>
  <c r="O157" i="1"/>
  <c r="O156" i="1"/>
  <c r="O155" i="1"/>
  <c r="P155" i="1" s="1"/>
  <c r="O154" i="1"/>
  <c r="O153" i="1"/>
  <c r="O152" i="1"/>
  <c r="AB159" i="1"/>
  <c r="AB158" i="1"/>
  <c r="AB157" i="1"/>
  <c r="AB156" i="1"/>
  <c r="AB155" i="1"/>
  <c r="AB154" i="1"/>
  <c r="AB153" i="1"/>
  <c r="AB152" i="1"/>
  <c r="I159" i="1"/>
  <c r="I158" i="1"/>
  <c r="I157" i="1"/>
  <c r="I156" i="1"/>
  <c r="I155" i="1"/>
  <c r="I154" i="1"/>
  <c r="I153" i="1"/>
  <c r="I152" i="1"/>
  <c r="AR151" i="1"/>
  <c r="AR150" i="1"/>
  <c r="AR149" i="1"/>
  <c r="AR148" i="1"/>
  <c r="AR147" i="1"/>
  <c r="AR146" i="1"/>
  <c r="AO151" i="1"/>
  <c r="AO150" i="1"/>
  <c r="AO149" i="1"/>
  <c r="AO148" i="1"/>
  <c r="AO147" i="1"/>
  <c r="AO146" i="1"/>
  <c r="AC151" i="1"/>
  <c r="AC149" i="1"/>
  <c r="AC148" i="1"/>
  <c r="AC147" i="1"/>
  <c r="AC146" i="1"/>
  <c r="AK151" i="1"/>
  <c r="AE151" i="1" s="1"/>
  <c r="AG151" i="1" s="1"/>
  <c r="AK150" i="1"/>
  <c r="AE150" i="1" s="1"/>
  <c r="AG150" i="1" s="1"/>
  <c r="AK149" i="1"/>
  <c r="AE149" i="1" s="1"/>
  <c r="AG149" i="1" s="1"/>
  <c r="AK148" i="1"/>
  <c r="AE148" i="1" s="1"/>
  <c r="AG148" i="1" s="1"/>
  <c r="AK147" i="1"/>
  <c r="AE147" i="1" s="1"/>
  <c r="AG147" i="1" s="1"/>
  <c r="AK146" i="1"/>
  <c r="AE146" i="1" s="1"/>
  <c r="AG146" i="1" s="1"/>
  <c r="Y151" i="1"/>
  <c r="Y150" i="1"/>
  <c r="Y148" i="1"/>
  <c r="Y149" i="1"/>
  <c r="Y147" i="1"/>
  <c r="Y146" i="1"/>
  <c r="J147" i="1"/>
  <c r="J148" i="1"/>
  <c r="J149" i="1"/>
  <c r="J150" i="1"/>
  <c r="J151" i="1"/>
  <c r="J146" i="1"/>
  <c r="H147" i="1"/>
  <c r="H148" i="1"/>
  <c r="H149" i="1"/>
  <c r="H150" i="1"/>
  <c r="H151" i="1"/>
  <c r="H146" i="1"/>
  <c r="F150" i="1"/>
  <c r="F151" i="1"/>
  <c r="F149" i="1"/>
  <c r="F147" i="1"/>
  <c r="F148" i="1"/>
  <c r="F146" i="1"/>
  <c r="P153" i="1" l="1"/>
  <c r="P165" i="1"/>
  <c r="S165" i="1" s="1"/>
  <c r="Z149" i="1"/>
  <c r="O173" i="1"/>
  <c r="Z147" i="1"/>
  <c r="Z151" i="1"/>
  <c r="Z173" i="1"/>
  <c r="L151" i="1"/>
  <c r="G151" i="1"/>
  <c r="M151" i="1" s="1"/>
  <c r="L172" i="1"/>
  <c r="G172" i="1"/>
  <c r="M172" i="1" s="1"/>
  <c r="AB172" i="1" s="1"/>
  <c r="AH173" i="1"/>
  <c r="G148" i="1"/>
  <c r="M148" i="1" s="1"/>
  <c r="AB148" i="1" s="1"/>
  <c r="L148" i="1"/>
  <c r="G150" i="1"/>
  <c r="M150" i="1" s="1"/>
  <c r="L150" i="1"/>
  <c r="Z148" i="1"/>
  <c r="P162" i="1"/>
  <c r="S162" i="1" s="1"/>
  <c r="I172" i="1"/>
  <c r="K172" i="1"/>
  <c r="Z172" i="1" s="1"/>
  <c r="N173" i="1"/>
  <c r="AH172" i="1"/>
  <c r="L147" i="1"/>
  <c r="G147" i="1"/>
  <c r="M147" i="1" s="1"/>
  <c r="AB147" i="1" s="1"/>
  <c r="Z146" i="1"/>
  <c r="Z150" i="1"/>
  <c r="I173" i="1"/>
  <c r="G173" i="1"/>
  <c r="M173" i="1" s="1"/>
  <c r="AB173" i="1" s="1"/>
  <c r="L173" i="1"/>
  <c r="G146" i="1"/>
  <c r="M146" i="1" s="1"/>
  <c r="AB146" i="1" s="1"/>
  <c r="L146" i="1"/>
  <c r="G149" i="1"/>
  <c r="M149" i="1" s="1"/>
  <c r="AB149" i="1" s="1"/>
  <c r="L149" i="1"/>
  <c r="N172" i="1"/>
  <c r="AR170" i="1"/>
  <c r="O172" i="1"/>
  <c r="AM172" i="1" s="1"/>
  <c r="P169" i="1"/>
  <c r="S169" i="1" s="1"/>
  <c r="AR168" i="1"/>
  <c r="P178" i="1"/>
  <c r="S178" i="1" s="1"/>
  <c r="AM173" i="1"/>
  <c r="AR166" i="1"/>
  <c r="AP155" i="1"/>
  <c r="AR155" i="1" s="1"/>
  <c r="AP159" i="1"/>
  <c r="AR159" i="1" s="1"/>
  <c r="AN161" i="1"/>
  <c r="O149" i="1"/>
  <c r="P149" i="1" s="1"/>
  <c r="S149" i="1" s="1"/>
  <c r="AO167" i="1"/>
  <c r="AR169" i="1"/>
  <c r="AR171" i="1"/>
  <c r="AN165" i="1"/>
  <c r="P167" i="1"/>
  <c r="S167" i="1" s="1"/>
  <c r="AP152" i="1"/>
  <c r="AR152" i="1" s="1"/>
  <c r="AP156" i="1"/>
  <c r="AR156" i="1" s="1"/>
  <c r="P163" i="1"/>
  <c r="S163" i="1" s="1"/>
  <c r="AR161" i="1"/>
  <c r="AR163" i="1"/>
  <c r="AR165" i="1"/>
  <c r="AP153" i="1"/>
  <c r="AR153" i="1" s="1"/>
  <c r="AP157" i="1"/>
  <c r="AR157" i="1" s="1"/>
  <c r="P160" i="1"/>
  <c r="S160" i="1" s="1"/>
  <c r="P164" i="1"/>
  <c r="S164" i="1" s="1"/>
  <c r="AN162" i="1"/>
  <c r="P166" i="1"/>
  <c r="S166" i="1" s="1"/>
  <c r="P168" i="1"/>
  <c r="S168" i="1" s="1"/>
  <c r="AJ152" i="1"/>
  <c r="AP154" i="1"/>
  <c r="AR154" i="1" s="1"/>
  <c r="AP158" i="1"/>
  <c r="AR158" i="1" s="1"/>
  <c r="AR160" i="1"/>
  <c r="AR162" i="1"/>
  <c r="AR164" i="1"/>
  <c r="AO169" i="1"/>
  <c r="P171" i="1"/>
  <c r="S171" i="1" s="1"/>
  <c r="P170" i="1"/>
  <c r="S170" i="1" s="1"/>
  <c r="AQ146" i="1"/>
  <c r="S153" i="1"/>
  <c r="AH148" i="1"/>
  <c r="AJ148" i="1" s="1"/>
  <c r="AQ148" i="1"/>
  <c r="S155" i="1"/>
  <c r="S159" i="1"/>
  <c r="AQ151" i="1"/>
  <c r="AQ147" i="1"/>
  <c r="AH149" i="1"/>
  <c r="AJ149" i="1" s="1"/>
  <c r="I151" i="1"/>
  <c r="I147" i="1"/>
  <c r="AQ150" i="1"/>
  <c r="O146" i="1"/>
  <c r="AN146" i="1" s="1"/>
  <c r="P156" i="1"/>
  <c r="S156" i="1" s="1"/>
  <c r="P154" i="1"/>
  <c r="S154" i="1" s="1"/>
  <c r="I150" i="1"/>
  <c r="I148" i="1"/>
  <c r="AQ149" i="1"/>
  <c r="I146" i="1"/>
  <c r="O150" i="1"/>
  <c r="AH146" i="1"/>
  <c r="AJ146" i="1" s="1"/>
  <c r="AH150" i="1"/>
  <c r="AJ150" i="1" s="1"/>
  <c r="O147" i="1"/>
  <c r="O151" i="1"/>
  <c r="AH147" i="1"/>
  <c r="AJ147" i="1" s="1"/>
  <c r="AH151" i="1"/>
  <c r="AJ151" i="1" s="1"/>
  <c r="P158" i="1"/>
  <c r="S158" i="1" s="1"/>
  <c r="P152" i="1"/>
  <c r="S152" i="1" s="1"/>
  <c r="AB150" i="1"/>
  <c r="O148" i="1"/>
  <c r="I149" i="1"/>
  <c r="AA151" i="1"/>
  <c r="P157" i="1"/>
  <c r="S157" i="1" s="1"/>
  <c r="AQ145" i="1"/>
  <c r="AQ144" i="1"/>
  <c r="AQ143" i="1"/>
  <c r="AQ142" i="1"/>
  <c r="AQ141" i="1"/>
  <c r="AH145" i="1"/>
  <c r="AJ145" i="1" s="1"/>
  <c r="AH144" i="1"/>
  <c r="AJ144" i="1" s="1"/>
  <c r="AH143" i="1"/>
  <c r="AJ143" i="1" s="1"/>
  <c r="AH142" i="1"/>
  <c r="AJ142" i="1" s="1"/>
  <c r="AH141" i="1"/>
  <c r="AJ141" i="1" s="1"/>
  <c r="Y145" i="1"/>
  <c r="Z145" i="1" s="1"/>
  <c r="AB145" i="1" s="1"/>
  <c r="Y144" i="1"/>
  <c r="Y143" i="1"/>
  <c r="Y142" i="1"/>
  <c r="Y141" i="1"/>
  <c r="N143" i="1"/>
  <c r="N145" i="1"/>
  <c r="AR145" i="1" s="1"/>
  <c r="N144" i="1"/>
  <c r="N140" i="1"/>
  <c r="N139" i="1"/>
  <c r="N138" i="1"/>
  <c r="N134" i="1"/>
  <c r="N133" i="1"/>
  <c r="N132" i="1"/>
  <c r="N131" i="1"/>
  <c r="N142" i="1"/>
  <c r="N141" i="1"/>
  <c r="AR141" i="1" s="1"/>
  <c r="O141" i="1"/>
  <c r="AM141" i="1" s="1"/>
  <c r="P173" i="1" l="1"/>
  <c r="S173" i="1" s="1"/>
  <c r="AO172" i="1"/>
  <c r="P172" i="1"/>
  <c r="S172" i="1" s="1"/>
  <c r="Z141" i="1"/>
  <c r="AB141" i="1" s="1"/>
  <c r="Z144" i="1"/>
  <c r="AB144" i="1" s="1"/>
  <c r="AO173" i="1"/>
  <c r="Z143" i="1"/>
  <c r="AB143" i="1" s="1"/>
  <c r="Z142" i="1"/>
  <c r="AB142" i="1" s="1"/>
  <c r="AO141" i="1"/>
  <c r="P146" i="1"/>
  <c r="S146" i="1" s="1"/>
  <c r="AN149" i="1"/>
  <c r="AB151" i="1"/>
  <c r="P141" i="1"/>
  <c r="S141" i="1" s="1"/>
  <c r="P151" i="1"/>
  <c r="S151" i="1" s="1"/>
  <c r="AN151" i="1"/>
  <c r="AN150" i="1"/>
  <c r="P150" i="1"/>
  <c r="S150" i="1" s="1"/>
  <c r="AR143" i="1"/>
  <c r="P148" i="1"/>
  <c r="S148" i="1" s="1"/>
  <c r="AN148" i="1"/>
  <c r="P147" i="1"/>
  <c r="S147" i="1" s="1"/>
  <c r="AN147" i="1"/>
  <c r="AR142" i="1"/>
  <c r="AR144" i="1"/>
  <c r="O145" i="1"/>
  <c r="AM145" i="1" s="1"/>
  <c r="AO145" i="1" s="1"/>
  <c r="O144" i="1"/>
  <c r="AM144" i="1" s="1"/>
  <c r="AO144" i="1" s="1"/>
  <c r="O143" i="1"/>
  <c r="AM143" i="1" s="1"/>
  <c r="AO143" i="1" s="1"/>
  <c r="O142" i="1"/>
  <c r="AM142" i="1" s="1"/>
  <c r="AO142" i="1" s="1"/>
  <c r="I145" i="1"/>
  <c r="I144" i="1"/>
  <c r="I143" i="1"/>
  <c r="I142" i="1"/>
  <c r="I141" i="1"/>
  <c r="AQ132" i="1"/>
  <c r="AR132" i="1"/>
  <c r="AQ133" i="1"/>
  <c r="AR133" i="1"/>
  <c r="AQ134" i="1"/>
  <c r="AR134" i="1"/>
  <c r="AQ135" i="1"/>
  <c r="AQ136" i="1"/>
  <c r="AQ137" i="1"/>
  <c r="AQ138" i="1"/>
  <c r="AR138" i="1"/>
  <c r="AQ139" i="1"/>
  <c r="AR139" i="1"/>
  <c r="AQ140" i="1"/>
  <c r="AR140" i="1"/>
  <c r="AR131" i="1"/>
  <c r="AQ131" i="1"/>
  <c r="P143" i="1" l="1"/>
  <c r="S143" i="1" s="1"/>
  <c r="P145" i="1"/>
  <c r="S145" i="1" s="1"/>
  <c r="P142" i="1"/>
  <c r="S142" i="1" s="1"/>
  <c r="P144" i="1"/>
  <c r="S144" i="1" s="1"/>
  <c r="AK140" i="1"/>
  <c r="AH140" i="1" s="1"/>
  <c r="AJ140" i="1" s="1"/>
  <c r="AK139" i="1"/>
  <c r="AH139" i="1" s="1"/>
  <c r="AJ139" i="1" s="1"/>
  <c r="AK138" i="1"/>
  <c r="AH138" i="1" s="1"/>
  <c r="AJ138" i="1" s="1"/>
  <c r="AK137" i="1"/>
  <c r="AH137" i="1" s="1"/>
  <c r="AJ137" i="1" s="1"/>
  <c r="AK136" i="1"/>
  <c r="AH136" i="1" s="1"/>
  <c r="AJ136" i="1" s="1"/>
  <c r="AK135" i="1"/>
  <c r="AH135" i="1" s="1"/>
  <c r="AJ135" i="1" s="1"/>
  <c r="AK134" i="1"/>
  <c r="AH134" i="1" s="1"/>
  <c r="AJ134" i="1" s="1"/>
  <c r="AK133" i="1"/>
  <c r="AH133" i="1" s="1"/>
  <c r="AJ133" i="1" s="1"/>
  <c r="AK132" i="1"/>
  <c r="AH132" i="1" s="1"/>
  <c r="AJ132" i="1" s="1"/>
  <c r="AK131" i="1"/>
  <c r="AH131" i="1" s="1"/>
  <c r="AJ131" i="1" s="1"/>
  <c r="AE140" i="1"/>
  <c r="AG140" i="1" s="1"/>
  <c r="AE139" i="1"/>
  <c r="AG139" i="1" s="1"/>
  <c r="AE138" i="1"/>
  <c r="AG138" i="1" s="1"/>
  <c r="AE137" i="1"/>
  <c r="AG137" i="1" s="1"/>
  <c r="AE136" i="1"/>
  <c r="AG136" i="1" s="1"/>
  <c r="AE135" i="1"/>
  <c r="AG135" i="1" s="1"/>
  <c r="AE134" i="1"/>
  <c r="AG134" i="1" s="1"/>
  <c r="AE133" i="1"/>
  <c r="AG133" i="1" s="1"/>
  <c r="AE132" i="1"/>
  <c r="AG132" i="1" s="1"/>
  <c r="AE131" i="1"/>
  <c r="AG131" i="1" s="1"/>
  <c r="Y139" i="1"/>
  <c r="Y140" i="1"/>
  <c r="Y138" i="1"/>
  <c r="Y136" i="1"/>
  <c r="Y137" i="1"/>
  <c r="Y135" i="1"/>
  <c r="Y132" i="1"/>
  <c r="Z132" i="1" s="1"/>
  <c r="AB132" i="1" s="1"/>
  <c r="Y133" i="1"/>
  <c r="Z133" i="1" s="1"/>
  <c r="AB133" i="1" s="1"/>
  <c r="Y134" i="1"/>
  <c r="Y131" i="1"/>
  <c r="K118" i="1"/>
  <c r="K117" i="1"/>
  <c r="O132" i="1"/>
  <c r="AM132" i="1" s="1"/>
  <c r="AO132" i="1" s="1"/>
  <c r="O133" i="1"/>
  <c r="AM133" i="1" s="1"/>
  <c r="AO133" i="1" s="1"/>
  <c r="O134" i="1"/>
  <c r="AM134" i="1" s="1"/>
  <c r="AO134" i="1" s="1"/>
  <c r="O135" i="1"/>
  <c r="AM135" i="1" s="1"/>
  <c r="O136" i="1"/>
  <c r="AM136" i="1" s="1"/>
  <c r="O137" i="1"/>
  <c r="AM137" i="1" s="1"/>
  <c r="O138" i="1"/>
  <c r="AM138" i="1" s="1"/>
  <c r="AO138" i="1" s="1"/>
  <c r="O139" i="1"/>
  <c r="AM139" i="1" s="1"/>
  <c r="AO139" i="1" s="1"/>
  <c r="O140" i="1"/>
  <c r="AM140" i="1" s="1"/>
  <c r="AO140" i="1" s="1"/>
  <c r="N136" i="1"/>
  <c r="AR136" i="1" s="1"/>
  <c r="N137" i="1"/>
  <c r="AR137" i="1" s="1"/>
  <c r="N135" i="1"/>
  <c r="AR135" i="1" s="1"/>
  <c r="N110" i="1"/>
  <c r="O131" i="1"/>
  <c r="AM131" i="1" s="1"/>
  <c r="Z136" i="1" l="1"/>
  <c r="AB136" i="1" s="1"/>
  <c r="Z138" i="1"/>
  <c r="AB138" i="1" s="1"/>
  <c r="Z131" i="1"/>
  <c r="AB131" i="1" s="1"/>
  <c r="Z140" i="1"/>
  <c r="AB140" i="1" s="1"/>
  <c r="Z135" i="1"/>
  <c r="AB135" i="1" s="1"/>
  <c r="Z134" i="1"/>
  <c r="AB134" i="1" s="1"/>
  <c r="Z137" i="1"/>
  <c r="AB137" i="1" s="1"/>
  <c r="Z139" i="1"/>
  <c r="AB139" i="1" s="1"/>
  <c r="P140" i="1"/>
  <c r="S140" i="1" s="1"/>
  <c r="P138" i="1"/>
  <c r="S138" i="1" s="1"/>
  <c r="AO137" i="1"/>
  <c r="P134" i="1"/>
  <c r="S134" i="1" s="1"/>
  <c r="P131" i="1"/>
  <c r="S131" i="1" s="1"/>
  <c r="P132" i="1"/>
  <c r="S132" i="1" s="1"/>
  <c r="AO136" i="1"/>
  <c r="P137" i="1"/>
  <c r="S137" i="1" s="1"/>
  <c r="P133" i="1"/>
  <c r="S133" i="1" s="1"/>
  <c r="AO135" i="1"/>
  <c r="P136" i="1"/>
  <c r="S136" i="1" s="1"/>
  <c r="P139" i="1"/>
  <c r="S139" i="1" s="1"/>
  <c r="P135" i="1"/>
  <c r="S135" i="1" s="1"/>
  <c r="I140" i="1"/>
  <c r="I139" i="1"/>
  <c r="I138" i="1"/>
  <c r="I137" i="1"/>
  <c r="I136" i="1"/>
  <c r="I135" i="1"/>
  <c r="I134" i="1"/>
  <c r="I133" i="1"/>
  <c r="I132" i="1"/>
  <c r="I131" i="1"/>
  <c r="AP130" i="1" l="1"/>
  <c r="AP129" i="1"/>
  <c r="AP128" i="1"/>
  <c r="AP127" i="1"/>
  <c r="AP126" i="1"/>
  <c r="AP125" i="1"/>
  <c r="AP124" i="1"/>
  <c r="AP123" i="1"/>
  <c r="AP122" i="1"/>
  <c r="AP121" i="1"/>
  <c r="AM121" i="1" s="1"/>
  <c r="AP120" i="1"/>
  <c r="AP119" i="1"/>
  <c r="AK130" i="1"/>
  <c r="AK129" i="1"/>
  <c r="AK128" i="1"/>
  <c r="AK127" i="1"/>
  <c r="AK123" i="1"/>
  <c r="AK122" i="1"/>
  <c r="AK121" i="1"/>
  <c r="M19" i="12"/>
  <c r="N19" i="12" s="1"/>
  <c r="M17" i="12"/>
  <c r="N17" i="12" s="1"/>
  <c r="R21" i="12"/>
  <c r="S20" i="12"/>
  <c r="O19" i="12" s="1"/>
  <c r="M18" i="12"/>
  <c r="N18" i="12" s="1"/>
  <c r="M16" i="12"/>
  <c r="N16" i="12" s="1"/>
  <c r="P19" i="12" l="1"/>
  <c r="O16" i="12"/>
  <c r="P16" i="12" s="1"/>
  <c r="AM119" i="1"/>
  <c r="AM123" i="1"/>
  <c r="AM127" i="1"/>
  <c r="O17" i="12"/>
  <c r="P17" i="12" s="1"/>
  <c r="AM120" i="1"/>
  <c r="AM124" i="1"/>
  <c r="AM128" i="1"/>
  <c r="O18" i="12"/>
  <c r="P18" i="12" s="1"/>
  <c r="AM125" i="1"/>
  <c r="AM129" i="1"/>
  <c r="AM122" i="1"/>
  <c r="AM126" i="1"/>
  <c r="AM130" i="1"/>
  <c r="Y130" i="1"/>
  <c r="Y129" i="1"/>
  <c r="Y128" i="1"/>
  <c r="Y127" i="1"/>
  <c r="Y126" i="1"/>
  <c r="Y124" i="1"/>
  <c r="Y123" i="1"/>
  <c r="Y125" i="1"/>
  <c r="Y122" i="1"/>
  <c r="Y120" i="1"/>
  <c r="J120" i="1" l="1"/>
  <c r="J121" i="1"/>
  <c r="J122" i="1"/>
  <c r="J123" i="1"/>
  <c r="J124" i="1"/>
  <c r="J125" i="1"/>
  <c r="J126" i="1"/>
  <c r="J127" i="1"/>
  <c r="J128" i="1"/>
  <c r="J129" i="1"/>
  <c r="J130" i="1"/>
  <c r="J119" i="1"/>
  <c r="Q143" i="2"/>
  <c r="Q144" i="2"/>
  <c r="Q145" i="2"/>
  <c r="Q146" i="2"/>
  <c r="Q147" i="2"/>
  <c r="Q148" i="2"/>
  <c r="Q149" i="2"/>
  <c r="Q150" i="2"/>
  <c r="Q151" i="2"/>
  <c r="Q152" i="2"/>
  <c r="Q153" i="2"/>
  <c r="Q142" i="2"/>
  <c r="H120" i="1"/>
  <c r="K120" i="1" s="1"/>
  <c r="H121" i="1"/>
  <c r="H122" i="1"/>
  <c r="H123" i="1"/>
  <c r="H124" i="1"/>
  <c r="H125" i="1"/>
  <c r="H126" i="1"/>
  <c r="H127" i="1"/>
  <c r="H128" i="1"/>
  <c r="H129" i="1"/>
  <c r="H130" i="1"/>
  <c r="K130" i="1" s="1"/>
  <c r="H119" i="1"/>
  <c r="F120" i="1"/>
  <c r="F121" i="1"/>
  <c r="F122" i="1"/>
  <c r="F123" i="1"/>
  <c r="F124" i="1"/>
  <c r="F125" i="1"/>
  <c r="F126" i="1"/>
  <c r="F127" i="1"/>
  <c r="F128" i="1"/>
  <c r="F129" i="1"/>
  <c r="F130" i="1"/>
  <c r="F119" i="1"/>
  <c r="T130" i="1"/>
  <c r="T129" i="1"/>
  <c r="T128" i="1"/>
  <c r="T127" i="1"/>
  <c r="T125" i="1"/>
  <c r="T120" i="1"/>
  <c r="T121" i="1"/>
  <c r="T122" i="1"/>
  <c r="T123" i="1"/>
  <c r="T124" i="1"/>
  <c r="T126" i="1"/>
  <c r="T119" i="1"/>
  <c r="R130" i="1"/>
  <c r="R129" i="1"/>
  <c r="R128" i="1"/>
  <c r="R127" i="1"/>
  <c r="R125" i="1"/>
  <c r="R120" i="1"/>
  <c r="R121" i="1"/>
  <c r="R122" i="1"/>
  <c r="R123" i="1"/>
  <c r="R124" i="1"/>
  <c r="R126" i="1"/>
  <c r="R119" i="1"/>
  <c r="K116" i="1"/>
  <c r="K115" i="1"/>
  <c r="K114" i="1"/>
  <c r="K113" i="1"/>
  <c r="K112" i="1"/>
  <c r="K111" i="1"/>
  <c r="K110" i="1"/>
  <c r="K109" i="1"/>
  <c r="AI112" i="1"/>
  <c r="AI118" i="1"/>
  <c r="AI116" i="1" s="1"/>
  <c r="AI117" i="1"/>
  <c r="AI115" i="1"/>
  <c r="AI114" i="1"/>
  <c r="AI113" i="1"/>
  <c r="AJ113" i="1" s="1"/>
  <c r="AI111" i="1"/>
  <c r="AI110" i="1"/>
  <c r="AJ110" i="1" s="1"/>
  <c r="AK117" i="1"/>
  <c r="AK116" i="1"/>
  <c r="AK111" i="1"/>
  <c r="AK110" i="1"/>
  <c r="AL117" i="1"/>
  <c r="AL116" i="1"/>
  <c r="AL111" i="1"/>
  <c r="AL110" i="1"/>
  <c r="AJ109" i="1"/>
  <c r="AB110" i="1"/>
  <c r="AB111" i="1"/>
  <c r="AB112" i="1"/>
  <c r="AB113" i="1"/>
  <c r="AB114" i="1"/>
  <c r="AB115" i="1"/>
  <c r="AB116" i="1"/>
  <c r="AB117" i="1"/>
  <c r="AB118" i="1"/>
  <c r="AB109" i="1"/>
  <c r="AQ104" i="1"/>
  <c r="AQ105" i="1"/>
  <c r="AQ106" i="1"/>
  <c r="AQ107" i="1"/>
  <c r="AQ108" i="1"/>
  <c r="AQ39" i="1"/>
  <c r="AQ40" i="1"/>
  <c r="AQ41" i="1"/>
  <c r="AQ42" i="1"/>
  <c r="AQ43" i="1"/>
  <c r="AQ44" i="1"/>
  <c r="AQ45" i="1"/>
  <c r="AQ46" i="1"/>
  <c r="AQ47" i="1"/>
  <c r="AQ48" i="1"/>
  <c r="AQ49" i="1"/>
  <c r="AQ50" i="1"/>
  <c r="AQ51" i="1"/>
  <c r="AQ52" i="1"/>
  <c r="AQ53" i="1"/>
  <c r="AQ54" i="1"/>
  <c r="AQ55" i="1"/>
  <c r="AQ56" i="1"/>
  <c r="AQ57" i="1"/>
  <c r="AQ58" i="1"/>
  <c r="AQ59" i="1"/>
  <c r="AQ60" i="1"/>
  <c r="AQ61" i="1"/>
  <c r="AQ62" i="1"/>
  <c r="AQ63" i="1"/>
  <c r="AQ64" i="1"/>
  <c r="AQ65" i="1"/>
  <c r="AQ66" i="1"/>
  <c r="AQ67" i="1"/>
  <c r="AQ68" i="1"/>
  <c r="AQ69" i="1"/>
  <c r="AQ70" i="1"/>
  <c r="AQ71" i="1"/>
  <c r="AQ72" i="1"/>
  <c r="AQ73" i="1"/>
  <c r="AQ74" i="1"/>
  <c r="AQ75" i="1"/>
  <c r="AQ76" i="1"/>
  <c r="AQ77" i="1"/>
  <c r="AQ78" i="1"/>
  <c r="AQ79" i="1"/>
  <c r="AQ80" i="1"/>
  <c r="AQ81" i="1"/>
  <c r="AQ82" i="1"/>
  <c r="AQ83" i="1"/>
  <c r="AQ84" i="1"/>
  <c r="AQ85" i="1"/>
  <c r="AQ86" i="1"/>
  <c r="AQ87" i="1"/>
  <c r="AQ88" i="1"/>
  <c r="AQ89" i="1"/>
  <c r="AQ90" i="1"/>
  <c r="AQ91" i="1"/>
  <c r="AQ92" i="1"/>
  <c r="AQ93" i="1"/>
  <c r="AQ94" i="1"/>
  <c r="AQ95" i="1"/>
  <c r="AQ96" i="1"/>
  <c r="AQ97" i="1"/>
  <c r="AQ98" i="1"/>
  <c r="AQ99" i="1"/>
  <c r="AQ100" i="1"/>
  <c r="AQ101" i="1"/>
  <c r="AQ102" i="1"/>
  <c r="AQ103" i="1"/>
  <c r="AQ38" i="1"/>
  <c r="AR104" i="1"/>
  <c r="AR105" i="1"/>
  <c r="AR106" i="1"/>
  <c r="AR107" i="1"/>
  <c r="AR108" i="1"/>
  <c r="AR118" i="1"/>
  <c r="AR117" i="1"/>
  <c r="AR116" i="1"/>
  <c r="AR115" i="1"/>
  <c r="AR114" i="1"/>
  <c r="AR113" i="1"/>
  <c r="AR112" i="1"/>
  <c r="AR111" i="1"/>
  <c r="AR110" i="1"/>
  <c r="AR109" i="1"/>
  <c r="N111" i="1"/>
  <c r="N112" i="1"/>
  <c r="N113" i="1"/>
  <c r="N114" i="1"/>
  <c r="N115" i="1"/>
  <c r="N116" i="1"/>
  <c r="N117" i="1"/>
  <c r="N118" i="1"/>
  <c r="N109" i="1"/>
  <c r="R110" i="1"/>
  <c r="R111" i="1"/>
  <c r="R112" i="1"/>
  <c r="R113" i="1"/>
  <c r="R114" i="1"/>
  <c r="R115" i="1"/>
  <c r="R116" i="1"/>
  <c r="R117" i="1"/>
  <c r="R118" i="1"/>
  <c r="R109" i="1"/>
  <c r="T110" i="1"/>
  <c r="T111" i="1"/>
  <c r="T112" i="1"/>
  <c r="T113" i="1"/>
  <c r="T114" i="1"/>
  <c r="T115" i="1"/>
  <c r="T116" i="1"/>
  <c r="T117" i="1"/>
  <c r="T118" i="1"/>
  <c r="T109" i="1"/>
  <c r="AO110" i="1"/>
  <c r="AO111" i="1"/>
  <c r="AO112" i="1"/>
  <c r="AO113" i="1"/>
  <c r="AO114" i="1"/>
  <c r="AO115" i="1"/>
  <c r="AO116" i="1"/>
  <c r="AO117" i="1"/>
  <c r="AO118" i="1"/>
  <c r="AO109" i="1"/>
  <c r="P3" i="1"/>
  <c r="O4" i="1"/>
  <c r="F110" i="1"/>
  <c r="F111" i="1"/>
  <c r="F112" i="1"/>
  <c r="F113" i="1"/>
  <c r="F114" i="1"/>
  <c r="F115" i="1"/>
  <c r="F116" i="1"/>
  <c r="F117" i="1"/>
  <c r="F118" i="1"/>
  <c r="F109" i="1"/>
  <c r="J110" i="1"/>
  <c r="J111" i="1"/>
  <c r="J112" i="1"/>
  <c r="J113" i="1"/>
  <c r="J114" i="1"/>
  <c r="J115" i="1"/>
  <c r="J116" i="1"/>
  <c r="J117" i="1"/>
  <c r="J118" i="1"/>
  <c r="J109" i="1"/>
  <c r="H110" i="1"/>
  <c r="H111" i="1"/>
  <c r="H112" i="1"/>
  <c r="H113" i="1"/>
  <c r="H114" i="1"/>
  <c r="H115" i="1"/>
  <c r="H116" i="1"/>
  <c r="I116" i="1" s="1"/>
  <c r="H117" i="1"/>
  <c r="H118" i="1"/>
  <c r="H109" i="1"/>
  <c r="N39" i="1"/>
  <c r="AR39" i="1" s="1"/>
  <c r="N40" i="1"/>
  <c r="AR40" i="1" s="1"/>
  <c r="N41" i="1"/>
  <c r="AR41" i="1" s="1"/>
  <c r="N42" i="1"/>
  <c r="AR42" i="1" s="1"/>
  <c r="N43" i="1"/>
  <c r="AR43" i="1" s="1"/>
  <c r="N44" i="1"/>
  <c r="AR44" i="1" s="1"/>
  <c r="N45" i="1"/>
  <c r="AR45" i="1" s="1"/>
  <c r="N46" i="1"/>
  <c r="AR46" i="1" s="1"/>
  <c r="N47" i="1"/>
  <c r="AR47" i="1" s="1"/>
  <c r="N48" i="1"/>
  <c r="AR48" i="1" s="1"/>
  <c r="N49" i="1"/>
  <c r="AR49" i="1" s="1"/>
  <c r="N50" i="1"/>
  <c r="AR50" i="1" s="1"/>
  <c r="N51" i="1"/>
  <c r="AR51" i="1" s="1"/>
  <c r="N52" i="1"/>
  <c r="AR52" i="1" s="1"/>
  <c r="N53" i="1"/>
  <c r="AR53" i="1" s="1"/>
  <c r="N54" i="1"/>
  <c r="AR54" i="1" s="1"/>
  <c r="N55" i="1"/>
  <c r="AR55" i="1" s="1"/>
  <c r="N56" i="1"/>
  <c r="AR56" i="1" s="1"/>
  <c r="N57" i="1"/>
  <c r="AR57" i="1" s="1"/>
  <c r="N58" i="1"/>
  <c r="AR58" i="1" s="1"/>
  <c r="N59" i="1"/>
  <c r="AR59" i="1" s="1"/>
  <c r="N60" i="1"/>
  <c r="AR60" i="1" s="1"/>
  <c r="N61" i="1"/>
  <c r="AR61" i="1" s="1"/>
  <c r="N62" i="1"/>
  <c r="AR62" i="1" s="1"/>
  <c r="N63" i="1"/>
  <c r="AR63" i="1" s="1"/>
  <c r="N64" i="1"/>
  <c r="AR64" i="1" s="1"/>
  <c r="N65" i="1"/>
  <c r="AR65" i="1" s="1"/>
  <c r="N66" i="1"/>
  <c r="AR66" i="1" s="1"/>
  <c r="N67" i="1"/>
  <c r="AR67" i="1" s="1"/>
  <c r="N68" i="1"/>
  <c r="AR68" i="1" s="1"/>
  <c r="N69" i="1"/>
  <c r="AR69" i="1" s="1"/>
  <c r="N70" i="1"/>
  <c r="AR70" i="1" s="1"/>
  <c r="N71" i="1"/>
  <c r="AR71" i="1" s="1"/>
  <c r="N72" i="1"/>
  <c r="AR72" i="1" s="1"/>
  <c r="N73" i="1"/>
  <c r="AR73" i="1" s="1"/>
  <c r="N74" i="1"/>
  <c r="AR74" i="1" s="1"/>
  <c r="N75" i="1"/>
  <c r="AR75" i="1" s="1"/>
  <c r="N76" i="1"/>
  <c r="AR76" i="1" s="1"/>
  <c r="N77" i="1"/>
  <c r="AR77" i="1" s="1"/>
  <c r="N78" i="1"/>
  <c r="AR78" i="1" s="1"/>
  <c r="N79" i="1"/>
  <c r="AR79" i="1" s="1"/>
  <c r="N80" i="1"/>
  <c r="AR80" i="1" s="1"/>
  <c r="N81" i="1"/>
  <c r="AR81" i="1" s="1"/>
  <c r="N82" i="1"/>
  <c r="AR82" i="1" s="1"/>
  <c r="N83" i="1"/>
  <c r="AR83" i="1" s="1"/>
  <c r="N84" i="1"/>
  <c r="AR84" i="1" s="1"/>
  <c r="N85" i="1"/>
  <c r="AR85" i="1" s="1"/>
  <c r="N86" i="1"/>
  <c r="AR86" i="1" s="1"/>
  <c r="N87" i="1"/>
  <c r="AR87" i="1" s="1"/>
  <c r="N88" i="1"/>
  <c r="AR88" i="1" s="1"/>
  <c r="N89" i="1"/>
  <c r="AR89" i="1" s="1"/>
  <c r="N90" i="1"/>
  <c r="AR90" i="1" s="1"/>
  <c r="N91" i="1"/>
  <c r="AR91" i="1" s="1"/>
  <c r="N92" i="1"/>
  <c r="AR92" i="1" s="1"/>
  <c r="N93" i="1"/>
  <c r="AR93" i="1" s="1"/>
  <c r="N94" i="1"/>
  <c r="AR94" i="1" s="1"/>
  <c r="N95" i="1"/>
  <c r="AR95" i="1" s="1"/>
  <c r="N96" i="1"/>
  <c r="AR96" i="1" s="1"/>
  <c r="N97" i="1"/>
  <c r="AR97" i="1" s="1"/>
  <c r="N98" i="1"/>
  <c r="AR98" i="1" s="1"/>
  <c r="N99" i="1"/>
  <c r="AR99" i="1" s="1"/>
  <c r="N100" i="1"/>
  <c r="AR100" i="1" s="1"/>
  <c r="N101" i="1"/>
  <c r="AR101" i="1" s="1"/>
  <c r="N102" i="1"/>
  <c r="AR102" i="1" s="1"/>
  <c r="N103" i="1"/>
  <c r="AR103" i="1" s="1"/>
  <c r="N38" i="1"/>
  <c r="AR38" i="1" s="1"/>
  <c r="Z130" i="1" l="1"/>
  <c r="Z120" i="1"/>
  <c r="L116" i="1"/>
  <c r="G116" i="1"/>
  <c r="M116" i="1" s="1"/>
  <c r="G112" i="1"/>
  <c r="M112" i="1" s="1"/>
  <c r="L112" i="1"/>
  <c r="AP179" i="1"/>
  <c r="AM179" i="1"/>
  <c r="AP181" i="1"/>
  <c r="AP178" i="1"/>
  <c r="AP180" i="1"/>
  <c r="AM181" i="1"/>
  <c r="AM178" i="1"/>
  <c r="AM180" i="1"/>
  <c r="G129" i="1"/>
  <c r="M129" i="1" s="1"/>
  <c r="L129" i="1"/>
  <c r="G125" i="1"/>
  <c r="M125" i="1" s="1"/>
  <c r="L125" i="1"/>
  <c r="G121" i="1"/>
  <c r="M121" i="1" s="1"/>
  <c r="L121" i="1"/>
  <c r="AD130" i="1"/>
  <c r="K129" i="1"/>
  <c r="Z129" i="1" s="1"/>
  <c r="AB129" i="1" s="1"/>
  <c r="K125" i="1"/>
  <c r="Z125" i="1" s="1"/>
  <c r="AD126" i="1"/>
  <c r="AD122" i="1"/>
  <c r="K121" i="1"/>
  <c r="Z121" i="1" s="1"/>
  <c r="AB121" i="1" s="1"/>
  <c r="G109" i="1"/>
  <c r="M109" i="1" s="1"/>
  <c r="L109" i="1"/>
  <c r="L115" i="1"/>
  <c r="G115" i="1"/>
  <c r="M115" i="1" s="1"/>
  <c r="L111" i="1"/>
  <c r="G111" i="1"/>
  <c r="M111" i="1" s="1"/>
  <c r="L128" i="1"/>
  <c r="G128" i="1"/>
  <c r="M128" i="1" s="1"/>
  <c r="G124" i="1"/>
  <c r="M124" i="1" s="1"/>
  <c r="L124" i="1"/>
  <c r="L120" i="1"/>
  <c r="G120" i="1"/>
  <c r="M120" i="1" s="1"/>
  <c r="AD129" i="1"/>
  <c r="K128" i="1"/>
  <c r="Z128" i="1" s="1"/>
  <c r="AD125" i="1"/>
  <c r="K124" i="1"/>
  <c r="Z124" i="1" s="1"/>
  <c r="G118" i="1"/>
  <c r="M118" i="1" s="1"/>
  <c r="L118" i="1"/>
  <c r="G114" i="1"/>
  <c r="M114" i="1" s="1"/>
  <c r="L114" i="1"/>
  <c r="L110" i="1"/>
  <c r="G110" i="1"/>
  <c r="M110" i="1" s="1"/>
  <c r="L119" i="1"/>
  <c r="G119" i="1"/>
  <c r="M119" i="1" s="1"/>
  <c r="L127" i="1"/>
  <c r="G127" i="1"/>
  <c r="M127" i="1" s="1"/>
  <c r="L123" i="1"/>
  <c r="G123" i="1"/>
  <c r="M123" i="1" s="1"/>
  <c r="AD120" i="1"/>
  <c r="K119" i="1"/>
  <c r="Z119" i="1" s="1"/>
  <c r="AB119" i="1" s="1"/>
  <c r="K127" i="1"/>
  <c r="Z127" i="1" s="1"/>
  <c r="AD128" i="1"/>
  <c r="K123" i="1"/>
  <c r="Z123" i="1" s="1"/>
  <c r="AD124" i="1"/>
  <c r="G117" i="1"/>
  <c r="M117" i="1" s="1"/>
  <c r="L117" i="1"/>
  <c r="G113" i="1"/>
  <c r="M113" i="1" s="1"/>
  <c r="L113" i="1"/>
  <c r="L130" i="1"/>
  <c r="G130" i="1"/>
  <c r="M130" i="1" s="1"/>
  <c r="G126" i="1"/>
  <c r="M126" i="1" s="1"/>
  <c r="L126" i="1"/>
  <c r="G122" i="1"/>
  <c r="M122" i="1" s="1"/>
  <c r="L122" i="1"/>
  <c r="K126" i="1"/>
  <c r="Z126" i="1" s="1"/>
  <c r="AD127" i="1"/>
  <c r="K122" i="1"/>
  <c r="Z122" i="1" s="1"/>
  <c r="AB122" i="1" s="1"/>
  <c r="AD123" i="1"/>
  <c r="AP118" i="1"/>
  <c r="AI173" i="1"/>
  <c r="AJ173" i="1" s="1"/>
  <c r="AP173" i="1"/>
  <c r="AI172" i="1"/>
  <c r="AJ172" i="1" s="1"/>
  <c r="AP172" i="1"/>
  <c r="I112" i="1"/>
  <c r="O114" i="1"/>
  <c r="P114" i="1" s="1"/>
  <c r="S114" i="1" s="1"/>
  <c r="O126" i="1"/>
  <c r="AN126" i="1" s="1"/>
  <c r="AJ115" i="1"/>
  <c r="AB130" i="1"/>
  <c r="AM110" i="1"/>
  <c r="AL129" i="1"/>
  <c r="AH129" i="1" s="1"/>
  <c r="AJ129" i="1" s="1"/>
  <c r="AL121" i="1"/>
  <c r="I129" i="1"/>
  <c r="I125" i="1"/>
  <c r="N129" i="1"/>
  <c r="AQ129" i="1"/>
  <c r="N125" i="1"/>
  <c r="AB125" i="1"/>
  <c r="AH125" i="1"/>
  <c r="AJ125" i="1" s="1"/>
  <c r="AQ125" i="1"/>
  <c r="N121" i="1"/>
  <c r="AQ121" i="1"/>
  <c r="AP112" i="1"/>
  <c r="AL128" i="1"/>
  <c r="AH128" i="1" s="1"/>
  <c r="AJ128" i="1" s="1"/>
  <c r="N128" i="1"/>
  <c r="AB128" i="1"/>
  <c r="AQ128" i="1"/>
  <c r="N124" i="1"/>
  <c r="AH124" i="1"/>
  <c r="AJ124" i="1" s="1"/>
  <c r="AB124" i="1"/>
  <c r="AQ124" i="1"/>
  <c r="N120" i="1"/>
  <c r="AH120" i="1"/>
  <c r="AJ120" i="1" s="1"/>
  <c r="AQ120" i="1"/>
  <c r="AM109" i="1"/>
  <c r="AL127" i="1"/>
  <c r="AH127" i="1" s="1"/>
  <c r="AJ127" i="1" s="1"/>
  <c r="AL123" i="1"/>
  <c r="AH123" i="1" s="1"/>
  <c r="AJ123" i="1" s="1"/>
  <c r="O119" i="1"/>
  <c r="N119" i="1"/>
  <c r="AH119" i="1"/>
  <c r="AJ119" i="1" s="1"/>
  <c r="AQ119" i="1"/>
  <c r="O127" i="1"/>
  <c r="AN127" i="1" s="1"/>
  <c r="N127" i="1"/>
  <c r="AB127" i="1"/>
  <c r="AQ127" i="1"/>
  <c r="O123" i="1"/>
  <c r="AN123" i="1" s="1"/>
  <c r="N123" i="1"/>
  <c r="AB123" i="1"/>
  <c r="AQ123" i="1"/>
  <c r="AB120" i="1"/>
  <c r="O116" i="1"/>
  <c r="P116" i="1" s="1"/>
  <c r="S116" i="1" s="1"/>
  <c r="O112" i="1"/>
  <c r="P112" i="1" s="1"/>
  <c r="S112" i="1" s="1"/>
  <c r="AM118" i="1"/>
  <c r="AL130" i="1"/>
  <c r="AH130" i="1" s="1"/>
  <c r="AJ130" i="1" s="1"/>
  <c r="AL122" i="1"/>
  <c r="AH122" i="1" s="1"/>
  <c r="AJ122" i="1" s="1"/>
  <c r="N130" i="1"/>
  <c r="AQ130" i="1"/>
  <c r="N126" i="1"/>
  <c r="AB126" i="1"/>
  <c r="AH126" i="1"/>
  <c r="AJ126" i="1" s="1"/>
  <c r="AQ126" i="1"/>
  <c r="N122" i="1"/>
  <c r="AQ122" i="1"/>
  <c r="AM115" i="1"/>
  <c r="AM111" i="1"/>
  <c r="I121" i="1"/>
  <c r="O124" i="1"/>
  <c r="AN124" i="1" s="1"/>
  <c r="AM114" i="1"/>
  <c r="AP116" i="1"/>
  <c r="O128" i="1"/>
  <c r="AN128" i="1" s="1"/>
  <c r="I124" i="1"/>
  <c r="O120" i="1"/>
  <c r="I130" i="1"/>
  <c r="I122" i="1"/>
  <c r="AJ111" i="1"/>
  <c r="I114" i="1"/>
  <c r="I110" i="1"/>
  <c r="I127" i="1"/>
  <c r="I123" i="1"/>
  <c r="I115" i="1"/>
  <c r="AP111" i="1"/>
  <c r="AP115" i="1"/>
  <c r="I119" i="1"/>
  <c r="I128" i="1"/>
  <c r="I120" i="1"/>
  <c r="O130" i="1"/>
  <c r="AN130" i="1" s="1"/>
  <c r="O122" i="1"/>
  <c r="AN122" i="1" s="1"/>
  <c r="O109" i="1"/>
  <c r="AM117" i="1"/>
  <c r="AM113" i="1"/>
  <c r="AP109" i="1"/>
  <c r="AP113" i="1"/>
  <c r="AP117" i="1"/>
  <c r="AJ118" i="1"/>
  <c r="O129" i="1"/>
  <c r="AN129" i="1" s="1"/>
  <c r="O125" i="1"/>
  <c r="AN125" i="1" s="1"/>
  <c r="O121" i="1"/>
  <c r="AN121" i="1" s="1"/>
  <c r="AM116" i="1"/>
  <c r="AM112" i="1"/>
  <c r="AP110" i="1"/>
  <c r="AP114" i="1"/>
  <c r="I126" i="1"/>
  <c r="AJ117" i="1"/>
  <c r="AJ114" i="1"/>
  <c r="AJ116" i="1"/>
  <c r="AJ112" i="1"/>
  <c r="O115" i="1"/>
  <c r="O118" i="1"/>
  <c r="O110" i="1"/>
  <c r="O111" i="1"/>
  <c r="I118" i="1"/>
  <c r="I111" i="1"/>
  <c r="O117" i="1"/>
  <c r="O113" i="1"/>
  <c r="I117" i="1"/>
  <c r="I113" i="1"/>
  <c r="I109" i="1"/>
  <c r="AN109" i="1" l="1"/>
  <c r="AN181" i="1"/>
  <c r="AO181" i="1"/>
  <c r="AN179" i="1"/>
  <c r="AO179" i="1"/>
  <c r="AQ180" i="1"/>
  <c r="AR180" i="1"/>
  <c r="AQ179" i="1"/>
  <c r="AR179" i="1"/>
  <c r="AQ109" i="1"/>
  <c r="AO180" i="1"/>
  <c r="AN180" i="1"/>
  <c r="AQ178" i="1"/>
  <c r="AR178" i="1"/>
  <c r="AN178" i="1"/>
  <c r="AO178" i="1"/>
  <c r="AQ181" i="1"/>
  <c r="AR181" i="1"/>
  <c r="AR173" i="1"/>
  <c r="AQ173" i="1"/>
  <c r="AR172" i="1"/>
  <c r="AQ172" i="1"/>
  <c r="AQ112" i="1"/>
  <c r="AQ114" i="1"/>
  <c r="AN114" i="1"/>
  <c r="AN116" i="1"/>
  <c r="AQ116" i="1"/>
  <c r="AQ115" i="1"/>
  <c r="P109" i="1"/>
  <c r="S109" i="1" s="1"/>
  <c r="AN112" i="1"/>
  <c r="P130" i="1"/>
  <c r="S130" i="1" s="1"/>
  <c r="AR130" i="1"/>
  <c r="AO130" i="1"/>
  <c r="P128" i="1"/>
  <c r="S128" i="1" s="1"/>
  <c r="AR128" i="1"/>
  <c r="AO128" i="1"/>
  <c r="P129" i="1"/>
  <c r="S129" i="1" s="1"/>
  <c r="AR129" i="1"/>
  <c r="AO129" i="1"/>
  <c r="P123" i="1"/>
  <c r="S123" i="1" s="1"/>
  <c r="AR123" i="1"/>
  <c r="AO123" i="1"/>
  <c r="P127" i="1"/>
  <c r="S127" i="1" s="1"/>
  <c r="AR127" i="1"/>
  <c r="AO127" i="1"/>
  <c r="AR120" i="1"/>
  <c r="AO120" i="1"/>
  <c r="P124" i="1"/>
  <c r="S124" i="1" s="1"/>
  <c r="AR124" i="1"/>
  <c r="AO124" i="1"/>
  <c r="P120" i="1"/>
  <c r="S120" i="1" s="1"/>
  <c r="AN120" i="1"/>
  <c r="P122" i="1"/>
  <c r="S122" i="1" s="1"/>
  <c r="AR122" i="1"/>
  <c r="AO122" i="1"/>
  <c r="P126" i="1"/>
  <c r="S126" i="1" s="1"/>
  <c r="AR126" i="1"/>
  <c r="AO126" i="1"/>
  <c r="AR119" i="1"/>
  <c r="AO119" i="1"/>
  <c r="P121" i="1"/>
  <c r="S121" i="1" s="1"/>
  <c r="AR121" i="1"/>
  <c r="AO121" i="1"/>
  <c r="P125" i="1"/>
  <c r="S125" i="1" s="1"/>
  <c r="AR125" i="1"/>
  <c r="AO125" i="1"/>
  <c r="P119" i="1"/>
  <c r="S119" i="1" s="1"/>
  <c r="AN119" i="1"/>
  <c r="AH121" i="1"/>
  <c r="AJ121" i="1"/>
  <c r="AQ111" i="1"/>
  <c r="P110" i="1"/>
  <c r="S110" i="1" s="1"/>
  <c r="AN110" i="1"/>
  <c r="P113" i="1"/>
  <c r="S113" i="1" s="1"/>
  <c r="AN113" i="1"/>
  <c r="P118" i="1"/>
  <c r="S118" i="1" s="1"/>
  <c r="AN118" i="1"/>
  <c r="P117" i="1"/>
  <c r="S117" i="1" s="1"/>
  <c r="AQ117" i="1"/>
  <c r="AN117" i="1"/>
  <c r="AQ113" i="1"/>
  <c r="P111" i="1"/>
  <c r="S111" i="1" s="1"/>
  <c r="AN111" i="1"/>
  <c r="AQ118" i="1"/>
  <c r="AQ110" i="1"/>
  <c r="P115" i="1"/>
  <c r="S115" i="1" s="1"/>
  <c r="AN115" i="1"/>
  <c r="AJ104" i="1" l="1"/>
  <c r="AJ105" i="1"/>
  <c r="AJ106" i="1"/>
  <c r="AJ107" i="1"/>
  <c r="AJ108" i="1"/>
  <c r="AB108" i="1"/>
  <c r="AB107" i="1"/>
  <c r="AB106" i="1"/>
  <c r="AB105" i="1"/>
  <c r="AB104" i="1"/>
  <c r="AO105" i="1"/>
  <c r="AO106" i="1"/>
  <c r="AO107" i="1"/>
  <c r="AO108" i="1"/>
  <c r="AO104" i="1"/>
  <c r="O105" i="1"/>
  <c r="O106" i="1"/>
  <c r="O107" i="1"/>
  <c r="O108" i="1"/>
  <c r="O104" i="1"/>
  <c r="I105" i="1"/>
  <c r="I106" i="1"/>
  <c r="I107" i="1"/>
  <c r="I108" i="1"/>
  <c r="I104" i="1"/>
  <c r="AO39" i="1"/>
  <c r="AO40" i="1"/>
  <c r="AO41" i="1"/>
  <c r="AO42" i="1"/>
  <c r="AO43" i="1"/>
  <c r="AO44" i="1"/>
  <c r="AO45" i="1"/>
  <c r="AO46" i="1"/>
  <c r="AO47" i="1"/>
  <c r="AO48" i="1"/>
  <c r="AO49" i="1"/>
  <c r="AO50" i="1"/>
  <c r="AO51" i="1"/>
  <c r="AO52" i="1"/>
  <c r="AO53" i="1"/>
  <c r="AO54" i="1"/>
  <c r="AO55" i="1"/>
  <c r="AO56" i="1"/>
  <c r="AO57" i="1"/>
  <c r="AO58" i="1"/>
  <c r="AO59" i="1"/>
  <c r="AO60" i="1"/>
  <c r="AO61" i="1"/>
  <c r="AO62" i="1"/>
  <c r="AO63" i="1"/>
  <c r="AO64" i="1"/>
  <c r="AO65" i="1"/>
  <c r="AO66" i="1"/>
  <c r="AO67" i="1"/>
  <c r="AO68" i="1"/>
  <c r="AO69" i="1"/>
  <c r="AO70" i="1"/>
  <c r="AO71" i="1"/>
  <c r="AO72" i="1"/>
  <c r="AO73" i="1"/>
  <c r="AO74" i="1"/>
  <c r="AO75" i="1"/>
  <c r="AO76" i="1"/>
  <c r="AO77" i="1"/>
  <c r="AO78" i="1"/>
  <c r="AO79" i="1"/>
  <c r="AO80" i="1"/>
  <c r="AO81" i="1"/>
  <c r="AO82" i="1"/>
  <c r="AO83" i="1"/>
  <c r="AO84" i="1"/>
  <c r="AO85" i="1"/>
  <c r="AO86" i="1"/>
  <c r="AO87" i="1"/>
  <c r="AO88" i="1"/>
  <c r="AO89" i="1"/>
  <c r="AO90" i="1"/>
  <c r="AO91" i="1"/>
  <c r="AO92" i="1"/>
  <c r="AO93" i="1"/>
  <c r="AO94" i="1"/>
  <c r="AO95" i="1"/>
  <c r="AO96" i="1"/>
  <c r="AO97" i="1"/>
  <c r="AO98" i="1"/>
  <c r="AO99" i="1"/>
  <c r="AO100" i="1"/>
  <c r="AO101" i="1"/>
  <c r="AO102" i="1"/>
  <c r="AO103" i="1"/>
  <c r="AO38" i="1"/>
  <c r="AH39" i="1"/>
  <c r="AF39" i="1" s="1"/>
  <c r="AG39" i="1" s="1"/>
  <c r="AH40" i="1"/>
  <c r="AF40" i="1" s="1"/>
  <c r="AG40" i="1" s="1"/>
  <c r="AH41" i="1"/>
  <c r="AF41" i="1" s="1"/>
  <c r="AG41" i="1" s="1"/>
  <c r="AH42" i="1"/>
  <c r="AF42" i="1" s="1"/>
  <c r="AG42" i="1" s="1"/>
  <c r="AH43" i="1"/>
  <c r="AH44" i="1"/>
  <c r="AF44" i="1" s="1"/>
  <c r="AG44" i="1" s="1"/>
  <c r="AH45" i="1"/>
  <c r="AF45" i="1" s="1"/>
  <c r="AG45" i="1" s="1"/>
  <c r="AH46" i="1"/>
  <c r="AF46" i="1" s="1"/>
  <c r="AG46" i="1" s="1"/>
  <c r="AH47" i="1"/>
  <c r="AH48" i="1"/>
  <c r="AF48" i="1" s="1"/>
  <c r="AG48" i="1" s="1"/>
  <c r="AH49" i="1"/>
  <c r="AF49" i="1" s="1"/>
  <c r="AG49" i="1" s="1"/>
  <c r="AH50" i="1"/>
  <c r="AF50" i="1" s="1"/>
  <c r="AG50" i="1" s="1"/>
  <c r="AH51" i="1"/>
  <c r="AF51" i="1" s="1"/>
  <c r="AG51" i="1" s="1"/>
  <c r="AH52" i="1"/>
  <c r="AF52" i="1" s="1"/>
  <c r="AG52" i="1" s="1"/>
  <c r="AH53" i="1"/>
  <c r="AF53" i="1" s="1"/>
  <c r="AG53" i="1" s="1"/>
  <c r="AH54" i="1"/>
  <c r="AF54" i="1" s="1"/>
  <c r="AG54" i="1" s="1"/>
  <c r="AH55" i="1"/>
  <c r="AF55" i="1" s="1"/>
  <c r="AG55" i="1" s="1"/>
  <c r="AH56" i="1"/>
  <c r="AF56" i="1" s="1"/>
  <c r="AG56" i="1" s="1"/>
  <c r="AH57" i="1"/>
  <c r="AF57" i="1" s="1"/>
  <c r="AG57" i="1" s="1"/>
  <c r="AH58" i="1"/>
  <c r="AF58" i="1" s="1"/>
  <c r="AG58" i="1" s="1"/>
  <c r="AH59" i="1"/>
  <c r="AH60" i="1"/>
  <c r="AF60" i="1" s="1"/>
  <c r="AG60" i="1" s="1"/>
  <c r="AH61" i="1"/>
  <c r="AF61" i="1" s="1"/>
  <c r="AG61" i="1" s="1"/>
  <c r="AH62" i="1"/>
  <c r="AF62" i="1" s="1"/>
  <c r="AG62" i="1" s="1"/>
  <c r="AH63" i="1"/>
  <c r="AH64" i="1"/>
  <c r="AF64" i="1" s="1"/>
  <c r="AG64" i="1" s="1"/>
  <c r="AH65" i="1"/>
  <c r="AF65" i="1" s="1"/>
  <c r="AG65" i="1" s="1"/>
  <c r="AH66" i="1"/>
  <c r="AF66" i="1" s="1"/>
  <c r="AG66" i="1" s="1"/>
  <c r="AH67" i="1"/>
  <c r="AF67" i="1" s="1"/>
  <c r="AG67" i="1" s="1"/>
  <c r="AH68" i="1"/>
  <c r="AF68" i="1" s="1"/>
  <c r="AG68" i="1" s="1"/>
  <c r="AH69" i="1"/>
  <c r="AF69" i="1" s="1"/>
  <c r="AG69" i="1" s="1"/>
  <c r="AH70" i="1"/>
  <c r="AF70" i="1" s="1"/>
  <c r="AG70" i="1" s="1"/>
  <c r="AH71" i="1"/>
  <c r="AF71" i="1" s="1"/>
  <c r="AG71" i="1" s="1"/>
  <c r="AH72" i="1"/>
  <c r="AF72" i="1" s="1"/>
  <c r="AG72" i="1" s="1"/>
  <c r="AH73" i="1"/>
  <c r="AF73" i="1" s="1"/>
  <c r="AG73" i="1" s="1"/>
  <c r="AH74" i="1"/>
  <c r="AF74" i="1" s="1"/>
  <c r="AG74" i="1" s="1"/>
  <c r="AH75" i="1"/>
  <c r="AH76" i="1"/>
  <c r="AF76" i="1" s="1"/>
  <c r="AG76" i="1" s="1"/>
  <c r="AH77" i="1"/>
  <c r="AF77" i="1" s="1"/>
  <c r="AG77" i="1" s="1"/>
  <c r="AH78" i="1"/>
  <c r="AF78" i="1" s="1"/>
  <c r="AG78" i="1" s="1"/>
  <c r="AH79" i="1"/>
  <c r="AH80" i="1"/>
  <c r="AF80" i="1" s="1"/>
  <c r="AG80" i="1" s="1"/>
  <c r="AH81" i="1"/>
  <c r="AF81" i="1" s="1"/>
  <c r="AG81" i="1" s="1"/>
  <c r="AH82" i="1"/>
  <c r="AF82" i="1" s="1"/>
  <c r="AG82" i="1" s="1"/>
  <c r="AH83" i="1"/>
  <c r="AF83" i="1" s="1"/>
  <c r="AG83" i="1" s="1"/>
  <c r="AH84" i="1"/>
  <c r="AF84" i="1" s="1"/>
  <c r="AG84" i="1" s="1"/>
  <c r="AH85" i="1"/>
  <c r="AF85" i="1" s="1"/>
  <c r="AG85" i="1" s="1"/>
  <c r="AH86" i="1"/>
  <c r="AF86" i="1" s="1"/>
  <c r="AG86" i="1" s="1"/>
  <c r="AH87" i="1"/>
  <c r="AF87" i="1" s="1"/>
  <c r="AG87" i="1" s="1"/>
  <c r="AH88" i="1"/>
  <c r="AF88" i="1" s="1"/>
  <c r="AG88" i="1" s="1"/>
  <c r="AH89" i="1"/>
  <c r="AF89" i="1" s="1"/>
  <c r="AG89" i="1" s="1"/>
  <c r="AH90" i="1"/>
  <c r="AF90" i="1" s="1"/>
  <c r="AG90" i="1" s="1"/>
  <c r="AH91" i="1"/>
  <c r="AH92" i="1"/>
  <c r="AF92" i="1" s="1"/>
  <c r="AG92" i="1" s="1"/>
  <c r="AH93" i="1"/>
  <c r="AF93" i="1" s="1"/>
  <c r="AG93" i="1" s="1"/>
  <c r="AH94" i="1"/>
  <c r="AF94" i="1" s="1"/>
  <c r="AG94" i="1" s="1"/>
  <c r="AH95" i="1"/>
  <c r="AH96" i="1"/>
  <c r="AF96" i="1" s="1"/>
  <c r="AG96" i="1" s="1"/>
  <c r="AH97" i="1"/>
  <c r="AF97" i="1" s="1"/>
  <c r="AG97" i="1" s="1"/>
  <c r="AH98" i="1"/>
  <c r="AH99" i="1"/>
  <c r="AH100" i="1"/>
  <c r="AF100" i="1" s="1"/>
  <c r="AG100" i="1" s="1"/>
  <c r="AH101" i="1"/>
  <c r="AH102" i="1"/>
  <c r="AH103" i="1"/>
  <c r="AF103" i="1" s="1"/>
  <c r="AG103" i="1" s="1"/>
  <c r="AH38" i="1"/>
  <c r="Y37" i="1"/>
  <c r="AJ15" i="1"/>
  <c r="AJ16" i="1"/>
  <c r="AJ23" i="1"/>
  <c r="AJ28" i="1"/>
  <c r="AJ29" i="1"/>
  <c r="AB38" i="1"/>
  <c r="AB39" i="1"/>
  <c r="AB40" i="1"/>
  <c r="AB41" i="1"/>
  <c r="AB42" i="1"/>
  <c r="AB43" i="1"/>
  <c r="AB44" i="1"/>
  <c r="AB45" i="1"/>
  <c r="AB46" i="1"/>
  <c r="AB47" i="1"/>
  <c r="AB48" i="1"/>
  <c r="AB49" i="1"/>
  <c r="AB50" i="1"/>
  <c r="AB51" i="1"/>
  <c r="AB52" i="1"/>
  <c r="AB53" i="1"/>
  <c r="AB54" i="1"/>
  <c r="AB55" i="1"/>
  <c r="AB56" i="1"/>
  <c r="AB57" i="1"/>
  <c r="AB58" i="1"/>
  <c r="AB59" i="1"/>
  <c r="AB60" i="1"/>
  <c r="AB61" i="1"/>
  <c r="AB62" i="1"/>
  <c r="AB63" i="1"/>
  <c r="AB64" i="1"/>
  <c r="AB65" i="1"/>
  <c r="AB66" i="1"/>
  <c r="AB67" i="1"/>
  <c r="AB68" i="1"/>
  <c r="AB69" i="1"/>
  <c r="AB70" i="1"/>
  <c r="AB71" i="1"/>
  <c r="AB72" i="1"/>
  <c r="AB73" i="1"/>
  <c r="AB74" i="1"/>
  <c r="AB75" i="1"/>
  <c r="AB76" i="1"/>
  <c r="AB77" i="1"/>
  <c r="AB78" i="1"/>
  <c r="AB79" i="1"/>
  <c r="AB80" i="1"/>
  <c r="AB81" i="1"/>
  <c r="AB82" i="1"/>
  <c r="AB83" i="1"/>
  <c r="AB84" i="1"/>
  <c r="AB85" i="1"/>
  <c r="AB86" i="1"/>
  <c r="AB87" i="1"/>
  <c r="AB88" i="1"/>
  <c r="AB89" i="1"/>
  <c r="AB90" i="1"/>
  <c r="AB91" i="1"/>
  <c r="AB92" i="1"/>
  <c r="AB93" i="1"/>
  <c r="AB94" i="1"/>
  <c r="AB95" i="1"/>
  <c r="AB96" i="1"/>
  <c r="AB97" i="1"/>
  <c r="AB98" i="1"/>
  <c r="AB99" i="1"/>
  <c r="AB100" i="1"/>
  <c r="AB101" i="1"/>
  <c r="AB102" i="1"/>
  <c r="AB103" i="1"/>
  <c r="AJ99" i="1" l="1"/>
  <c r="AF99" i="1"/>
  <c r="AG99" i="1" s="1"/>
  <c r="AJ91" i="1"/>
  <c r="AF91" i="1"/>
  <c r="AG91" i="1" s="1"/>
  <c r="AJ75" i="1"/>
  <c r="AF75" i="1"/>
  <c r="AG75" i="1" s="1"/>
  <c r="AJ59" i="1"/>
  <c r="AF59" i="1"/>
  <c r="AG59" i="1" s="1"/>
  <c r="AJ43" i="1"/>
  <c r="AF43" i="1"/>
  <c r="AG43" i="1" s="1"/>
  <c r="AJ98" i="1"/>
  <c r="AF98" i="1"/>
  <c r="AG98" i="1" s="1"/>
  <c r="AJ38" i="1"/>
  <c r="AF38" i="1"/>
  <c r="AG38" i="1" s="1"/>
  <c r="AJ95" i="1"/>
  <c r="AF95" i="1"/>
  <c r="AG95" i="1" s="1"/>
  <c r="AJ79" i="1"/>
  <c r="AF79" i="1"/>
  <c r="AG79" i="1" s="1"/>
  <c r="AJ63" i="1"/>
  <c r="AF63" i="1"/>
  <c r="AG63" i="1" s="1"/>
  <c r="AJ47" i="1"/>
  <c r="AF47" i="1"/>
  <c r="AG47" i="1" s="1"/>
  <c r="AJ102" i="1"/>
  <c r="AF102" i="1"/>
  <c r="AG102" i="1" s="1"/>
  <c r="AJ101" i="1"/>
  <c r="AF101" i="1"/>
  <c r="AG101" i="1" s="1"/>
  <c r="AJ81" i="1"/>
  <c r="AJ60" i="1"/>
  <c r="AJ40" i="1"/>
  <c r="AJ84" i="1"/>
  <c r="AJ100" i="1"/>
  <c r="AJ92" i="1"/>
  <c r="AJ68" i="1"/>
  <c r="AJ76" i="1"/>
  <c r="AJ45" i="1"/>
  <c r="AJ69" i="1"/>
  <c r="AJ89" i="1"/>
  <c r="AJ77" i="1"/>
  <c r="AJ57" i="1"/>
  <c r="AJ41" i="1"/>
  <c r="AJ85" i="1"/>
  <c r="AJ65" i="1"/>
  <c r="AJ53" i="1"/>
  <c r="AJ93" i="1"/>
  <c r="AJ73" i="1"/>
  <c r="AJ61" i="1"/>
  <c r="AJ49" i="1"/>
  <c r="P104" i="1"/>
  <c r="P105" i="1"/>
  <c r="AJ97" i="1"/>
  <c r="AJ87" i="1"/>
  <c r="AJ80" i="1"/>
  <c r="AJ72" i="1"/>
  <c r="AJ64" i="1"/>
  <c r="AJ56" i="1"/>
  <c r="AJ48" i="1"/>
  <c r="P108" i="1"/>
  <c r="AJ55" i="1"/>
  <c r="P107" i="1"/>
  <c r="AJ103" i="1"/>
  <c r="P106" i="1"/>
  <c r="AJ96" i="1"/>
  <c r="AJ88" i="1"/>
  <c r="AJ52" i="1"/>
  <c r="AJ44" i="1"/>
  <c r="AN108" i="1"/>
  <c r="AJ71" i="1"/>
  <c r="AJ39" i="1"/>
  <c r="AJ62" i="1"/>
  <c r="AJ83" i="1"/>
  <c r="AJ51" i="1"/>
  <c r="AN104" i="1"/>
  <c r="AN107" i="1"/>
  <c r="AN105" i="1"/>
  <c r="AJ67" i="1"/>
  <c r="AJ78" i="1"/>
  <c r="AN106" i="1"/>
  <c r="AJ94" i="1"/>
  <c r="AJ90" i="1"/>
  <c r="AJ86" i="1"/>
  <c r="AJ82" i="1"/>
  <c r="AJ74" i="1"/>
  <c r="AJ70" i="1"/>
  <c r="AJ66" i="1"/>
  <c r="AJ58" i="1"/>
  <c r="AJ54" i="1"/>
  <c r="AJ50" i="1"/>
  <c r="AJ46" i="1"/>
  <c r="AJ42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O39" i="1"/>
  <c r="O40" i="1"/>
  <c r="O41" i="1"/>
  <c r="O42" i="1"/>
  <c r="O43" i="1"/>
  <c r="O44" i="1"/>
  <c r="O45" i="1"/>
  <c r="O46" i="1"/>
  <c r="O47" i="1"/>
  <c r="O48" i="1"/>
  <c r="O49" i="1"/>
  <c r="O50" i="1"/>
  <c r="O51" i="1"/>
  <c r="O52" i="1"/>
  <c r="O53" i="1"/>
  <c r="O54" i="1"/>
  <c r="O55" i="1"/>
  <c r="O56" i="1"/>
  <c r="O57" i="1"/>
  <c r="O58" i="1"/>
  <c r="O59" i="1"/>
  <c r="O60" i="1"/>
  <c r="O61" i="1"/>
  <c r="O62" i="1"/>
  <c r="O63" i="1"/>
  <c r="O64" i="1"/>
  <c r="O65" i="1"/>
  <c r="O66" i="1"/>
  <c r="O67" i="1"/>
  <c r="O68" i="1"/>
  <c r="O69" i="1"/>
  <c r="O70" i="1"/>
  <c r="O71" i="1"/>
  <c r="O72" i="1"/>
  <c r="O73" i="1"/>
  <c r="O74" i="1"/>
  <c r="O75" i="1"/>
  <c r="O76" i="1"/>
  <c r="O77" i="1"/>
  <c r="O78" i="1"/>
  <c r="O79" i="1"/>
  <c r="O80" i="1"/>
  <c r="O81" i="1"/>
  <c r="O82" i="1"/>
  <c r="O83" i="1"/>
  <c r="O84" i="1"/>
  <c r="O85" i="1"/>
  <c r="O86" i="1"/>
  <c r="O87" i="1"/>
  <c r="O88" i="1"/>
  <c r="O89" i="1"/>
  <c r="O90" i="1"/>
  <c r="O91" i="1"/>
  <c r="O92" i="1"/>
  <c r="O93" i="1"/>
  <c r="O94" i="1"/>
  <c r="O95" i="1"/>
  <c r="O96" i="1"/>
  <c r="O97" i="1"/>
  <c r="O98" i="1"/>
  <c r="O99" i="1"/>
  <c r="O100" i="1"/>
  <c r="O101" i="1"/>
  <c r="O102" i="1"/>
  <c r="O103" i="1"/>
  <c r="O38" i="1"/>
  <c r="I38" i="1"/>
  <c r="AN98" i="1" l="1"/>
  <c r="P98" i="1"/>
  <c r="S98" i="1" s="1"/>
  <c r="AN86" i="1"/>
  <c r="P86" i="1"/>
  <c r="S86" i="1" s="1"/>
  <c r="AN78" i="1"/>
  <c r="P78" i="1"/>
  <c r="S78" i="1" s="1"/>
  <c r="AN66" i="1"/>
  <c r="P66" i="1"/>
  <c r="S66" i="1" s="1"/>
  <c r="AN54" i="1"/>
  <c r="P54" i="1"/>
  <c r="S54" i="1" s="1"/>
  <c r="AN42" i="1"/>
  <c r="P42" i="1"/>
  <c r="S42" i="1" s="1"/>
  <c r="AN101" i="1"/>
  <c r="P101" i="1"/>
  <c r="S101" i="1" s="1"/>
  <c r="AN97" i="1"/>
  <c r="P97" i="1"/>
  <c r="S97" i="1" s="1"/>
  <c r="AN93" i="1"/>
  <c r="P93" i="1"/>
  <c r="S93" i="1" s="1"/>
  <c r="AN89" i="1"/>
  <c r="P89" i="1"/>
  <c r="S89" i="1" s="1"/>
  <c r="AN85" i="1"/>
  <c r="P85" i="1"/>
  <c r="S85" i="1" s="1"/>
  <c r="AN81" i="1"/>
  <c r="P81" i="1"/>
  <c r="S81" i="1" s="1"/>
  <c r="AN77" i="1"/>
  <c r="P77" i="1"/>
  <c r="S77" i="1" s="1"/>
  <c r="AN73" i="1"/>
  <c r="P73" i="1"/>
  <c r="S73" i="1" s="1"/>
  <c r="AN69" i="1"/>
  <c r="P69" i="1"/>
  <c r="S69" i="1" s="1"/>
  <c r="AN65" i="1"/>
  <c r="P65" i="1"/>
  <c r="S65" i="1" s="1"/>
  <c r="AN61" i="1"/>
  <c r="P61" i="1"/>
  <c r="S61" i="1" s="1"/>
  <c r="AN57" i="1"/>
  <c r="P57" i="1"/>
  <c r="S57" i="1" s="1"/>
  <c r="AN53" i="1"/>
  <c r="P53" i="1"/>
  <c r="S53" i="1" s="1"/>
  <c r="AN49" i="1"/>
  <c r="P49" i="1"/>
  <c r="S49" i="1" s="1"/>
  <c r="AN45" i="1"/>
  <c r="P45" i="1"/>
  <c r="S45" i="1" s="1"/>
  <c r="AN41" i="1"/>
  <c r="P41" i="1"/>
  <c r="S41" i="1" s="1"/>
  <c r="AN94" i="1"/>
  <c r="P94" i="1"/>
  <c r="S94" i="1" s="1"/>
  <c r="AN82" i="1"/>
  <c r="P82" i="1"/>
  <c r="S82" i="1" s="1"/>
  <c r="AN70" i="1"/>
  <c r="P70" i="1"/>
  <c r="S70" i="1" s="1"/>
  <c r="AN58" i="1"/>
  <c r="P58" i="1"/>
  <c r="S58" i="1" s="1"/>
  <c r="AN46" i="1"/>
  <c r="P46" i="1"/>
  <c r="S46" i="1" s="1"/>
  <c r="P38" i="1"/>
  <c r="S38" i="1" s="1"/>
  <c r="AN38" i="1"/>
  <c r="AN100" i="1"/>
  <c r="P100" i="1"/>
  <c r="S100" i="1" s="1"/>
  <c r="AN96" i="1"/>
  <c r="P96" i="1"/>
  <c r="S96" i="1" s="1"/>
  <c r="AN92" i="1"/>
  <c r="P92" i="1"/>
  <c r="S92" i="1" s="1"/>
  <c r="AN88" i="1"/>
  <c r="P88" i="1"/>
  <c r="S88" i="1" s="1"/>
  <c r="AN84" i="1"/>
  <c r="P84" i="1"/>
  <c r="S84" i="1" s="1"/>
  <c r="AN80" i="1"/>
  <c r="P80" i="1"/>
  <c r="S80" i="1" s="1"/>
  <c r="AN76" i="1"/>
  <c r="P76" i="1"/>
  <c r="S76" i="1" s="1"/>
  <c r="AN72" i="1"/>
  <c r="P72" i="1"/>
  <c r="S72" i="1" s="1"/>
  <c r="AN68" i="1"/>
  <c r="P68" i="1"/>
  <c r="S68" i="1" s="1"/>
  <c r="AN64" i="1"/>
  <c r="P64" i="1"/>
  <c r="S64" i="1" s="1"/>
  <c r="AN60" i="1"/>
  <c r="P60" i="1"/>
  <c r="S60" i="1" s="1"/>
  <c r="AN56" i="1"/>
  <c r="P56" i="1"/>
  <c r="S56" i="1" s="1"/>
  <c r="AN52" i="1"/>
  <c r="P52" i="1"/>
  <c r="S52" i="1" s="1"/>
  <c r="AN48" i="1"/>
  <c r="P48" i="1"/>
  <c r="S48" i="1" s="1"/>
  <c r="AN44" i="1"/>
  <c r="P44" i="1"/>
  <c r="S44" i="1" s="1"/>
  <c r="AN40" i="1"/>
  <c r="P40" i="1"/>
  <c r="S40" i="1" s="1"/>
  <c r="AN102" i="1"/>
  <c r="P102" i="1"/>
  <c r="S102" i="1" s="1"/>
  <c r="AN90" i="1"/>
  <c r="P90" i="1"/>
  <c r="S90" i="1" s="1"/>
  <c r="AN74" i="1"/>
  <c r="P74" i="1"/>
  <c r="S74" i="1" s="1"/>
  <c r="AN62" i="1"/>
  <c r="P62" i="1"/>
  <c r="S62" i="1" s="1"/>
  <c r="AN50" i="1"/>
  <c r="P50" i="1"/>
  <c r="S50" i="1" s="1"/>
  <c r="AN103" i="1"/>
  <c r="P103" i="1"/>
  <c r="S103" i="1" s="1"/>
  <c r="AN99" i="1"/>
  <c r="P99" i="1"/>
  <c r="S99" i="1" s="1"/>
  <c r="AN95" i="1"/>
  <c r="P95" i="1"/>
  <c r="S95" i="1" s="1"/>
  <c r="AN91" i="1"/>
  <c r="P91" i="1"/>
  <c r="S91" i="1" s="1"/>
  <c r="AN87" i="1"/>
  <c r="P87" i="1"/>
  <c r="S87" i="1" s="1"/>
  <c r="AN83" i="1"/>
  <c r="P83" i="1"/>
  <c r="S83" i="1" s="1"/>
  <c r="AN79" i="1"/>
  <c r="P79" i="1"/>
  <c r="S79" i="1" s="1"/>
  <c r="AN75" i="1"/>
  <c r="P75" i="1"/>
  <c r="S75" i="1" s="1"/>
  <c r="AN71" i="1"/>
  <c r="P71" i="1"/>
  <c r="S71" i="1" s="1"/>
  <c r="AN67" i="1"/>
  <c r="P67" i="1"/>
  <c r="S67" i="1" s="1"/>
  <c r="AN63" i="1"/>
  <c r="P63" i="1"/>
  <c r="S63" i="1" s="1"/>
  <c r="AN59" i="1"/>
  <c r="P59" i="1"/>
  <c r="S59" i="1" s="1"/>
  <c r="AN55" i="1"/>
  <c r="P55" i="1"/>
  <c r="S55" i="1" s="1"/>
  <c r="AN51" i="1"/>
  <c r="P51" i="1"/>
  <c r="S51" i="1" s="1"/>
  <c r="AN47" i="1"/>
  <c r="P47" i="1"/>
  <c r="S47" i="1" s="1"/>
  <c r="AN43" i="1"/>
  <c r="P43" i="1"/>
  <c r="S43" i="1" s="1"/>
  <c r="AN39" i="1"/>
  <c r="P39" i="1"/>
  <c r="S39" i="1" s="1"/>
  <c r="AK10" i="1" l="1"/>
  <c r="AK11" i="1"/>
  <c r="AK12" i="1"/>
  <c r="AK13" i="1"/>
  <c r="AK14" i="1"/>
  <c r="AK15" i="1"/>
  <c r="AK16" i="1"/>
  <c r="AK17" i="1"/>
  <c r="AK18" i="1"/>
  <c r="AK19" i="1"/>
  <c r="AK20" i="1"/>
  <c r="AK21" i="1"/>
  <c r="AK22" i="1"/>
  <c r="AK23" i="1"/>
  <c r="AK24" i="1"/>
  <c r="AK25" i="1"/>
  <c r="AK26" i="1"/>
  <c r="AK27" i="1"/>
  <c r="AK28" i="1"/>
  <c r="AK29" i="1"/>
  <c r="AK30" i="1"/>
  <c r="AK31" i="1"/>
  <c r="AK32" i="1"/>
  <c r="AK33" i="1"/>
  <c r="AK34" i="1"/>
  <c r="AK35" i="1"/>
  <c r="AK36" i="1"/>
  <c r="AK37" i="1"/>
  <c r="AK9" i="1"/>
  <c r="P10" i="1" l="1"/>
  <c r="P11" i="1"/>
  <c r="P12" i="1"/>
  <c r="P13" i="1"/>
  <c r="P14" i="1"/>
  <c r="P15" i="1"/>
  <c r="P16" i="1"/>
  <c r="P17" i="1"/>
  <c r="P18" i="1"/>
  <c r="P19" i="1"/>
  <c r="P20" i="1"/>
  <c r="P21" i="1"/>
  <c r="P22" i="1"/>
  <c r="P23" i="1"/>
  <c r="P24" i="1"/>
  <c r="P25" i="1"/>
  <c r="P26" i="1"/>
  <c r="P27" i="1"/>
  <c r="P28" i="1"/>
  <c r="P29" i="1"/>
  <c r="P30" i="1"/>
  <c r="P31" i="1"/>
  <c r="P32" i="1"/>
  <c r="P33" i="1"/>
  <c r="P34" i="1"/>
  <c r="P35" i="1"/>
  <c r="P36" i="1"/>
  <c r="P37" i="1"/>
  <c r="P9" i="1"/>
  <c r="O10" i="1"/>
  <c r="AP10" i="1" s="1"/>
  <c r="O11" i="1"/>
  <c r="AP11" i="1" s="1"/>
  <c r="O12" i="1"/>
  <c r="AP12" i="1" s="1"/>
  <c r="O13" i="1"/>
  <c r="O14" i="1"/>
  <c r="AP14" i="1" s="1"/>
  <c r="O15" i="1"/>
  <c r="AP15" i="1" s="1"/>
  <c r="O16" i="1"/>
  <c r="AP16" i="1" s="1"/>
  <c r="O17" i="1"/>
  <c r="O18" i="1"/>
  <c r="AP18" i="1" s="1"/>
  <c r="O19" i="1"/>
  <c r="AP19" i="1" s="1"/>
  <c r="O20" i="1"/>
  <c r="AP20" i="1" s="1"/>
  <c r="O21" i="1"/>
  <c r="O22" i="1"/>
  <c r="AP22" i="1" s="1"/>
  <c r="O23" i="1"/>
  <c r="AP23" i="1" s="1"/>
  <c r="O24" i="1"/>
  <c r="AP24" i="1" s="1"/>
  <c r="O25" i="1"/>
  <c r="O26" i="1"/>
  <c r="AP26" i="1" s="1"/>
  <c r="O27" i="1"/>
  <c r="AP27" i="1" s="1"/>
  <c r="O28" i="1"/>
  <c r="AP28" i="1" s="1"/>
  <c r="O29" i="1"/>
  <c r="O30" i="1"/>
  <c r="AP30" i="1" s="1"/>
  <c r="O31" i="1"/>
  <c r="AP31" i="1" s="1"/>
  <c r="O32" i="1"/>
  <c r="AP32" i="1" s="1"/>
  <c r="O33" i="1"/>
  <c r="O34" i="1"/>
  <c r="AP34" i="1" s="1"/>
  <c r="O35" i="1"/>
  <c r="AP35" i="1" s="1"/>
  <c r="O36" i="1"/>
  <c r="AP36" i="1" s="1"/>
  <c r="O37" i="1"/>
  <c r="O9" i="1"/>
  <c r="AP9" i="1" s="1"/>
  <c r="AT10" i="1" s="1"/>
  <c r="AM21" i="1"/>
  <c r="AM22" i="1"/>
  <c r="AM23" i="1"/>
  <c r="AM24" i="1"/>
  <c r="AM25" i="1"/>
  <c r="AM26" i="1"/>
  <c r="AM27" i="1"/>
  <c r="AM28" i="1"/>
  <c r="AM29" i="1"/>
  <c r="AM30" i="1"/>
  <c r="AM31" i="1"/>
  <c r="AM32" i="1"/>
  <c r="AM33" i="1"/>
  <c r="AM34" i="1"/>
  <c r="AM35" i="1"/>
  <c r="AM36" i="1"/>
  <c r="AM37" i="1"/>
  <c r="AM20" i="1"/>
  <c r="T10" i="1"/>
  <c r="T11" i="1"/>
  <c r="T12" i="1"/>
  <c r="T13" i="1"/>
  <c r="T14" i="1"/>
  <c r="T15" i="1"/>
  <c r="T16" i="1"/>
  <c r="T17" i="1"/>
  <c r="T18" i="1"/>
  <c r="T19" i="1"/>
  <c r="T20" i="1"/>
  <c r="T21" i="1"/>
  <c r="T22" i="1"/>
  <c r="T23" i="1"/>
  <c r="T24" i="1"/>
  <c r="T25" i="1"/>
  <c r="T26" i="1"/>
  <c r="T27" i="1"/>
  <c r="T28" i="1"/>
  <c r="T29" i="1"/>
  <c r="T30" i="1"/>
  <c r="T31" i="1"/>
  <c r="T32" i="1"/>
  <c r="T33" i="1"/>
  <c r="T34" i="1"/>
  <c r="T35" i="1"/>
  <c r="T36" i="1"/>
  <c r="T37" i="1"/>
  <c r="T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AI10" i="1"/>
  <c r="AJ10" i="1" s="1"/>
  <c r="AI11" i="1"/>
  <c r="AJ11" i="1" s="1"/>
  <c r="AI12" i="1"/>
  <c r="AJ12" i="1" s="1"/>
  <c r="AI13" i="1"/>
  <c r="AJ13" i="1" s="1"/>
  <c r="AI14" i="1"/>
  <c r="AJ14" i="1" s="1"/>
  <c r="AI17" i="1"/>
  <c r="AJ17" i="1" s="1"/>
  <c r="AI18" i="1"/>
  <c r="AJ18" i="1" s="1"/>
  <c r="AI19" i="1"/>
  <c r="AJ19" i="1" s="1"/>
  <c r="AI20" i="1"/>
  <c r="AJ20" i="1" s="1"/>
  <c r="AI21" i="1"/>
  <c r="AJ21" i="1" s="1"/>
  <c r="AI22" i="1"/>
  <c r="AJ22" i="1" s="1"/>
  <c r="AI24" i="1"/>
  <c r="AJ24" i="1" s="1"/>
  <c r="AI25" i="1"/>
  <c r="AJ25" i="1" s="1"/>
  <c r="AI26" i="1"/>
  <c r="AJ26" i="1" s="1"/>
  <c r="AI27" i="1"/>
  <c r="AJ27" i="1" s="1"/>
  <c r="AI30" i="1"/>
  <c r="AJ30" i="1" s="1"/>
  <c r="AI31" i="1"/>
  <c r="AJ31" i="1" s="1"/>
  <c r="AI32" i="1"/>
  <c r="AJ32" i="1" s="1"/>
  <c r="AI33" i="1"/>
  <c r="AJ33" i="1" s="1"/>
  <c r="AI34" i="1"/>
  <c r="AJ34" i="1" s="1"/>
  <c r="AI35" i="1"/>
  <c r="AJ35" i="1" s="1"/>
  <c r="AI36" i="1"/>
  <c r="AJ36" i="1" s="1"/>
  <c r="AI37" i="1"/>
  <c r="AJ37" i="1" s="1"/>
  <c r="AA10" i="1"/>
  <c r="AA11" i="1"/>
  <c r="AA12" i="1"/>
  <c r="AA13" i="1"/>
  <c r="AA14" i="1"/>
  <c r="AA15" i="1"/>
  <c r="AA16" i="1"/>
  <c r="AA17" i="1"/>
  <c r="AA18" i="1"/>
  <c r="AA19" i="1"/>
  <c r="AA20" i="1"/>
  <c r="AA21" i="1"/>
  <c r="AA22" i="1"/>
  <c r="AA23" i="1"/>
  <c r="AA24" i="1"/>
  <c r="AA25" i="1"/>
  <c r="AA26" i="1"/>
  <c r="AA27" i="1"/>
  <c r="AA28" i="1"/>
  <c r="AA29" i="1"/>
  <c r="AA30" i="1"/>
  <c r="AA31" i="1"/>
  <c r="AA32" i="1"/>
  <c r="AA33" i="1"/>
  <c r="AA34" i="1"/>
  <c r="AA35" i="1"/>
  <c r="AA36" i="1"/>
  <c r="AA37" i="1"/>
  <c r="N37" i="1" l="1"/>
  <c r="N33" i="1"/>
  <c r="N29" i="1"/>
  <c r="N25" i="1"/>
  <c r="N21" i="1"/>
  <c r="N17" i="1"/>
  <c r="N13" i="1"/>
  <c r="N12" i="1"/>
  <c r="N28" i="1"/>
  <c r="AP25" i="1"/>
  <c r="N24" i="1"/>
  <c r="AP37" i="1"/>
  <c r="AP21" i="1"/>
  <c r="N36" i="1"/>
  <c r="N20" i="1"/>
  <c r="AP33" i="1"/>
  <c r="AP17" i="1"/>
  <c r="N32" i="1"/>
  <c r="N16" i="1"/>
  <c r="AP29" i="1"/>
  <c r="AP13" i="1"/>
  <c r="N35" i="1"/>
  <c r="N31" i="1"/>
  <c r="N27" i="1"/>
  <c r="N23" i="1"/>
  <c r="N19" i="1"/>
  <c r="N15" i="1"/>
  <c r="N11" i="1"/>
  <c r="N9" i="1"/>
  <c r="N34" i="1"/>
  <c r="N30" i="1"/>
  <c r="N26" i="1"/>
  <c r="N22" i="1"/>
  <c r="N18" i="1"/>
  <c r="N14" i="1"/>
  <c r="N10" i="1"/>
  <c r="CF260" i="6"/>
  <c r="CE260" i="6"/>
  <c r="F260" i="6"/>
  <c r="CF259" i="6"/>
  <c r="CE259" i="6"/>
  <c r="F259" i="6"/>
  <c r="CF258" i="6"/>
  <c r="CE258" i="6"/>
  <c r="F258" i="6"/>
  <c r="CF257" i="6"/>
  <c r="CE257" i="6"/>
  <c r="F257" i="6"/>
  <c r="CF256" i="6"/>
  <c r="CE256" i="6"/>
  <c r="F256" i="6"/>
  <c r="CF255" i="6"/>
  <c r="CE255" i="6"/>
  <c r="F255" i="6"/>
  <c r="CF254" i="6"/>
  <c r="CE254" i="6"/>
  <c r="F254" i="6"/>
  <c r="CF253" i="6"/>
  <c r="CE253" i="6"/>
  <c r="F253" i="6"/>
  <c r="CF252" i="6"/>
  <c r="CE252" i="6"/>
  <c r="F252" i="6"/>
  <c r="CF251" i="6"/>
  <c r="CE251" i="6"/>
  <c r="F251" i="6"/>
  <c r="CF250" i="6"/>
  <c r="CE250" i="6"/>
  <c r="F250" i="6"/>
  <c r="CF249" i="6"/>
  <c r="CE249" i="6"/>
  <c r="F249" i="6"/>
  <c r="CF248" i="6"/>
  <c r="CE248" i="6"/>
  <c r="F248" i="6"/>
  <c r="CF247" i="6"/>
  <c r="CE247" i="6"/>
  <c r="F247" i="6"/>
  <c r="CF246" i="6"/>
  <c r="CE246" i="6"/>
  <c r="F246" i="6"/>
  <c r="CF245" i="6"/>
  <c r="CE245" i="6"/>
  <c r="F245" i="6"/>
  <c r="CF244" i="6"/>
  <c r="CE244" i="6"/>
  <c r="F244" i="6"/>
  <c r="CF243" i="6"/>
  <c r="CE243" i="6"/>
  <c r="F243" i="6"/>
  <c r="CF242" i="6"/>
  <c r="CE242" i="6"/>
  <c r="F242" i="6"/>
  <c r="CF241" i="6"/>
  <c r="CE241" i="6"/>
  <c r="F241" i="6"/>
  <c r="CF240" i="6"/>
  <c r="CE240" i="6"/>
  <c r="F240" i="6"/>
  <c r="CF239" i="6"/>
  <c r="CE239" i="6"/>
  <c r="F239" i="6"/>
  <c r="CF238" i="6"/>
  <c r="CE238" i="6"/>
  <c r="F238" i="6"/>
  <c r="CF237" i="6"/>
  <c r="CE237" i="6"/>
  <c r="F237" i="6"/>
  <c r="CF236" i="6"/>
  <c r="CE236" i="6"/>
  <c r="F236" i="6"/>
  <c r="CF235" i="6"/>
  <c r="CE235" i="6"/>
  <c r="F235" i="6"/>
  <c r="CF234" i="6"/>
  <c r="CE234" i="6"/>
  <c r="F234" i="6"/>
  <c r="CF233" i="6"/>
  <c r="CE233" i="6"/>
  <c r="F233" i="6"/>
  <c r="CF232" i="6"/>
  <c r="CE232" i="6"/>
  <c r="F232" i="6"/>
  <c r="CF231" i="6"/>
  <c r="CE231" i="6"/>
  <c r="F231" i="6"/>
  <c r="CF230" i="6"/>
  <c r="CE230" i="6"/>
  <c r="F230" i="6"/>
  <c r="CF229" i="6"/>
  <c r="CE229" i="6"/>
  <c r="F229" i="6"/>
  <c r="CF228" i="6"/>
  <c r="CE228" i="6"/>
  <c r="F228" i="6"/>
  <c r="CF227" i="6"/>
  <c r="CE227" i="6"/>
  <c r="F227" i="6"/>
  <c r="CF226" i="6"/>
  <c r="CE226" i="6"/>
  <c r="F226" i="6"/>
  <c r="CF225" i="6"/>
  <c r="CE225" i="6"/>
  <c r="F225" i="6"/>
  <c r="CF224" i="6"/>
  <c r="CE224" i="6"/>
  <c r="F224" i="6"/>
  <c r="CF223" i="6"/>
  <c r="CE223" i="6"/>
  <c r="F223" i="6"/>
  <c r="CF222" i="6"/>
  <c r="CE222" i="6"/>
  <c r="F222" i="6"/>
  <c r="CF221" i="6"/>
  <c r="CE221" i="6"/>
  <c r="F221" i="6"/>
  <c r="CF220" i="6"/>
  <c r="CE220" i="6"/>
  <c r="F220" i="6"/>
  <c r="CF219" i="6"/>
  <c r="CE219" i="6"/>
  <c r="F219" i="6"/>
  <c r="CF218" i="6"/>
  <c r="CE218" i="6"/>
  <c r="F218" i="6"/>
  <c r="CF217" i="6"/>
  <c r="CE217" i="6"/>
  <c r="F217" i="6"/>
  <c r="CF216" i="6"/>
  <c r="CE216" i="6"/>
  <c r="F216" i="6"/>
  <c r="CF215" i="6"/>
  <c r="CE215" i="6"/>
  <c r="F215" i="6"/>
  <c r="CF214" i="6"/>
  <c r="CE214" i="6"/>
  <c r="F214" i="6"/>
  <c r="CF213" i="6"/>
  <c r="CE213" i="6"/>
  <c r="F213" i="6"/>
  <c r="CF212" i="6"/>
  <c r="CE212" i="6"/>
  <c r="F212" i="6"/>
  <c r="CF211" i="6"/>
  <c r="CE211" i="6"/>
  <c r="F211" i="6"/>
  <c r="CF210" i="6"/>
  <c r="CE210" i="6"/>
  <c r="F210" i="6"/>
  <c r="CF209" i="6"/>
  <c r="CE209" i="6"/>
  <c r="F209" i="6"/>
  <c r="CF208" i="6"/>
  <c r="CE208" i="6"/>
  <c r="F208" i="6"/>
  <c r="CF207" i="6"/>
  <c r="CE207" i="6"/>
  <c r="F207" i="6"/>
  <c r="CF206" i="6"/>
  <c r="CE206" i="6"/>
  <c r="F206" i="6"/>
  <c r="CF205" i="6"/>
  <c r="CE205" i="6"/>
  <c r="F205" i="6"/>
  <c r="CF204" i="6"/>
  <c r="CE204" i="6"/>
  <c r="F204" i="6"/>
  <c r="CF203" i="6"/>
  <c r="CE203" i="6"/>
  <c r="F203" i="6"/>
  <c r="CF202" i="6"/>
  <c r="CE202" i="6"/>
  <c r="F202" i="6"/>
  <c r="CF201" i="6"/>
  <c r="CE201" i="6"/>
  <c r="F201" i="6"/>
  <c r="CF200" i="6"/>
  <c r="CE200" i="6"/>
  <c r="F200" i="6"/>
  <c r="CF199" i="6"/>
  <c r="CE199" i="6"/>
  <c r="F199" i="6"/>
  <c r="CF198" i="6"/>
  <c r="CE198" i="6"/>
  <c r="F198" i="6"/>
  <c r="CF197" i="6"/>
  <c r="CE197" i="6"/>
  <c r="F197" i="6"/>
  <c r="CF196" i="6"/>
  <c r="CE196" i="6"/>
  <c r="F196" i="6"/>
  <c r="CF195" i="6"/>
  <c r="CE195" i="6"/>
  <c r="F195" i="6"/>
  <c r="CF194" i="6"/>
  <c r="CE194" i="6"/>
  <c r="F194" i="6"/>
  <c r="CF193" i="6"/>
  <c r="CE193" i="6"/>
  <c r="F193" i="6"/>
  <c r="CF192" i="6"/>
  <c r="CE192" i="6"/>
  <c r="F192" i="6"/>
  <c r="CF191" i="6"/>
  <c r="CE191" i="6"/>
  <c r="F191" i="6"/>
  <c r="CF190" i="6"/>
  <c r="CE190" i="6"/>
  <c r="F190" i="6"/>
  <c r="CF189" i="6"/>
  <c r="CE189" i="6"/>
  <c r="F189" i="6"/>
  <c r="CF188" i="6"/>
  <c r="CE188" i="6"/>
  <c r="F188" i="6"/>
  <c r="CF187" i="6"/>
  <c r="CE187" i="6"/>
  <c r="F187" i="6"/>
  <c r="CF186" i="6"/>
  <c r="CE186" i="6"/>
  <c r="F186" i="6"/>
  <c r="CF185" i="6"/>
  <c r="CE185" i="6"/>
  <c r="F185" i="6"/>
  <c r="CF184" i="6"/>
  <c r="CE184" i="6"/>
  <c r="F184" i="6"/>
  <c r="CF183" i="6"/>
  <c r="CE183" i="6"/>
  <c r="F183" i="6"/>
  <c r="CF182" i="6"/>
  <c r="CE182" i="6"/>
  <c r="F182" i="6"/>
  <c r="CF181" i="6"/>
  <c r="CE181" i="6"/>
  <c r="F181" i="6"/>
  <c r="CF180" i="6"/>
  <c r="CE180" i="6"/>
  <c r="F180" i="6"/>
  <c r="CF179" i="6"/>
  <c r="CE179" i="6"/>
  <c r="F179" i="6"/>
  <c r="CF178" i="6"/>
  <c r="CE178" i="6"/>
  <c r="F178" i="6"/>
  <c r="CF177" i="6"/>
  <c r="CE177" i="6"/>
  <c r="F177" i="6"/>
  <c r="CF176" i="6"/>
  <c r="CE176" i="6"/>
  <c r="F176" i="6"/>
  <c r="CF175" i="6"/>
  <c r="CE175" i="6"/>
  <c r="F175" i="6"/>
  <c r="CF174" i="6"/>
  <c r="CE174" i="6"/>
  <c r="F174" i="6"/>
  <c r="CF173" i="6"/>
  <c r="CE173" i="6"/>
  <c r="F173" i="6"/>
  <c r="CF172" i="6"/>
  <c r="CE172" i="6"/>
  <c r="F172" i="6"/>
  <c r="CF171" i="6"/>
  <c r="CE171" i="6"/>
  <c r="F171" i="6"/>
  <c r="CF170" i="6"/>
  <c r="CE170" i="6"/>
  <c r="F170" i="6"/>
  <c r="CF169" i="6"/>
  <c r="CE169" i="6"/>
  <c r="F169" i="6"/>
  <c r="CF168" i="6"/>
  <c r="CE168" i="6"/>
  <c r="F168" i="6"/>
  <c r="CF167" i="6"/>
  <c r="CE167" i="6"/>
  <c r="F167" i="6"/>
  <c r="CF166" i="6"/>
  <c r="CE166" i="6"/>
  <c r="F166" i="6"/>
  <c r="CF165" i="6"/>
  <c r="CE165" i="6"/>
  <c r="F165" i="6"/>
  <c r="CF164" i="6"/>
  <c r="CE164" i="6"/>
  <c r="F164" i="6"/>
  <c r="CF163" i="6"/>
  <c r="CE163" i="6"/>
  <c r="F163" i="6"/>
  <c r="CF162" i="6"/>
  <c r="CE162" i="6"/>
  <c r="F162" i="6"/>
  <c r="CF161" i="6"/>
  <c r="CE161" i="6"/>
  <c r="F161" i="6"/>
  <c r="CF160" i="6"/>
  <c r="CE160" i="6"/>
  <c r="F160" i="6"/>
  <c r="CF159" i="6"/>
  <c r="CE159" i="6"/>
  <c r="F159" i="6"/>
  <c r="CF158" i="6"/>
  <c r="CE158" i="6"/>
  <c r="F158" i="6"/>
  <c r="CF157" i="6"/>
  <c r="CE157" i="6"/>
  <c r="F157" i="6"/>
  <c r="CF156" i="6"/>
  <c r="CE156" i="6"/>
  <c r="F156" i="6"/>
  <c r="CF155" i="6"/>
  <c r="CE155" i="6"/>
  <c r="F155" i="6"/>
  <c r="CF154" i="6"/>
  <c r="CE154" i="6"/>
  <c r="F154" i="6"/>
  <c r="CF153" i="6"/>
  <c r="CE153" i="6"/>
  <c r="F153" i="6"/>
  <c r="CF152" i="6"/>
  <c r="CE152" i="6"/>
  <c r="F152" i="6"/>
  <c r="CF151" i="6"/>
  <c r="CE151" i="6"/>
  <c r="F151" i="6"/>
  <c r="CF150" i="6"/>
  <c r="CE150" i="6"/>
  <c r="F150" i="6"/>
  <c r="CF149" i="6"/>
  <c r="CE149" i="6"/>
  <c r="F149" i="6"/>
  <c r="CF148" i="6"/>
  <c r="CE148" i="6"/>
  <c r="F148" i="6"/>
  <c r="CF147" i="6"/>
  <c r="CE147" i="6"/>
  <c r="F147" i="6"/>
  <c r="CF146" i="6"/>
  <c r="CE146" i="6"/>
  <c r="F146" i="6"/>
  <c r="CF145" i="6"/>
  <c r="CE145" i="6"/>
  <c r="F145" i="6"/>
  <c r="CF144" i="6"/>
  <c r="CE144" i="6"/>
  <c r="F144" i="6"/>
  <c r="CF143" i="6"/>
  <c r="CE143" i="6"/>
  <c r="F143" i="6"/>
  <c r="CF142" i="6"/>
  <c r="CE142" i="6"/>
  <c r="F142" i="6"/>
  <c r="CF141" i="6"/>
  <c r="CE141" i="6"/>
  <c r="F141" i="6"/>
  <c r="CF140" i="6"/>
  <c r="CE140" i="6"/>
  <c r="F140" i="6"/>
  <c r="CF139" i="6"/>
  <c r="CE139" i="6"/>
  <c r="F139" i="6"/>
  <c r="CF138" i="6"/>
  <c r="CE138" i="6"/>
  <c r="F138" i="6"/>
  <c r="CF137" i="6"/>
  <c r="CE137" i="6"/>
  <c r="F137" i="6"/>
  <c r="CF136" i="6"/>
  <c r="CE136" i="6"/>
  <c r="F136" i="6"/>
  <c r="CF135" i="6"/>
  <c r="CE135" i="6"/>
  <c r="F135" i="6"/>
  <c r="CF134" i="6"/>
  <c r="CE134" i="6"/>
  <c r="F134" i="6"/>
  <c r="CF133" i="6"/>
  <c r="CE133" i="6"/>
  <c r="F133" i="6"/>
  <c r="CF132" i="6"/>
  <c r="CE132" i="6"/>
  <c r="F132" i="6"/>
  <c r="CF131" i="6"/>
  <c r="CE131" i="6"/>
  <c r="F131" i="6"/>
  <c r="CF130" i="6"/>
  <c r="CE130" i="6"/>
  <c r="F130" i="6"/>
  <c r="CF129" i="6"/>
  <c r="CE129" i="6"/>
  <c r="F129" i="6"/>
  <c r="CF128" i="6"/>
  <c r="CE128" i="6"/>
  <c r="F128" i="6"/>
  <c r="CF127" i="6"/>
  <c r="CE127" i="6"/>
  <c r="F127" i="6"/>
  <c r="CF126" i="6"/>
  <c r="CE126" i="6"/>
  <c r="F126" i="6"/>
  <c r="CF125" i="6"/>
  <c r="CE125" i="6"/>
  <c r="F125" i="6"/>
  <c r="CF124" i="6"/>
  <c r="CE124" i="6"/>
  <c r="F124" i="6"/>
  <c r="CF123" i="6"/>
  <c r="CE123" i="6"/>
  <c r="F123" i="6"/>
  <c r="CF122" i="6"/>
  <c r="CE122" i="6"/>
  <c r="F122" i="6"/>
  <c r="CF121" i="6"/>
  <c r="CE121" i="6"/>
  <c r="F121" i="6"/>
  <c r="CF120" i="6"/>
  <c r="CE120" i="6"/>
  <c r="F120" i="6"/>
  <c r="CF119" i="6"/>
  <c r="CE119" i="6"/>
  <c r="F119" i="6"/>
  <c r="CF118" i="6"/>
  <c r="CE118" i="6"/>
  <c r="F118" i="6"/>
  <c r="CF117" i="6"/>
  <c r="CE117" i="6"/>
  <c r="F117" i="6"/>
  <c r="CF116" i="6"/>
  <c r="CE116" i="6"/>
  <c r="F116" i="6"/>
  <c r="CF115" i="6"/>
  <c r="CE115" i="6"/>
  <c r="F115" i="6"/>
  <c r="CF114" i="6"/>
  <c r="CE114" i="6"/>
  <c r="F114" i="6"/>
  <c r="CF113" i="6"/>
  <c r="CE113" i="6"/>
  <c r="F113" i="6"/>
  <c r="CF112" i="6"/>
  <c r="CE112" i="6"/>
  <c r="F112" i="6"/>
  <c r="CF111" i="6"/>
  <c r="CE111" i="6"/>
  <c r="F111" i="6"/>
  <c r="CF110" i="6"/>
  <c r="CE110" i="6"/>
  <c r="F110" i="6"/>
  <c r="CF109" i="6"/>
  <c r="CE109" i="6"/>
  <c r="F109" i="6"/>
  <c r="CF108" i="6"/>
  <c r="CE108" i="6"/>
  <c r="F108" i="6"/>
  <c r="CF107" i="6"/>
  <c r="CE107" i="6"/>
  <c r="F107" i="6"/>
  <c r="CF106" i="6"/>
  <c r="CE106" i="6"/>
  <c r="F106" i="6"/>
  <c r="CF105" i="6"/>
  <c r="CE105" i="6"/>
  <c r="F105" i="6"/>
  <c r="CF104" i="6"/>
  <c r="CE104" i="6"/>
  <c r="F104" i="6"/>
  <c r="CF103" i="6"/>
  <c r="CE103" i="6"/>
  <c r="F103" i="6"/>
  <c r="CF102" i="6"/>
  <c r="CE102" i="6"/>
  <c r="F102" i="6"/>
  <c r="CF101" i="6"/>
  <c r="CE101" i="6"/>
  <c r="F101" i="6"/>
  <c r="CF100" i="6"/>
  <c r="CE100" i="6"/>
  <c r="F100" i="6"/>
  <c r="CF99" i="6"/>
  <c r="CE99" i="6"/>
  <c r="F99" i="6"/>
  <c r="CF98" i="6"/>
  <c r="CE98" i="6"/>
  <c r="F98" i="6"/>
  <c r="CF97" i="6"/>
  <c r="CE97" i="6"/>
  <c r="F97" i="6"/>
  <c r="CF96" i="6"/>
  <c r="CE96" i="6"/>
  <c r="F96" i="6"/>
  <c r="CF95" i="6"/>
  <c r="CE95" i="6"/>
  <c r="F95" i="6"/>
  <c r="CF94" i="6"/>
  <c r="CE94" i="6"/>
  <c r="F94" i="6"/>
  <c r="CF93" i="6"/>
  <c r="CE93" i="6"/>
  <c r="F93" i="6"/>
  <c r="CF92" i="6"/>
  <c r="CE92" i="6"/>
  <c r="F92" i="6"/>
  <c r="CF91" i="6"/>
  <c r="CE91" i="6"/>
  <c r="F91" i="6"/>
  <c r="CF90" i="6"/>
  <c r="CE90" i="6"/>
  <c r="F90" i="6"/>
  <c r="CF89" i="6"/>
  <c r="CE89" i="6"/>
  <c r="F89" i="6"/>
  <c r="CF88" i="6"/>
  <c r="CE88" i="6"/>
  <c r="F88" i="6"/>
  <c r="CF87" i="6"/>
  <c r="CE87" i="6"/>
  <c r="F87" i="6"/>
  <c r="CF86" i="6"/>
  <c r="CE86" i="6"/>
  <c r="F86" i="6"/>
  <c r="CF85" i="6"/>
  <c r="CE85" i="6"/>
  <c r="F85" i="6"/>
  <c r="CF84" i="6"/>
  <c r="CE84" i="6"/>
  <c r="F84" i="6"/>
  <c r="CF83" i="6"/>
  <c r="CE83" i="6"/>
  <c r="F83" i="6"/>
  <c r="CF82" i="6"/>
  <c r="CE82" i="6"/>
  <c r="F82" i="6"/>
  <c r="CF81" i="6"/>
  <c r="CE81" i="6"/>
  <c r="F81" i="6"/>
  <c r="CF80" i="6"/>
  <c r="CE80" i="6"/>
  <c r="F80" i="6"/>
  <c r="CF79" i="6"/>
  <c r="CE79" i="6"/>
  <c r="F79" i="6"/>
  <c r="CF78" i="6"/>
  <c r="CE78" i="6"/>
  <c r="F78" i="6"/>
  <c r="CF77" i="6"/>
  <c r="CE77" i="6"/>
  <c r="F77" i="6"/>
  <c r="CF76" i="6"/>
  <c r="CE76" i="6"/>
  <c r="F76" i="6"/>
  <c r="CF75" i="6"/>
  <c r="CE75" i="6"/>
  <c r="F75" i="6"/>
  <c r="CF74" i="6"/>
  <c r="CE74" i="6"/>
  <c r="F74" i="6"/>
  <c r="CF73" i="6"/>
  <c r="CE73" i="6"/>
  <c r="F73" i="6"/>
  <c r="CF72" i="6"/>
  <c r="CE72" i="6"/>
  <c r="F72" i="6"/>
  <c r="CF71" i="6"/>
  <c r="CE71" i="6"/>
  <c r="F71" i="6"/>
  <c r="CF70" i="6"/>
  <c r="CE70" i="6"/>
  <c r="F70" i="6"/>
  <c r="CF69" i="6"/>
  <c r="CE69" i="6"/>
  <c r="F69" i="6"/>
  <c r="CF68" i="6"/>
  <c r="CE68" i="6"/>
  <c r="F68" i="6"/>
  <c r="CF67" i="6"/>
  <c r="CE67" i="6"/>
  <c r="F67" i="6"/>
  <c r="CF66" i="6"/>
  <c r="CE66" i="6"/>
  <c r="F66" i="6"/>
  <c r="CF65" i="6"/>
  <c r="CE65" i="6"/>
  <c r="F65" i="6"/>
  <c r="CF64" i="6"/>
  <c r="CE64" i="6"/>
  <c r="F64" i="6"/>
  <c r="CF63" i="6"/>
  <c r="CE63" i="6"/>
  <c r="F63" i="6"/>
  <c r="CF62" i="6"/>
  <c r="CE62" i="6"/>
  <c r="F62" i="6"/>
  <c r="CF61" i="6"/>
  <c r="CE61" i="6"/>
  <c r="F61" i="6"/>
  <c r="CF60" i="6"/>
  <c r="CE60" i="6"/>
  <c r="F60" i="6"/>
  <c r="CF59" i="6"/>
  <c r="CE59" i="6"/>
  <c r="F59" i="6"/>
  <c r="CF58" i="6"/>
  <c r="CE58" i="6"/>
  <c r="F58" i="6"/>
  <c r="CF57" i="6"/>
  <c r="CE57" i="6"/>
  <c r="F57" i="6"/>
  <c r="CF56" i="6"/>
  <c r="CE56" i="6"/>
  <c r="F56" i="6"/>
  <c r="CF55" i="6"/>
  <c r="CE55" i="6"/>
  <c r="F55" i="6"/>
  <c r="CF54" i="6"/>
  <c r="CE54" i="6"/>
  <c r="F54" i="6"/>
  <c r="CF53" i="6"/>
  <c r="CE53" i="6"/>
  <c r="F53" i="6"/>
  <c r="CF52" i="6"/>
  <c r="CE52" i="6"/>
  <c r="F52" i="6"/>
  <c r="CF51" i="6"/>
  <c r="CE51" i="6"/>
  <c r="F51" i="6"/>
  <c r="CF50" i="6"/>
  <c r="CE50" i="6"/>
  <c r="F50" i="6"/>
  <c r="CF49" i="6"/>
  <c r="CE49" i="6"/>
  <c r="F49" i="6"/>
  <c r="CF48" i="6"/>
  <c r="CE48" i="6"/>
  <c r="F48" i="6"/>
  <c r="CF47" i="6"/>
  <c r="CE47" i="6"/>
  <c r="F47" i="6"/>
  <c r="CF46" i="6"/>
  <c r="CE46" i="6"/>
  <c r="F46" i="6"/>
  <c r="CF45" i="6"/>
  <c r="CE45" i="6"/>
  <c r="F45" i="6"/>
  <c r="CF44" i="6"/>
  <c r="CE44" i="6"/>
  <c r="F44" i="6"/>
  <c r="CF43" i="6"/>
  <c r="CE43" i="6"/>
  <c r="F43" i="6"/>
  <c r="CF42" i="6"/>
  <c r="CE42" i="6"/>
  <c r="F42" i="6"/>
  <c r="CF41" i="6"/>
  <c r="CE41" i="6"/>
  <c r="F41" i="6"/>
  <c r="CF40" i="6"/>
  <c r="CE40" i="6"/>
  <c r="F40" i="6"/>
  <c r="CF39" i="6"/>
  <c r="CE39" i="6"/>
  <c r="F39" i="6"/>
  <c r="CF38" i="6"/>
  <c r="CE38" i="6"/>
  <c r="F38" i="6"/>
  <c r="CF37" i="6"/>
  <c r="CE37" i="6"/>
  <c r="F37" i="6"/>
  <c r="CF36" i="6"/>
  <c r="CE36" i="6"/>
  <c r="F36" i="6"/>
  <c r="CF35" i="6"/>
  <c r="CE35" i="6"/>
  <c r="F35" i="6"/>
  <c r="CF34" i="6"/>
  <c r="CE34" i="6"/>
  <c r="F34" i="6"/>
  <c r="CF33" i="6"/>
  <c r="CE33" i="6"/>
  <c r="F33" i="6"/>
  <c r="CF32" i="6"/>
  <c r="CE32" i="6"/>
  <c r="F32" i="6"/>
  <c r="CF31" i="6"/>
  <c r="CE31" i="6"/>
  <c r="F31" i="6"/>
  <c r="CF30" i="6"/>
  <c r="CE30" i="6"/>
  <c r="F30" i="6"/>
  <c r="CF29" i="6"/>
  <c r="CE29" i="6"/>
  <c r="F29" i="6"/>
  <c r="CF28" i="6"/>
  <c r="CE28" i="6"/>
  <c r="F28" i="6"/>
  <c r="CF27" i="6"/>
  <c r="CE27" i="6"/>
  <c r="F27" i="6"/>
  <c r="CF26" i="6"/>
  <c r="CE26" i="6"/>
  <c r="F26" i="6"/>
  <c r="CF25" i="6"/>
  <c r="CE25" i="6"/>
  <c r="F25" i="6"/>
  <c r="CF24" i="6"/>
  <c r="CE24" i="6"/>
  <c r="F24" i="6"/>
  <c r="CF23" i="6"/>
  <c r="CE23" i="6"/>
  <c r="F23" i="6"/>
  <c r="CF22" i="6"/>
  <c r="CE22" i="6"/>
  <c r="F22" i="6"/>
  <c r="CF21" i="6"/>
  <c r="CE21" i="6"/>
  <c r="F21" i="6"/>
  <c r="CF20" i="6"/>
  <c r="CE20" i="6"/>
  <c r="F20" i="6"/>
  <c r="CF19" i="6"/>
  <c r="CE19" i="6"/>
  <c r="F19" i="6"/>
  <c r="CF18" i="6"/>
  <c r="CE18" i="6"/>
  <c r="F18" i="6"/>
  <c r="CF17" i="6"/>
  <c r="CE17" i="6"/>
  <c r="F17" i="6"/>
  <c r="CF16" i="6"/>
  <c r="CE16" i="6"/>
  <c r="F16" i="6"/>
  <c r="CF15" i="6"/>
  <c r="CE15" i="6"/>
  <c r="F15" i="6"/>
  <c r="CF14" i="6"/>
  <c r="CE14" i="6"/>
  <c r="F14" i="6"/>
  <c r="CF13" i="6"/>
  <c r="CE13" i="6"/>
  <c r="F13" i="6"/>
  <c r="CF12" i="6"/>
  <c r="CE12" i="6"/>
  <c r="F12" i="6"/>
  <c r="CF11" i="6"/>
  <c r="CE11" i="6"/>
  <c r="F11" i="6"/>
  <c r="CF10" i="6"/>
  <c r="CE10" i="6"/>
  <c r="F10" i="6"/>
  <c r="CF9" i="6"/>
  <c r="CE9" i="6"/>
  <c r="F9" i="6"/>
  <c r="CF8" i="6"/>
  <c r="CE8" i="6"/>
  <c r="F8" i="6"/>
  <c r="CF7" i="6"/>
  <c r="CE7" i="6"/>
  <c r="F7" i="6"/>
  <c r="CF6" i="6"/>
  <c r="CE6" i="6"/>
  <c r="F6" i="6"/>
  <c r="CF5" i="6"/>
  <c r="CE5" i="6"/>
  <c r="F5" i="6"/>
  <c r="CF4" i="6"/>
  <c r="CE4" i="6"/>
  <c r="F4" i="6"/>
  <c r="CF3" i="6"/>
  <c r="CE3" i="6"/>
  <c r="F3" i="6"/>
  <c r="CF2" i="6"/>
  <c r="CE2" i="6"/>
  <c r="F2" i="6"/>
  <c r="AI9" i="1"/>
  <c r="AJ9" i="1" s="1"/>
  <c r="AA9" i="1"/>
  <c r="I9" i="1" l="1"/>
  <c r="AB12" i="1" l="1"/>
  <c r="AB28" i="1"/>
  <c r="AB35" i="1"/>
  <c r="AB17" i="1"/>
  <c r="AB25" i="1"/>
  <c r="AB33" i="1"/>
  <c r="AB31" i="1"/>
  <c r="AB10" i="1"/>
  <c r="AB18" i="1"/>
  <c r="AB26" i="1"/>
  <c r="AB23" i="1"/>
  <c r="AB9" i="1"/>
  <c r="Y9" i="1"/>
  <c r="AB13" i="1"/>
  <c r="Y13" i="1"/>
  <c r="AB29" i="1"/>
  <c r="Y29" i="1"/>
  <c r="Y35" i="1"/>
  <c r="AB22" i="1"/>
  <c r="Y14" i="1"/>
  <c r="AB14" i="1"/>
  <c r="AB16" i="1"/>
  <c r="Y16" i="1"/>
  <c r="AB32" i="1"/>
  <c r="Y32" i="1"/>
  <c r="AB36" i="1"/>
  <c r="AB20" i="1"/>
  <c r="AB21" i="1"/>
  <c r="Y25" i="1"/>
  <c r="AB37" i="1"/>
  <c r="Y31" i="1"/>
  <c r="Y10" i="1"/>
  <c r="Y18" i="1"/>
  <c r="Y26" i="1"/>
  <c r="Y30" i="1"/>
  <c r="AB30" i="1"/>
  <c r="AB15" i="1"/>
  <c r="Y23" i="1"/>
  <c r="AB27" i="1"/>
  <c r="AB11" i="1"/>
  <c r="Y11" i="1"/>
  <c r="Y36" i="1"/>
  <c r="Y28" i="1"/>
  <c r="Y20" i="1"/>
  <c r="Y12" i="1"/>
  <c r="Y21" i="1"/>
  <c r="AB34" i="1"/>
  <c r="Y34" i="1"/>
  <c r="Y22" i="1"/>
  <c r="Y15" i="1"/>
  <c r="AB24" i="1"/>
  <c r="Y24" i="1"/>
  <c r="Y17" i="1"/>
  <c r="Y33" i="1"/>
  <c r="Y27" i="1"/>
  <c r="AO131" i="1" l="1"/>
  <c r="S104" i="1"/>
  <c r="S108" i="1"/>
  <c r="S105" i="1"/>
  <c r="S106" i="1"/>
  <c r="S107" i="1"/>
  <c r="AB19" i="1"/>
  <c r="Y19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Jeffrey Hung</author>
    <author>Jellyfish</author>
  </authors>
  <commentList>
    <comment ref="AQ8" authorId="0" shapeId="0" xr:uid="{00000000-0006-0000-0300-000001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Vmax,gross = Vmax / Agross
If cylclic loading, AVERAGE shear is considered</t>
        </r>
      </text>
    </comment>
    <comment ref="T9" authorId="1" shapeId="0" xr:uid="{00000000-0006-0000-0300-000002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compressive strength of grout (applies to all Matsumura entries)</t>
        </r>
      </text>
    </comment>
    <comment ref="AA9" authorId="0" shapeId="0" xr:uid="{00000000-0006-0000-0300-000003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yield stress of reinforcement (applies to all Matsumura entries)</t>
        </r>
      </text>
    </comment>
    <comment ref="AB9" authorId="0" shapeId="0" xr:uid="{00000000-0006-0000-0300-000004000000}">
      <text>
        <r>
          <rPr>
            <b/>
            <sz val="9"/>
            <color indexed="81"/>
            <rFont val="Tahoma"/>
            <family val="2"/>
          </rPr>
          <t xml:space="preserve">Jeffrey Hung:
</t>
        </r>
        <r>
          <rPr>
            <sz val="9"/>
            <color indexed="81"/>
            <rFont val="Tahoma"/>
            <family val="2"/>
          </rPr>
          <t>Calculated based on the assumed average yield stress of reinforcement (applies to all Matsumura entries)</t>
        </r>
      </text>
    </comment>
    <comment ref="AD9" authorId="1" shapeId="0" xr:uid="{00000000-0006-0000-0300-000005000000}">
      <text>
        <r>
          <rPr>
            <b/>
            <sz val="9"/>
            <color indexed="81"/>
            <rFont val="Tahoma"/>
            <family val="2"/>
          </rPr>
          <t>Jellyfish:</t>
        </r>
        <r>
          <rPr>
            <sz val="9"/>
            <color indexed="81"/>
            <rFont val="Tahoma"/>
            <family val="2"/>
          </rPr>
          <t xml:space="preserve">
Jellyfish:
Assumed 400mm (matching with Aguilar's database), (applies to all Matsumura entries)</t>
        </r>
      </text>
    </comment>
    <comment ref="AI9" authorId="0" shapeId="0" xr:uid="{00000000-0006-0000-0300-000006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yield stress of reinforcement (applies to all Matsumura entries)</t>
        </r>
      </text>
    </comment>
    <comment ref="AJ9" authorId="0" shapeId="0" xr:uid="{00000000-0006-0000-0300-000007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based on the assumed average yield stress of reinforcement (applies to all Matsumura entries)</t>
        </r>
      </text>
    </comment>
    <comment ref="AK9" authorId="1" shapeId="0" xr:uid="{00000000-0006-0000-0300-000008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Based on the assumed spacing of s = 400 (applies to all Matsumura entries)</t>
        </r>
      </text>
    </comment>
    <comment ref="AL9" authorId="1" shapeId="0" xr:uid="{00000000-0006-0000-0300-000009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Assumed 400mm (matching with Aguilar's database), (applies to all Matsumura entries)</t>
        </r>
      </text>
    </comment>
    <comment ref="T38" authorId="1" shapeId="0" xr:uid="{00000000-0006-0000-0300-00000A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compressive strength of the grout (applies to all Oan entries)</t>
        </r>
      </text>
    </comment>
    <comment ref="AI116" authorId="1" shapeId="0" xr:uid="{00000000-0006-0000-0300-00000B000000}">
      <text>
        <r>
          <rPr>
            <b/>
            <sz val="9"/>
            <color indexed="81"/>
            <rFont val="Tahoma"/>
            <family val="2"/>
          </rPr>
          <t>Jellyfish:</t>
        </r>
        <r>
          <rPr>
            <sz val="9"/>
            <color indexed="81"/>
            <rFont val="Tahoma"/>
            <family val="2"/>
          </rPr>
          <t xml:space="preserve">
No bars were tested from specimen R9; the lowest fy (R11) is assumed.</t>
        </r>
      </text>
    </comment>
    <comment ref="AI121" authorId="0" shapeId="0" xr:uid="{00000000-0006-0000-0300-00000C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J121" authorId="0" shapeId="0" xr:uid="{00000000-0006-0000-0300-00000D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A123" authorId="0" shapeId="0" xr:uid="{00000000-0006-0000-0300-00000E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B123" authorId="0" shapeId="0" xr:uid="{00000000-0006-0000-0300-00000F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A124" authorId="0" shapeId="0" xr:uid="{00000000-0006-0000-0300-000010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B124" authorId="0" shapeId="0" xr:uid="{00000000-0006-0000-0300-000011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A125" authorId="0" shapeId="0" xr:uid="{00000000-0006-0000-0300-000012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290MPa
1/2" bars, 302MPa</t>
        </r>
      </text>
    </comment>
    <comment ref="AB125" authorId="0" shapeId="0" xr:uid="{00000000-0006-0000-0300-000013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A126" authorId="0" shapeId="0" xr:uid="{00000000-0006-0000-0300-000014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B126" authorId="0" shapeId="0" xr:uid="{00000000-0006-0000-0300-000015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A127" authorId="0" shapeId="0" xr:uid="{00000000-0006-0000-0300-000016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290MPa
1/2" bars, 302MPa</t>
        </r>
      </text>
    </comment>
    <comment ref="AB127" authorId="0" shapeId="0" xr:uid="{00000000-0006-0000-0300-000017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A128" authorId="0" shapeId="0" xr:uid="{00000000-0006-0000-0300-000018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290MPa
1/2" bars, 302MPa</t>
        </r>
      </text>
    </comment>
    <comment ref="AB128" authorId="0" shapeId="0" xr:uid="{00000000-0006-0000-0300-000019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P128" authorId="0" shapeId="0" xr:uid="{00000000-0006-0000-0300-00001A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"In excess of 112 kip"</t>
        </r>
      </text>
    </comment>
    <comment ref="AA151" authorId="0" shapeId="0" xr:uid="{00000000-0006-0000-0300-00001B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Average fyv based on 4 No.6 Bars and 3 No.5 Bars</t>
        </r>
      </text>
    </comment>
    <comment ref="AA174" authorId="0" shapeId="0" xr:uid="{00000000-0006-0000-0300-00001C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from Aguilar's database</t>
        </r>
      </text>
    </comment>
    <comment ref="AI174" authorId="0" shapeId="0" xr:uid="{00000000-0006-0000-0300-00001D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from Aguilar's database</t>
        </r>
      </text>
    </comment>
  </commentList>
</comments>
</file>

<file path=xl/sharedStrings.xml><?xml version="1.0" encoding="utf-8"?>
<sst xmlns="http://schemas.openxmlformats.org/spreadsheetml/2006/main" count="2653" uniqueCount="633">
  <si>
    <t>Wall ID</t>
  </si>
  <si>
    <t>Source</t>
  </si>
  <si>
    <t>Wall #</t>
  </si>
  <si>
    <r>
      <rPr>
        <b/>
        <sz val="10"/>
        <rFont val="Segoe UI"/>
        <family val="2"/>
      </rPr>
      <t>H
[mm]</t>
    </r>
  </si>
  <si>
    <r>
      <rPr>
        <b/>
        <sz val="10"/>
        <rFont val="Segoe UI"/>
        <family val="2"/>
      </rPr>
      <t>L
[mm]</t>
    </r>
  </si>
  <si>
    <r>
      <t>A
[mm</t>
    </r>
    <r>
      <rPr>
        <b/>
        <vertAlign val="superscript"/>
        <sz val="10"/>
        <color rgb="FF000000"/>
        <rFont val="Segoe UI"/>
        <family val="2"/>
      </rPr>
      <t>2</t>
    </r>
    <r>
      <rPr>
        <b/>
        <sz val="10"/>
        <color rgb="FF000000"/>
        <rFont val="Segoe UI"/>
        <family val="2"/>
      </rPr>
      <t>]</t>
    </r>
  </si>
  <si>
    <r>
      <rPr>
        <b/>
        <sz val="10"/>
        <rFont val="Segoe UI"/>
        <family val="2"/>
      </rPr>
      <t>t
[mm]</t>
    </r>
  </si>
  <si>
    <r>
      <rPr>
        <b/>
        <sz val="10"/>
        <rFont val="Segoe UI"/>
        <family val="2"/>
      </rPr>
      <t>H/L
-</t>
    </r>
  </si>
  <si>
    <r>
      <t>f</t>
    </r>
    <r>
      <rPr>
        <b/>
        <vertAlign val="subscript"/>
        <sz val="10"/>
        <rFont val="Segoe UI"/>
        <family val="2"/>
      </rPr>
      <t>b</t>
    </r>
    <r>
      <rPr>
        <b/>
        <sz val="10"/>
        <rFont val="Segoe UI"/>
        <family val="2"/>
      </rPr>
      <t xml:space="preserve">
[MPa]</t>
    </r>
  </si>
  <si>
    <r>
      <t>f</t>
    </r>
    <r>
      <rPr>
        <b/>
        <vertAlign val="subscript"/>
        <sz val="10"/>
        <rFont val="Segoe UI"/>
        <family val="2"/>
      </rPr>
      <t>yv</t>
    </r>
    <r>
      <rPr>
        <b/>
        <sz val="10"/>
        <rFont val="Segoe UI"/>
        <family val="2"/>
      </rPr>
      <t xml:space="preserve">
[MPa]</t>
    </r>
  </si>
  <si>
    <r>
      <t>s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 xml:space="preserve">
[mm]</t>
    </r>
  </si>
  <si>
    <r>
      <t>f</t>
    </r>
    <r>
      <rPr>
        <b/>
        <vertAlign val="subscript"/>
        <sz val="10"/>
        <color rgb="FF000000"/>
        <rFont val="Segoe UI"/>
        <family val="2"/>
      </rPr>
      <t>yh</t>
    </r>
    <r>
      <rPr>
        <b/>
        <sz val="10"/>
        <color rgb="FF000000"/>
        <rFont val="Segoe UI"/>
        <family val="2"/>
      </rPr>
      <t xml:space="preserve">
[MPa]</t>
    </r>
  </si>
  <si>
    <r>
      <t>s</t>
    </r>
    <r>
      <rPr>
        <b/>
        <vertAlign val="subscript"/>
        <sz val="10"/>
        <rFont val="Segoe UI"/>
        <family val="2"/>
      </rPr>
      <t>h</t>
    </r>
    <r>
      <rPr>
        <b/>
        <sz val="10"/>
        <rFont val="Segoe UI"/>
        <family val="2"/>
      </rPr>
      <t xml:space="preserve">
[mm]</t>
    </r>
  </si>
  <si>
    <t>Oan (2013)</t>
  </si>
  <si>
    <t>No.</t>
  </si>
  <si>
    <t>f'm</t>
  </si>
  <si>
    <t>L</t>
  </si>
  <si>
    <t>H</t>
  </si>
  <si>
    <t>H/L</t>
  </si>
  <si>
    <t>t</t>
  </si>
  <si>
    <r>
      <rPr>
        <b/>
        <sz val="11"/>
        <rFont val="Segoe UI"/>
        <family val="2"/>
      </rPr>
      <t>d</t>
    </r>
    <r>
      <rPr>
        <b/>
        <vertAlign val="subscript"/>
        <sz val="8"/>
        <rFont val="Segoe UI"/>
        <family val="2"/>
      </rPr>
      <t>v</t>
    </r>
  </si>
  <si>
    <r>
      <rPr>
        <b/>
        <sz val="12"/>
        <rFont val="Segoe UI"/>
        <family val="2"/>
      </rPr>
      <t>A</t>
    </r>
    <r>
      <rPr>
        <b/>
        <sz val="8"/>
        <rFont val="Segoe UI"/>
        <family val="2"/>
      </rPr>
      <t>sv</t>
    </r>
  </si>
  <si>
    <t>S</t>
  </si>
  <si>
    <t>P</t>
  </si>
  <si>
    <r>
      <rPr>
        <b/>
        <vertAlign val="superscript"/>
        <sz val="11"/>
        <rFont val="Segoe UI"/>
        <family val="2"/>
      </rPr>
      <t>V</t>
    </r>
    <r>
      <rPr>
        <b/>
        <sz val="8"/>
        <rFont val="Segoe UI"/>
        <family val="2"/>
      </rPr>
      <t>exp</t>
    </r>
  </si>
  <si>
    <r>
      <rPr>
        <b/>
        <sz val="12"/>
        <rFont val="Segoe UI"/>
        <family val="2"/>
      </rPr>
      <t>f</t>
    </r>
    <r>
      <rPr>
        <b/>
        <sz val="8"/>
        <rFont val="Segoe UI"/>
        <family val="2"/>
      </rPr>
      <t>yv</t>
    </r>
  </si>
  <si>
    <r>
      <rPr>
        <b/>
        <sz val="11"/>
        <rFont val="Segoe UI"/>
        <family val="2"/>
      </rPr>
      <t>A</t>
    </r>
    <r>
      <rPr>
        <b/>
        <sz val="8"/>
        <rFont val="Segoe UI"/>
        <family val="2"/>
      </rPr>
      <t>sh</t>
    </r>
  </si>
  <si>
    <r>
      <rPr>
        <b/>
        <sz val="11"/>
        <rFont val="Segoe UI"/>
        <family val="2"/>
      </rPr>
      <t>f</t>
    </r>
    <r>
      <rPr>
        <b/>
        <sz val="8"/>
        <rFont val="Segoe UI"/>
        <family val="2"/>
      </rPr>
      <t>yh</t>
    </r>
  </si>
  <si>
    <r>
      <rPr>
        <sz val="11"/>
        <rFont val="Times New Roman"/>
        <family val="1"/>
      </rPr>
      <t>Oan &amp; Shrive</t>
    </r>
  </si>
  <si>
    <r>
      <rPr>
        <sz val="11"/>
        <rFont val="Times New Roman"/>
        <family val="1"/>
      </rPr>
      <t>Voon &amp; Ingham 2006</t>
    </r>
  </si>
  <si>
    <r>
      <rPr>
        <sz val="11"/>
        <rFont val="Times New Roman"/>
        <family val="1"/>
      </rPr>
      <t>Schultz 1998</t>
    </r>
  </si>
  <si>
    <r>
      <rPr>
        <sz val="11"/>
        <rFont val="Times New Roman"/>
        <family val="1"/>
      </rPr>
      <t>Matsumura 1987</t>
    </r>
  </si>
  <si>
    <r>
      <rPr>
        <sz val="11"/>
        <rFont val="Times New Roman"/>
        <family val="1"/>
      </rPr>
      <t xml:space="preserve">Baenziger &amp;
</t>
    </r>
    <r>
      <rPr>
        <sz val="11"/>
        <rFont val="Times New Roman"/>
        <family val="1"/>
      </rPr>
      <t>Porter 2011</t>
    </r>
  </si>
  <si>
    <r>
      <rPr>
        <sz val="11"/>
        <rFont val="Times New Roman"/>
        <family val="1"/>
      </rPr>
      <t>Scrivener 1969</t>
    </r>
  </si>
  <si>
    <r>
      <rPr>
        <sz val="11"/>
        <rFont val="Times New Roman"/>
        <family val="1"/>
      </rPr>
      <t>Shing et al. 1990</t>
    </r>
  </si>
  <si>
    <r>
      <rPr>
        <sz val="11"/>
        <rFont val="Times New Roman"/>
        <family val="1"/>
      </rPr>
      <t>Okamoto et al. 1987*</t>
    </r>
  </si>
  <si>
    <r>
      <rPr>
        <sz val="12"/>
        <rFont val="Times New Roman"/>
        <family val="1"/>
      </rPr>
      <t>* Reported by Fattal and Todd (1991)</t>
    </r>
  </si>
  <si>
    <r>
      <t>γ</t>
    </r>
    <r>
      <rPr>
        <b/>
        <vertAlign val="subscript"/>
        <sz val="11"/>
        <rFont val="Segoe UI"/>
        <family val="2"/>
      </rPr>
      <t>g</t>
    </r>
  </si>
  <si>
    <t>Nolph et al. 2012</t>
  </si>
  <si>
    <t>Sveinsson et al. 1985*</t>
  </si>
  <si>
    <t>Chen et al. 1978</t>
  </si>
  <si>
    <t>Number of samples</t>
  </si>
  <si>
    <t>Vidal's database No</t>
  </si>
  <si>
    <t>Voon and Ingham (2006)</t>
  </si>
  <si>
    <t>Voon (2007)</t>
  </si>
  <si>
    <t>70-71</t>
  </si>
  <si>
    <t>77-80</t>
  </si>
  <si>
    <t>139-169</t>
  </si>
  <si>
    <t>170-173</t>
  </si>
  <si>
    <t>Yancey and Scribner (1989)</t>
  </si>
  <si>
    <t>181-190</t>
  </si>
  <si>
    <t>Schultz et al. (1998)</t>
  </si>
  <si>
    <t>191-196</t>
  </si>
  <si>
    <t>Sierra (2002)</t>
  </si>
  <si>
    <t>213-216</t>
  </si>
  <si>
    <t>DICTUC (2002)</t>
  </si>
  <si>
    <t>217-225</t>
  </si>
  <si>
    <t>Lüders and Hidalgo (1986)</t>
  </si>
  <si>
    <t>234, 235, 239-246</t>
  </si>
  <si>
    <t>Lüders and Hidalgo (1987)</t>
  </si>
  <si>
    <t>Muñoz (1992)</t>
  </si>
  <si>
    <t>255-259</t>
  </si>
  <si>
    <t>Minaie et al. (2010)</t>
  </si>
  <si>
    <t>Nolph et al. (2012)</t>
  </si>
  <si>
    <t>Baenziger &amp; Porter (2011)</t>
  </si>
  <si>
    <t>Scrivener (1969)</t>
  </si>
  <si>
    <t>71-72</t>
  </si>
  <si>
    <t>1-66</t>
  </si>
  <si>
    <t>77-82</t>
  </si>
  <si>
    <t>97-125</t>
  </si>
  <si>
    <t>126-130</t>
  </si>
  <si>
    <t>131-140</t>
  </si>
  <si>
    <t>141-152</t>
  </si>
  <si>
    <t>Total</t>
  </si>
  <si>
    <t>Experimental in-plane shear strength investigation of reinforced concrete masonry walls</t>
  </si>
  <si>
    <t>Design expression for the in-plane shear strength of reinforced concrete masonry</t>
  </si>
  <si>
    <t>In-plane behavior of partially grouted reinforced concrete masonry shear walls</t>
  </si>
  <si>
    <t>Cyclic Loading Tests of Masonry Single Piers, Volume 2-Height toWidth Ratio of 1</t>
  </si>
  <si>
    <t>Influence of horizontal reinforcement on shear resistance of concrete block masonry walls</t>
  </si>
  <si>
    <t>Seismic performance of masonry walls with bed joint reinforcement</t>
  </si>
  <si>
    <t>Static cyclic response of partially grouted masonry shear walls shear strength of partially grouted masonry walls</t>
  </si>
  <si>
    <t>Joint Reinforcement for Masonry Shear Walls</t>
  </si>
  <si>
    <t>Static Racking Tests on Concrete Masonry Walls</t>
  </si>
  <si>
    <t>Chen et al. (1978) / 
Hidalgo (1978)</t>
  </si>
  <si>
    <t>Diagonal shear of partially grouted concrete masonry panels</t>
  </si>
  <si>
    <t>Shear Strength of Reinforced Hollow Unit Masonry Walls</t>
  </si>
  <si>
    <t>Estudio experimental de la infuencia del refuerzo vertical en muros de albañilería armada sometidos a carga lateral alternada</t>
  </si>
  <si>
    <t xml:space="preserve">Ensayo de dos muros de albañilería armada de ladrillo cerámico perforado </t>
  </si>
  <si>
    <t>Infuencia del Refuerzo Horizontal en el Comportamiento sísmico de muros de albañilería Armada</t>
  </si>
  <si>
    <t>Comportamiento Sísmico de Muros de Albañilería Armada</t>
  </si>
  <si>
    <t xml:space="preserve">Estudio experimental del comportamiento de muros de albañilería de bloques de hormigón sometidos a carga lateral alternada </t>
  </si>
  <si>
    <t>Ramirez et al. (2016)</t>
  </si>
  <si>
    <t>Experimental study on in-plane cyclic response of partially grouted reinforced concrete masonry shear walls</t>
  </si>
  <si>
    <t>Interlibrary Loan</t>
  </si>
  <si>
    <t>On Hold</t>
  </si>
  <si>
    <t>4th NAMC</t>
  </si>
  <si>
    <t>International Conference on Masonry Structural Systems</t>
  </si>
  <si>
    <t>11th North American Masonry Conference</t>
  </si>
  <si>
    <t>https://nisee.berkeley.edu/elibrary/list?a=460&amp;start=61</t>
  </si>
  <si>
    <t>Email</t>
  </si>
  <si>
    <t>http://www.fire.nist.gov/bfrlpubs//bfrlall/auth/Y.html</t>
  </si>
  <si>
    <t>Matsumura (1987)</t>
  </si>
  <si>
    <t>https://books.google.ca/books/about/4as_Jornadas_Chilenas_de_Sismolog%C3%ADa_e_I.html?id=Hh2SYgEACAAJ&amp;redir_esc=y</t>
  </si>
  <si>
    <t>LISTS</t>
  </si>
  <si>
    <t>Support Type</t>
  </si>
  <si>
    <t>CW4-1-1</t>
  </si>
  <si>
    <r>
      <t>f'</t>
    </r>
    <r>
      <rPr>
        <b/>
        <vertAlign val="subscript"/>
        <sz val="10"/>
        <rFont val="Segoe UI"/>
        <family val="2"/>
      </rPr>
      <t>m(g)</t>
    </r>
    <r>
      <rPr>
        <b/>
        <sz val="10"/>
        <rFont val="Segoe UI"/>
        <family val="2"/>
      </rPr>
      <t xml:space="preserve">
[MPa]</t>
    </r>
  </si>
  <si>
    <r>
      <t>f'</t>
    </r>
    <r>
      <rPr>
        <b/>
        <vertAlign val="subscript"/>
        <sz val="10"/>
        <rFont val="Segoe UI"/>
        <family val="2"/>
      </rPr>
      <t>m(n)</t>
    </r>
    <r>
      <rPr>
        <b/>
        <sz val="10"/>
        <rFont val="Segoe UI"/>
        <family val="2"/>
      </rPr>
      <t xml:space="preserve">
[MPa]</t>
    </r>
  </si>
  <si>
    <t>COLOR LEGEND</t>
  </si>
  <si>
    <t>Black</t>
  </si>
  <si>
    <t>Red</t>
  </si>
  <si>
    <t>Blue</t>
  </si>
  <si>
    <t>WALL GEOMETRY</t>
  </si>
  <si>
    <r>
      <t>A</t>
    </r>
    <r>
      <rPr>
        <b/>
        <vertAlign val="subscript"/>
        <sz val="10"/>
        <color rgb="FF000000"/>
        <rFont val="Segoe UI"/>
        <family val="2"/>
      </rPr>
      <t>net</t>
    </r>
    <r>
      <rPr>
        <b/>
        <sz val="10"/>
        <color rgb="FF000000"/>
        <rFont val="Segoe UI"/>
        <family val="2"/>
      </rPr>
      <t xml:space="preserve">
[mm]</t>
    </r>
  </si>
  <si>
    <r>
      <t>A</t>
    </r>
    <r>
      <rPr>
        <b/>
        <vertAlign val="subscript"/>
        <sz val="10"/>
        <color rgb="FF000000"/>
        <rFont val="Segoe UI"/>
        <family val="2"/>
      </rPr>
      <t>net</t>
    </r>
    <r>
      <rPr>
        <b/>
        <sz val="10"/>
        <color rgb="FF000000"/>
        <rFont val="Segoe UI"/>
        <family val="2"/>
      </rPr>
      <t>/
A</t>
    </r>
    <r>
      <rPr>
        <b/>
        <vertAlign val="subscript"/>
        <sz val="10"/>
        <color rgb="FF000000"/>
        <rFont val="Segoe UI"/>
        <family val="2"/>
      </rPr>
      <t>gross</t>
    </r>
  </si>
  <si>
    <r>
      <t>A</t>
    </r>
    <r>
      <rPr>
        <b/>
        <vertAlign val="subscript"/>
        <sz val="10"/>
        <color rgb="FF000000"/>
        <rFont val="Segoe UI"/>
        <family val="2"/>
      </rPr>
      <t>gross</t>
    </r>
    <r>
      <rPr>
        <b/>
        <sz val="10"/>
        <color rgb="FF000000"/>
        <rFont val="Segoe UI"/>
        <family val="2"/>
      </rPr>
      <t xml:space="preserve">
[mm]</t>
    </r>
  </si>
  <si>
    <t>PARTIAL GROUTING</t>
  </si>
  <si>
    <t>AXIAL STRESS</t>
  </si>
  <si>
    <r>
      <t>V</t>
    </r>
    <r>
      <rPr>
        <b/>
        <vertAlign val="subscript"/>
        <sz val="10"/>
        <rFont val="Segoe UI"/>
        <family val="2"/>
      </rPr>
      <t>max</t>
    </r>
    <r>
      <rPr>
        <b/>
        <sz val="10"/>
        <rFont val="Segoe UI"/>
        <family val="2"/>
      </rPr>
      <t xml:space="preserve">
[kN]</t>
    </r>
  </si>
  <si>
    <t>SHEAR CAPACITY</t>
  </si>
  <si>
    <t>VERTICAL (FLEXURAL) REINFORCEMENT</t>
  </si>
  <si>
    <t>HORIZONTAL (SHEAR) REINFORCEMENT</t>
  </si>
  <si>
    <r>
      <t>ρ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 xml:space="preserve">
[unitless]</t>
    </r>
  </si>
  <si>
    <r>
      <t>ρ</t>
    </r>
    <r>
      <rPr>
        <b/>
        <vertAlign val="subscript"/>
        <sz val="10"/>
        <rFont val="Segoe UI"/>
        <family val="2"/>
      </rPr>
      <t>h</t>
    </r>
    <r>
      <rPr>
        <b/>
        <sz val="10"/>
        <rFont val="Segoe UI"/>
        <family val="2"/>
      </rPr>
      <t xml:space="preserve">
[unitless]</t>
    </r>
  </si>
  <si>
    <t>CW4-1-2</t>
  </si>
  <si>
    <t>CW3-1-1</t>
  </si>
  <si>
    <t>CW3-1-2</t>
  </si>
  <si>
    <t>CW2-1-1</t>
  </si>
  <si>
    <t>CW2-1-2</t>
  </si>
  <si>
    <t>CW3-0-1</t>
  </si>
  <si>
    <t>CW3-0-2</t>
  </si>
  <si>
    <t>CW3-1'</t>
  </si>
  <si>
    <t>CW3-2</t>
  </si>
  <si>
    <t>CW3-3</t>
  </si>
  <si>
    <t>CW3-1-A2</t>
  </si>
  <si>
    <t>CW3-0-A2</t>
  </si>
  <si>
    <t>CW3-2-A2</t>
  </si>
  <si>
    <t>CW3-4-A2</t>
  </si>
  <si>
    <t>CWB3-1'-A2</t>
  </si>
  <si>
    <t>CW3-0-A3</t>
  </si>
  <si>
    <t>CW3-0'-A3</t>
  </si>
  <si>
    <t>CW3-2-A3</t>
  </si>
  <si>
    <t>CW3-3-A3</t>
  </si>
  <si>
    <t>CW3-1-A3</t>
  </si>
  <si>
    <t>CW3-1-A4</t>
  </si>
  <si>
    <t>CW3-3-A2</t>
  </si>
  <si>
    <t>CW5-2'-A2-1</t>
  </si>
  <si>
    <t>CW5-2'-A2-2</t>
  </si>
  <si>
    <t>CW4-2'-A2</t>
  </si>
  <si>
    <t>CW3-2'-A2</t>
  </si>
  <si>
    <t>CW2-2'-A2-1</t>
  </si>
  <si>
    <t>CW2-2'-A2-2</t>
  </si>
  <si>
    <t>Nº</t>
  </si>
  <si>
    <t>FUENTE</t>
  </si>
  <si>
    <t>ID. ESPECIM.</t>
  </si>
  <si>
    <r>
      <rPr>
        <b/>
        <sz val="9"/>
        <rFont val="Segoe UI"/>
        <family val="2"/>
      </rPr>
      <t>H
[mm]</t>
    </r>
  </si>
  <si>
    <r>
      <rPr>
        <b/>
        <sz val="9"/>
        <rFont val="Segoe UI"/>
        <family val="2"/>
      </rPr>
      <t>L
[mm]</t>
    </r>
  </si>
  <si>
    <r>
      <t>A
[mm</t>
    </r>
    <r>
      <rPr>
        <b/>
        <vertAlign val="superscript"/>
        <sz val="9"/>
        <color rgb="FF000000"/>
        <rFont val="Segoe UI"/>
        <family val="2"/>
      </rPr>
      <t>2</t>
    </r>
    <r>
      <rPr>
        <b/>
        <sz val="9"/>
        <color rgb="FF000000"/>
        <rFont val="Segoe UI"/>
        <family val="2"/>
      </rPr>
      <t>]</t>
    </r>
  </si>
  <si>
    <r>
      <rPr>
        <b/>
        <sz val="9"/>
        <rFont val="Segoe UI"/>
        <family val="2"/>
      </rPr>
      <t>t
[mm]</t>
    </r>
  </si>
  <si>
    <r>
      <rPr>
        <b/>
        <sz val="9"/>
        <rFont val="Segoe UI"/>
        <family val="2"/>
      </rPr>
      <t>d
[mm]</t>
    </r>
  </si>
  <si>
    <r>
      <rPr>
        <b/>
        <sz val="9"/>
        <rFont val="Segoe UI"/>
        <family val="2"/>
      </rPr>
      <t>H/L
-</t>
    </r>
  </si>
  <si>
    <r>
      <rPr>
        <b/>
        <sz val="9"/>
        <rFont val="Segoe UI"/>
        <family val="2"/>
      </rPr>
      <t>fb
Mpa</t>
    </r>
  </si>
  <si>
    <r>
      <rPr>
        <b/>
        <sz val="9"/>
        <rFont val="Segoe UI"/>
        <family val="2"/>
      </rPr>
      <t>fm
[MPa]</t>
    </r>
  </si>
  <si>
    <r>
      <rPr>
        <b/>
        <sz val="9"/>
        <rFont val="Segoe UI"/>
        <family val="2"/>
      </rPr>
      <t>fg
[MPa]</t>
    </r>
  </si>
  <si>
    <r>
      <rPr>
        <b/>
        <sz val="9"/>
        <rFont val="Segoe UI"/>
        <family val="2"/>
      </rPr>
      <t>tm
Mpa</t>
    </r>
  </si>
  <si>
    <r>
      <rPr>
        <b/>
        <sz val="9"/>
        <rFont val="Segoe UI"/>
        <family val="2"/>
      </rPr>
      <t>fm'
[MPa]</t>
    </r>
  </si>
  <si>
    <r>
      <rPr>
        <b/>
        <sz val="9"/>
        <rFont val="Segoe UI"/>
        <family val="2"/>
      </rPr>
      <t>Grout
-</t>
    </r>
  </si>
  <si>
    <r>
      <rPr>
        <b/>
        <sz val="9"/>
        <rFont val="Segoe UI"/>
        <family val="2"/>
      </rPr>
      <t>Unid.
-</t>
    </r>
  </si>
  <si>
    <r>
      <rPr>
        <b/>
        <sz val="9"/>
        <rFont val="Segoe UI"/>
        <family val="2"/>
      </rPr>
      <t>pve
-</t>
    </r>
  </si>
  <si>
    <r>
      <rPr>
        <b/>
        <sz val="9"/>
        <rFont val="Segoe UI"/>
        <family val="2"/>
      </rPr>
      <t>pvi
-</t>
    </r>
  </si>
  <si>
    <r>
      <rPr>
        <b/>
        <sz val="9"/>
        <rFont val="Segoe UI"/>
        <family val="2"/>
      </rPr>
      <t>pv
-</t>
    </r>
  </si>
  <si>
    <r>
      <rPr>
        <b/>
        <sz val="9"/>
        <rFont val="Segoe UI"/>
        <family val="2"/>
      </rPr>
      <t>fyv
[MPa]</t>
    </r>
  </si>
  <si>
    <r>
      <rPr>
        <b/>
        <sz val="9"/>
        <rFont val="Segoe UI"/>
        <family val="2"/>
      </rPr>
      <t>sv
[mm]</t>
    </r>
  </si>
  <si>
    <t>ph
-</t>
  </si>
  <si>
    <t>fyh
[MPa]</t>
  </si>
  <si>
    <r>
      <rPr>
        <b/>
        <sz val="9"/>
        <rFont val="Segoe UI"/>
        <family val="2"/>
      </rPr>
      <t>sh
[mm]</t>
    </r>
  </si>
  <si>
    <r>
      <rPr>
        <b/>
        <sz val="9"/>
        <rFont val="Segoe UI"/>
        <family val="2"/>
      </rPr>
      <t>s0
[MPa]</t>
    </r>
  </si>
  <si>
    <t>α</t>
  </si>
  <si>
    <r>
      <rPr>
        <b/>
        <sz val="9"/>
        <rFont val="Segoe UI"/>
        <family val="2"/>
      </rPr>
      <t>dy
[mm]</t>
    </r>
  </si>
  <si>
    <r>
      <rPr>
        <b/>
        <sz val="9"/>
        <rFont val="Segoe UI"/>
        <family val="2"/>
      </rPr>
      <t>du
[mm]</t>
    </r>
  </si>
  <si>
    <t>μ
-</t>
  </si>
  <si>
    <r>
      <rPr>
        <b/>
        <sz val="9"/>
        <rFont val="Segoe UI"/>
        <family val="2"/>
      </rPr>
      <t>vagr
[MPa]</t>
    </r>
  </si>
  <si>
    <t>vmax
[MPa]</t>
  </si>
  <si>
    <t>vm</t>
  </si>
  <si>
    <r>
      <rPr>
        <sz val="9"/>
        <rFont val="Segoe UI"/>
        <family val="2"/>
      </rPr>
      <t>ACI530
vs   vq</t>
    </r>
  </si>
  <si>
    <t>vn</t>
  </si>
  <si>
    <r>
      <rPr>
        <sz val="9"/>
        <rFont val="Segoe UI"/>
        <family val="2"/>
      </rPr>
      <t>EC6
vs   vq</t>
    </r>
  </si>
  <si>
    <r>
      <rPr>
        <sz val="9"/>
        <rFont val="Segoe UI"/>
        <family val="2"/>
      </rPr>
      <t>NZS4230
vs   vq</t>
    </r>
  </si>
  <si>
    <r>
      <rPr>
        <sz val="9"/>
        <rFont val="Segoe UI"/>
        <family val="2"/>
      </rPr>
      <t>CSA304.1
vs   vq</t>
    </r>
  </si>
  <si>
    <r>
      <rPr>
        <sz val="9"/>
        <rFont val="Segoe UI"/>
        <family val="2"/>
      </rPr>
      <t>UBC
vs   vq</t>
    </r>
  </si>
  <si>
    <r>
      <rPr>
        <sz val="9"/>
        <rFont val="Segoe UI"/>
        <family val="2"/>
      </rPr>
      <t>IAJ
vs</t>
    </r>
  </si>
  <si>
    <t>vq</t>
  </si>
  <si>
    <t>NCh vn</t>
  </si>
  <si>
    <r>
      <rPr>
        <sz val="9"/>
        <rFont val="Segoe UI"/>
        <family val="2"/>
      </rPr>
      <t>Peru
vs   vq</t>
    </r>
  </si>
  <si>
    <t>Mexico vs   vq</t>
  </si>
  <si>
    <t>ACI</t>
  </si>
  <si>
    <t>EC</t>
  </si>
  <si>
    <t>NZS</t>
  </si>
  <si>
    <t>Vmax/Vn CSA UBC  IAJ</t>
  </si>
  <si>
    <t>NCh</t>
  </si>
  <si>
    <t>M</t>
  </si>
  <si>
    <t>A
[mm2]</t>
  </si>
  <si>
    <t>σ</t>
  </si>
  <si>
    <t>Output
vmax
[MPa]</t>
  </si>
  <si>
    <t>Diez et al. (1987)</t>
  </si>
  <si>
    <t>MPG</t>
  </si>
  <si>
    <t>GP</t>
  </si>
  <si>
    <t>LC</t>
  </si>
  <si>
    <t>MPE</t>
  </si>
  <si>
    <t>MAG1</t>
  </si>
  <si>
    <t>MAG2</t>
  </si>
  <si>
    <t>MAE1</t>
  </si>
  <si>
    <t>MAE2</t>
  </si>
  <si>
    <t>Shing et al. (1989)</t>
  </si>
  <si>
    <t>3-S</t>
  </si>
  <si>
    <t>GC</t>
  </si>
  <si>
    <t>BH</t>
  </si>
  <si>
    <t>s.i.</t>
  </si>
  <si>
    <t>4-S</t>
  </si>
  <si>
    <t>5-S</t>
  </si>
  <si>
    <t>7-S</t>
  </si>
  <si>
    <t>9-S</t>
  </si>
  <si>
    <t>13-S</t>
  </si>
  <si>
    <t>14-S</t>
  </si>
  <si>
    <t>16-S</t>
  </si>
  <si>
    <t>21-S</t>
  </si>
  <si>
    <t>s.i.             s.i.</t>
  </si>
  <si>
    <t>22-S</t>
  </si>
  <si>
    <t>KW4-1-M</t>
  </si>
  <si>
    <t xml:space="preserve">s.i. </t>
  </si>
  <si>
    <t>KW3-1-M</t>
  </si>
  <si>
    <t>KW3S-1-M</t>
  </si>
  <si>
    <t>KW2-1-M</t>
  </si>
  <si>
    <t>WS2-M</t>
  </si>
  <si>
    <t>WS4-M</t>
  </si>
  <si>
    <t>WS5-M</t>
  </si>
  <si>
    <t>WS9-M</t>
  </si>
  <si>
    <t>WS10-M</t>
  </si>
  <si>
    <t>WS9-2-M</t>
  </si>
  <si>
    <t>WSB21-M</t>
  </si>
  <si>
    <t>WSB22-M</t>
  </si>
  <si>
    <t>WSB3-M</t>
  </si>
  <si>
    <t>WSB4-M</t>
  </si>
  <si>
    <t>WSR2-M</t>
  </si>
  <si>
    <t>WSR4-M</t>
  </si>
  <si>
    <t>WSR5-M</t>
  </si>
  <si>
    <t>WSR6-M</t>
  </si>
  <si>
    <t>Okamoto et al. (1987)</t>
  </si>
  <si>
    <t>WS1-O</t>
  </si>
  <si>
    <t>WS4-O</t>
  </si>
  <si>
    <t>WS7-O</t>
  </si>
  <si>
    <t>WSN1-O</t>
  </si>
  <si>
    <t>WSN2-O</t>
  </si>
  <si>
    <t>WSR1-O</t>
  </si>
  <si>
    <t>WSR4-O</t>
  </si>
  <si>
    <t>WSR7-O</t>
  </si>
  <si>
    <t>Sveinsson et al. (1985)</t>
  </si>
  <si>
    <t>CB13-B</t>
  </si>
  <si>
    <t>CB15-B</t>
  </si>
  <si>
    <t>CB17-B</t>
  </si>
  <si>
    <t>CB18-B</t>
  </si>
  <si>
    <t>CB20-B</t>
  </si>
  <si>
    <t>CB21-B</t>
  </si>
  <si>
    <t>CB23-B</t>
  </si>
  <si>
    <t>CB24-B</t>
  </si>
  <si>
    <t>CB25-B</t>
  </si>
  <si>
    <t>CB26-B</t>
  </si>
  <si>
    <t>BR19-B</t>
  </si>
  <si>
    <t>BR20-B</t>
  </si>
  <si>
    <t>BR21-B</t>
  </si>
  <si>
    <t>BR22-B</t>
  </si>
  <si>
    <t>BR23-B</t>
  </si>
  <si>
    <t>BR24-B</t>
  </si>
  <si>
    <t>BR25-B</t>
  </si>
  <si>
    <t>BR26-B</t>
  </si>
  <si>
    <t>BR27-B</t>
  </si>
  <si>
    <t>BR28-B</t>
  </si>
  <si>
    <t>BR30-B</t>
  </si>
  <si>
    <t>DBR8S-B</t>
  </si>
  <si>
    <t>DBR9-B</t>
  </si>
  <si>
    <t>DBR10-B</t>
  </si>
  <si>
    <t>DBR12-B</t>
  </si>
  <si>
    <t>Voon y Ingham (2006)
Voon (2007)</t>
  </si>
  <si>
    <t>2-V 2A</t>
  </si>
  <si>
    <t>4-V 3A</t>
  </si>
  <si>
    <t>5-V</t>
  </si>
  <si>
    <t>6-V</t>
  </si>
  <si>
    <t>7-V 4A</t>
  </si>
  <si>
    <t>8-V 5A</t>
  </si>
  <si>
    <t>9-V 6A</t>
  </si>
  <si>
    <t>10-V 7A</t>
  </si>
  <si>
    <t>1A</t>
  </si>
  <si>
    <r>
      <rPr>
        <sz val="9"/>
        <color rgb="FF006100"/>
        <rFont val="Segoe UI"/>
        <family val="2"/>
      </rPr>
      <t>s.i.             s.i.</t>
    </r>
  </si>
  <si>
    <t>Minaie (2010)</t>
  </si>
  <si>
    <t>PCL 1</t>
  </si>
  <si>
    <t>MC 1</t>
  </si>
  <si>
    <t>PCL 2</t>
  </si>
  <si>
    <t>MC 2</t>
  </si>
  <si>
    <t>Haach (2010)</t>
  </si>
  <si>
    <t>N60-B1</t>
  </si>
  <si>
    <t>si</t>
  </si>
  <si>
    <t>N60-B2</t>
  </si>
  <si>
    <t>N150-B1</t>
  </si>
  <si>
    <t>N150-B2</t>
  </si>
  <si>
    <t>N60-B1-PA</t>
  </si>
  <si>
    <t>N60-B1-MA</t>
  </si>
  <si>
    <t>Sucuoglu y
McNiven (1991)</t>
  </si>
  <si>
    <t>HCBL-17</t>
  </si>
  <si>
    <t>HCBL-18</t>
  </si>
  <si>
    <t>HCBL-20</t>
  </si>
  <si>
    <t>HCBL-21</t>
  </si>
  <si>
    <t>HCBL-23</t>
  </si>
  <si>
    <t>HCBL-24</t>
  </si>
  <si>
    <t>HCBL-25</t>
  </si>
  <si>
    <t>HCBL-26</t>
  </si>
  <si>
    <t>HCBR-19</t>
  </si>
  <si>
    <t>HCBR-20</t>
  </si>
  <si>
    <t>HCBR-21</t>
  </si>
  <si>
    <t>HCBR-22</t>
  </si>
  <si>
    <t>HCBR-23</t>
  </si>
  <si>
    <t>HCBR-24</t>
  </si>
  <si>
    <t>HCBR-25</t>
  </si>
  <si>
    <t>HCBR-26</t>
  </si>
  <si>
    <t>HCBR-27</t>
  </si>
  <si>
    <t>HCBR-28</t>
  </si>
  <si>
    <t>Kikuchi et al. (2004)</t>
  </si>
  <si>
    <t>SN-1.51L-LC</t>
  </si>
  <si>
    <t>SN-1.13L-LC</t>
  </si>
  <si>
    <t>SN-0.9L-0</t>
  </si>
  <si>
    <t>SN-0.9L-HC</t>
  </si>
  <si>
    <t>SS-0.9L-0</t>
  </si>
  <si>
    <t>SS-0.9L-LC</t>
  </si>
  <si>
    <t>SS-0.9L-LC2</t>
  </si>
  <si>
    <t>SN-0.75L-HC</t>
  </si>
  <si>
    <t>SN-0.75L-LC</t>
  </si>
  <si>
    <t>Dhanasekar y
Haider (2011)</t>
  </si>
  <si>
    <t>variable</t>
  </si>
  <si>
    <t>2A</t>
  </si>
  <si>
    <t>3A</t>
  </si>
  <si>
    <t>4A</t>
  </si>
  <si>
    <t>Tomazevic et al. (1996)</t>
  </si>
  <si>
    <t>V1-AS</t>
  </si>
  <si>
    <t>V2-AS</t>
  </si>
  <si>
    <t>V1-AD</t>
  </si>
  <si>
    <t>V2-AD</t>
  </si>
  <si>
    <t>V1-BS</t>
  </si>
  <si>
    <t>V2-BS</t>
  </si>
  <si>
    <t>V1-BD</t>
  </si>
  <si>
    <t>V2-BD</t>
  </si>
  <si>
    <t>V1-CS</t>
  </si>
  <si>
    <t>V2-CS</t>
  </si>
  <si>
    <t>V1-CD</t>
  </si>
  <si>
    <t>V2-CD</t>
  </si>
  <si>
    <t>V1-DS</t>
  </si>
  <si>
    <t>V2-DS</t>
  </si>
  <si>
    <t>V1-DD</t>
  </si>
  <si>
    <t>V2-DD</t>
  </si>
  <si>
    <t>CW411-M</t>
  </si>
  <si>
    <t>CW412-M</t>
  </si>
  <si>
    <t>CW311-M</t>
  </si>
  <si>
    <t>CW312-M</t>
  </si>
  <si>
    <t>CW211-M</t>
  </si>
  <si>
    <t>CW212-M</t>
  </si>
  <si>
    <t>CW301-M</t>
  </si>
  <si>
    <t>CW302-M</t>
  </si>
  <si>
    <t>CW31P-M</t>
  </si>
  <si>
    <t>CW32-M</t>
  </si>
  <si>
    <t>CW33-M</t>
  </si>
  <si>
    <t>CW31A2-M</t>
  </si>
  <si>
    <t>CW31A3-M</t>
  </si>
  <si>
    <t>CW31A4-M</t>
  </si>
  <si>
    <t>CW30A2-M</t>
  </si>
  <si>
    <t>CW32A2-M</t>
  </si>
  <si>
    <t>CW33A2-M</t>
  </si>
  <si>
    <t>CW34A2-M</t>
  </si>
  <si>
    <t>CWB31PA2-M</t>
  </si>
  <si>
    <t>CW30A3-M</t>
  </si>
  <si>
    <t>CW30PA3-M</t>
  </si>
  <si>
    <t>CW32A3-M</t>
  </si>
  <si>
    <t>CW33A3-M</t>
  </si>
  <si>
    <t>CW52PA21-M</t>
  </si>
  <si>
    <t>CW52PA22-M</t>
  </si>
  <si>
    <t>CW42PA2-M</t>
  </si>
  <si>
    <t>CW32PA2-M</t>
  </si>
  <si>
    <t>CW22PA21-M</t>
  </si>
  <si>
    <t>CW22PA22-M</t>
  </si>
  <si>
    <t>WS4B-M</t>
  </si>
  <si>
    <t>Chen et al. (1978)
Hidalgo (1978)</t>
  </si>
  <si>
    <t>BL2P-B</t>
  </si>
  <si>
    <t>BL5P-B</t>
  </si>
  <si>
    <t>BL8P-B</t>
  </si>
  <si>
    <t>BL10P-B</t>
  </si>
  <si>
    <t>BR2P-B</t>
  </si>
  <si>
    <t>BR5P-B</t>
  </si>
  <si>
    <t>BR9P-B</t>
  </si>
  <si>
    <t>BR11P-B</t>
  </si>
  <si>
    <t>BR3P1-B</t>
  </si>
  <si>
    <t>BR5P1-B</t>
  </si>
  <si>
    <t>BR7P1-B</t>
  </si>
  <si>
    <t>Yancey y
Scribner (1989)</t>
  </si>
  <si>
    <t>R1-N</t>
  </si>
  <si>
    <t>R2-N</t>
  </si>
  <si>
    <t>R4-N</t>
  </si>
  <si>
    <t>R5-N</t>
  </si>
  <si>
    <t>R6-N</t>
  </si>
  <si>
    <t>R7-N</t>
  </si>
  <si>
    <t>R8-N</t>
  </si>
  <si>
    <t>R9-N</t>
  </si>
  <si>
    <t>R10-N</t>
  </si>
  <si>
    <t>R11-N</t>
  </si>
  <si>
    <t>CO-R05-J05-Q10</t>
  </si>
  <si>
    <t>CO-R07-J05-Q10</t>
  </si>
  <si>
    <t>CO-R10-J05-Q10</t>
  </si>
  <si>
    <t>CO-R05-J12-Q10</t>
  </si>
  <si>
    <t>CO-R07-J12-Q10</t>
  </si>
  <si>
    <t>CO-R10-J12-Q10</t>
  </si>
  <si>
    <t>Sepulveda (2003)</t>
  </si>
  <si>
    <t>MLC-00-SA01</t>
  </si>
  <si>
    <t>-</t>
  </si>
  <si>
    <t>MLC-00-SA02</t>
  </si>
  <si>
    <t>MLC-00-CA01</t>
  </si>
  <si>
    <t>MLC-00-CA02</t>
  </si>
  <si>
    <t>MLC-01-SA01</t>
  </si>
  <si>
    <t>MLC-02-SA01</t>
  </si>
  <si>
    <t>MLC-02-SA02</t>
  </si>
  <si>
    <t>MLC-03-SA01</t>
  </si>
  <si>
    <t>MLC-02-CA01</t>
  </si>
  <si>
    <t>MLC-03-CA01</t>
  </si>
  <si>
    <t>MLC-03-CA02</t>
  </si>
  <si>
    <t>MLC-04-CA02</t>
  </si>
  <si>
    <t>MLC-00VD-SA-01</t>
  </si>
  <si>
    <t>MLC-00VD-SA-02</t>
  </si>
  <si>
    <t>MLC-01VD-SA-01</t>
  </si>
  <si>
    <t>MLC-02VD-SA-01</t>
  </si>
  <si>
    <t>MBH-02VD-SA01</t>
  </si>
  <si>
    <t>MBH-02VD-SA02</t>
  </si>
  <si>
    <t>MBH-03VD-SA01</t>
  </si>
  <si>
    <t>MBH-03VD-SA02</t>
  </si>
  <si>
    <t>MBH-02-SA01</t>
  </si>
  <si>
    <t>MBH-02-CA01</t>
  </si>
  <si>
    <t>MBH-02-CA02</t>
  </si>
  <si>
    <t>MBH-03-SA01</t>
  </si>
  <si>
    <t>MBH-03-SA02</t>
  </si>
  <si>
    <t>MBH-03-CA01</t>
  </si>
  <si>
    <t>MBH-03-CA02</t>
  </si>
  <si>
    <t>MBH-04-CA01</t>
  </si>
  <si>
    <t>MBH-04-CA02</t>
  </si>
  <si>
    <t>Lüders e
Hidalgo (1982)</t>
  </si>
  <si>
    <t>TL-1-04</t>
  </si>
  <si>
    <t>TL-1-05</t>
  </si>
  <si>
    <t>TC-1-01</t>
  </si>
  <si>
    <t>TC-1-02</t>
  </si>
  <si>
    <t>TL-1-07</t>
  </si>
  <si>
    <t>TL-1-08</t>
  </si>
  <si>
    <t>TL-1-11</t>
  </si>
  <si>
    <t>TL-1-12</t>
  </si>
  <si>
    <t>Lüders e
Hidalgo (1986)</t>
  </si>
  <si>
    <t>LST-095-02</t>
  </si>
  <si>
    <t>LST-095-03</t>
  </si>
  <si>
    <t>LST-095-04</t>
  </si>
  <si>
    <t>LST-095-05</t>
  </si>
  <si>
    <t>LST-095-06</t>
  </si>
  <si>
    <t>LST-095-07</t>
  </si>
  <si>
    <t>LST-059-01</t>
  </si>
  <si>
    <t>LST-059-02</t>
  </si>
  <si>
    <t>LST-036-01</t>
  </si>
  <si>
    <t>LST-036-02</t>
  </si>
  <si>
    <t>MAA-1-01</t>
  </si>
  <si>
    <t>MAA-1-02</t>
  </si>
  <si>
    <t>MAA-1-03</t>
  </si>
  <si>
    <t>MAA-1-04</t>
  </si>
  <si>
    <t>MAA-1-05</t>
  </si>
  <si>
    <t>MAA-1-06</t>
  </si>
  <si>
    <t>Lüders e
Hidalgo (1987)</t>
  </si>
  <si>
    <t>LST-095-01</t>
  </si>
  <si>
    <t>LST-095-08</t>
  </si>
  <si>
    <t>LST-059-03</t>
  </si>
  <si>
    <t>LST-059-04</t>
  </si>
  <si>
    <t>LST-036-03</t>
  </si>
  <si>
    <t>D12</t>
  </si>
  <si>
    <t>D13</t>
  </si>
  <si>
    <t>D14</t>
  </si>
  <si>
    <t>D15(2)</t>
  </si>
  <si>
    <t>D16(2)</t>
  </si>
  <si>
    <r>
      <t>v</t>
    </r>
    <r>
      <rPr>
        <b/>
        <vertAlign val="subscript"/>
        <sz val="10"/>
        <rFont val="Segoe UI"/>
        <family val="2"/>
      </rPr>
      <t>max,gross</t>
    </r>
    <r>
      <rPr>
        <b/>
        <sz val="10"/>
        <rFont val="Segoe UI"/>
        <family val="2"/>
      </rPr>
      <t xml:space="preserve">
[MPa]</t>
    </r>
  </si>
  <si>
    <r>
      <t>σ</t>
    </r>
    <r>
      <rPr>
        <b/>
        <vertAlign val="subscript"/>
        <sz val="10"/>
        <rFont val="Segoe UI"/>
        <family val="2"/>
      </rPr>
      <t>gross</t>
    </r>
    <r>
      <rPr>
        <b/>
        <sz val="10"/>
        <rFont val="Segoe UI"/>
        <family val="2"/>
      </rPr>
      <t xml:space="preserve">
[MPa]</t>
    </r>
  </si>
  <si>
    <r>
      <t>σ</t>
    </r>
    <r>
      <rPr>
        <b/>
        <vertAlign val="subscript"/>
        <sz val="10"/>
        <rFont val="Segoe UI"/>
        <family val="2"/>
      </rPr>
      <t>net</t>
    </r>
    <r>
      <rPr>
        <b/>
        <sz val="10"/>
        <rFont val="Segoe UI"/>
        <family val="2"/>
      </rPr>
      <t xml:space="preserve">
[MPa]</t>
    </r>
  </si>
  <si>
    <r>
      <t>v</t>
    </r>
    <r>
      <rPr>
        <b/>
        <vertAlign val="subscript"/>
        <sz val="10"/>
        <rFont val="Segoe UI"/>
        <family val="2"/>
      </rPr>
      <t>max,net</t>
    </r>
    <r>
      <rPr>
        <b/>
        <sz val="10"/>
        <rFont val="Segoe UI"/>
        <family val="2"/>
      </rPr>
      <t xml:space="preserve">
[MPa]</t>
    </r>
  </si>
  <si>
    <t>Sources</t>
  </si>
  <si>
    <t>Cantilever</t>
  </si>
  <si>
    <t>Double Curvature</t>
  </si>
  <si>
    <r>
      <t>f</t>
    </r>
    <r>
      <rPr>
        <b/>
        <vertAlign val="subscript"/>
        <sz val="10"/>
        <rFont val="Segoe UI"/>
        <family val="2"/>
      </rPr>
      <t>grout</t>
    </r>
    <r>
      <rPr>
        <b/>
        <sz val="10"/>
        <rFont val="Segoe UI"/>
        <family val="2"/>
      </rPr>
      <t xml:space="preserve">
[MPa]</t>
    </r>
  </si>
  <si>
    <t>Assumed based on known information</t>
  </si>
  <si>
    <t>Orange</t>
  </si>
  <si>
    <t>Assumed based on no known information</t>
  </si>
  <si>
    <t>From source papers</t>
  </si>
  <si>
    <t>P
[kN]</t>
  </si>
  <si>
    <t>Calculated values based on known information</t>
  </si>
  <si>
    <r>
      <t>A</t>
    </r>
    <r>
      <rPr>
        <b/>
        <vertAlign val="subscript"/>
        <sz val="10"/>
        <rFont val="Segoe UI"/>
        <family val="2"/>
      </rPr>
      <t>v, total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</si>
  <si>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v, bar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</si>
  <si>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h, total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</si>
  <si>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h, bar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</si>
  <si>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ρ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>f</t>
    </r>
    <r>
      <rPr>
        <b/>
        <vertAlign val="subscript"/>
        <sz val="10"/>
        <rFont val="Segoe UI"/>
        <family val="2"/>
      </rPr>
      <t>yv</t>
    </r>
    <r>
      <rPr>
        <b/>
        <sz val="10"/>
        <rFont val="Segoe UI"/>
        <family val="2"/>
      </rPr>
      <t xml:space="preserve">
[MPa]</t>
    </r>
  </si>
  <si>
    <r>
      <t>ρ</t>
    </r>
    <r>
      <rPr>
        <b/>
        <vertAlign val="subscript"/>
        <sz val="10"/>
        <rFont val="Segoe UI"/>
        <family val="2"/>
      </rPr>
      <t>h</t>
    </r>
    <r>
      <rPr>
        <b/>
        <sz val="10"/>
        <rFont val="Segoe UI"/>
        <family val="2"/>
      </rPr>
      <t>f</t>
    </r>
    <r>
      <rPr>
        <b/>
        <vertAlign val="subscript"/>
        <sz val="10"/>
        <rFont val="Segoe UI"/>
        <family val="2"/>
      </rPr>
      <t>yh</t>
    </r>
    <r>
      <rPr>
        <b/>
        <sz val="10"/>
        <rFont val="Segoe UI"/>
        <family val="2"/>
      </rPr>
      <t xml:space="preserve">
[MPa]</t>
    </r>
  </si>
  <si>
    <r>
      <t>d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 xml:space="preserve">
[mm]</t>
    </r>
  </si>
  <si>
    <t>MASONRY MATERIALS</t>
  </si>
  <si>
    <t>PG085-48</t>
  </si>
  <si>
    <t>PG120-48</t>
  </si>
  <si>
    <t>PG169-48</t>
  </si>
  <si>
    <t>PG085-32</t>
  </si>
  <si>
    <t>PG085-24</t>
  </si>
  <si>
    <t>Maleki et al. (2009)</t>
  </si>
  <si>
    <t>Behaviour of partially grouted reinforced masonry shear walls - experimental study</t>
  </si>
  <si>
    <t>psi</t>
  </si>
  <si>
    <t>MPa</t>
  </si>
  <si>
    <t>R1</t>
  </si>
  <si>
    <t>R2</t>
  </si>
  <si>
    <t>R4</t>
  </si>
  <si>
    <t>R5</t>
  </si>
  <si>
    <t>R6</t>
  </si>
  <si>
    <t>R7</t>
  </si>
  <si>
    <t>R8</t>
  </si>
  <si>
    <t>R9</t>
  </si>
  <si>
    <t>R10</t>
  </si>
  <si>
    <t>R11</t>
  </si>
  <si>
    <t>in</t>
  </si>
  <si>
    <t>mm</t>
  </si>
  <si>
    <t>lbf</t>
  </si>
  <si>
    <t>kN</t>
  </si>
  <si>
    <t>C1</t>
  </si>
  <si>
    <t>D2</t>
  </si>
  <si>
    <t>C10</t>
  </si>
  <si>
    <t>C7</t>
  </si>
  <si>
    <t>C8</t>
  </si>
  <si>
    <t>C9</t>
  </si>
  <si>
    <t>D11</t>
  </si>
  <si>
    <t>C3</t>
  </si>
  <si>
    <t>D4</t>
  </si>
  <si>
    <t>http://besser.com/concrete-products-equipment/vibrapac</t>
  </si>
  <si>
    <t>Oan's database No</t>
  </si>
  <si>
    <t>Yield Load (N)</t>
  </si>
  <si>
    <r>
      <t>Area (mm</t>
    </r>
    <r>
      <rPr>
        <vertAlign val="super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</si>
  <si>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t>Diameter (mm)</t>
  </si>
  <si>
    <t>Yield Stress (MPa)</t>
  </si>
  <si>
    <t>285, 302</t>
  </si>
  <si>
    <t>290, 302</t>
  </si>
  <si>
    <t>Purple</t>
  </si>
  <si>
    <t>Overidden/Recalculated values</t>
  </si>
  <si>
    <t>Assumed block geometry (from Vibratec manual)</t>
  </si>
  <si>
    <t>M1</t>
  </si>
  <si>
    <t>M2</t>
  </si>
  <si>
    <t>M3</t>
  </si>
  <si>
    <t>M4</t>
  </si>
  <si>
    <t>M5</t>
  </si>
  <si>
    <t>M6</t>
  </si>
  <si>
    <t>M7</t>
  </si>
  <si>
    <t>M8</t>
  </si>
  <si>
    <t>M9</t>
  </si>
  <si>
    <t>M10</t>
  </si>
  <si>
    <t>Ghanem et al (1992)</t>
  </si>
  <si>
    <t>Hassalani's database</t>
  </si>
  <si>
    <t>x</t>
  </si>
  <si>
    <t>Schultz (1996)</t>
  </si>
  <si>
    <t>Wall #1</t>
  </si>
  <si>
    <t>Wall #2</t>
  </si>
  <si>
    <t>Wall #3</t>
  </si>
  <si>
    <t>Wall #4</t>
  </si>
  <si>
    <t>Wall #5</t>
  </si>
  <si>
    <t>Seismic performance of partially-grouted masonry shear walls</t>
  </si>
  <si>
    <t>Effect of steel distribution on the behavior of partially reinforced masonry shear walls</t>
  </si>
  <si>
    <t>Shear strength of partially grouted squat masonry shear walls</t>
  </si>
  <si>
    <t>Elmapruk (2010)</t>
  </si>
  <si>
    <t>PG127-48</t>
  </si>
  <si>
    <t>PG127-48I</t>
  </si>
  <si>
    <t>PG180-48</t>
  </si>
  <si>
    <t>PG254-48</t>
  </si>
  <si>
    <t>PG127-32</t>
  </si>
  <si>
    <t>PG127-24</t>
  </si>
  <si>
    <t>200, 284</t>
  </si>
  <si>
    <t>A-1 (DR)</t>
  </si>
  <si>
    <t>A-2 (JR)</t>
  </si>
  <si>
    <t>A-6 (JRx2)</t>
  </si>
  <si>
    <t>B-7 (DR)</t>
  </si>
  <si>
    <t>B-5 (JR)</t>
  </si>
  <si>
    <t>D-3 (DR)</t>
  </si>
  <si>
    <t>D-4 (JR)</t>
  </si>
  <si>
    <t>D-8 (JRx2)</t>
  </si>
  <si>
    <t>129, 284</t>
  </si>
  <si>
    <t>129, 200</t>
  </si>
  <si>
    <t>SWA</t>
  </si>
  <si>
    <t>SWB</t>
  </si>
  <si>
    <t>HCBL-11-2</t>
  </si>
  <si>
    <t>HCBL-11-5</t>
  </si>
  <si>
    <t>HCBL-11-8</t>
  </si>
  <si>
    <t>HCBL-11-10</t>
  </si>
  <si>
    <t>127, 198</t>
  </si>
  <si>
    <t>380, 79</t>
  </si>
  <si>
    <t>201, 79</t>
  </si>
  <si>
    <r>
      <t>H</t>
    </r>
    <r>
      <rPr>
        <b/>
        <vertAlign val="subscript"/>
        <sz val="10"/>
        <color rgb="FF000000"/>
        <rFont val="Segoe UI"/>
        <family val="2"/>
      </rPr>
      <t>eff</t>
    </r>
    <r>
      <rPr>
        <b/>
        <sz val="10"/>
        <color rgb="FF000000"/>
        <rFont val="Segoe UI"/>
        <family val="2"/>
      </rPr>
      <t xml:space="preserve">
[mm]</t>
    </r>
  </si>
  <si>
    <r>
      <rPr>
        <b/>
        <sz val="10"/>
        <rFont val="Segoe UI"/>
        <family val="2"/>
      </rPr>
      <t>H</t>
    </r>
    <r>
      <rPr>
        <b/>
        <vertAlign val="subscript"/>
        <sz val="10"/>
        <rFont val="Segoe UI"/>
        <family val="2"/>
      </rPr>
      <t>eff</t>
    </r>
    <r>
      <rPr>
        <b/>
        <sz val="10"/>
        <rFont val="Segoe UI"/>
        <family val="2"/>
      </rPr>
      <t>/L
-</t>
    </r>
  </si>
  <si>
    <t>CSA S304.14</t>
  </si>
  <si>
    <r>
      <t>V</t>
    </r>
    <r>
      <rPr>
        <b/>
        <vertAlign val="subscript"/>
        <sz val="10"/>
        <color rgb="FF000000"/>
        <rFont val="Segoe UI"/>
        <family val="2"/>
      </rPr>
      <t xml:space="preserve">r, </t>
    </r>
    <r>
      <rPr>
        <b/>
        <sz val="10"/>
        <color rgb="FF000000"/>
        <rFont val="Segoe UI"/>
        <family val="2"/>
      </rPr>
      <t>φ</t>
    </r>
    <r>
      <rPr>
        <b/>
        <vertAlign val="subscript"/>
        <sz val="10"/>
        <color rgb="FF000000"/>
        <rFont val="Segoe UI"/>
        <family val="2"/>
      </rPr>
      <t xml:space="preserve">m=0.6
</t>
    </r>
    <r>
      <rPr>
        <b/>
        <sz val="10"/>
        <color rgb="FF000000"/>
        <rFont val="Segoe UI"/>
        <family val="2"/>
      </rPr>
      <t>[kN]</t>
    </r>
  </si>
  <si>
    <r>
      <t>v</t>
    </r>
    <r>
      <rPr>
        <b/>
        <vertAlign val="subscript"/>
        <sz val="10"/>
        <color rgb="FF000000"/>
        <rFont val="Segoe UI"/>
        <family val="2"/>
      </rPr>
      <t>m</t>
    </r>
  </si>
  <si>
    <t>Haider (2007)</t>
  </si>
  <si>
    <t>Inplane response of wide spaced reinforced masonry shear walls</t>
  </si>
  <si>
    <t>Loading Type</t>
  </si>
  <si>
    <t>WSRM#1</t>
  </si>
  <si>
    <t>WSRM#2</t>
  </si>
  <si>
    <t>WSRM#3</t>
  </si>
  <si>
    <t>WSRM#4</t>
  </si>
  <si>
    <t>WSRM#5</t>
  </si>
  <si>
    <t>WSRM#6</t>
  </si>
  <si>
    <t>WSRM#7</t>
  </si>
  <si>
    <t>WSRM#8</t>
  </si>
  <si>
    <t>Monotonic</t>
  </si>
  <si>
    <t>Reverse Cyclic</t>
  </si>
  <si>
    <t>https://buybuildingsupplies.com.au/n12-reinforcement-bar-long-p-2089.html</t>
  </si>
  <si>
    <t>https://www.meshbar.com.au/reinforcing-steel/</t>
  </si>
  <si>
    <t>http://www.bcsands.com.au/index.php?main_page=product_info&amp;products_id=10135</t>
  </si>
  <si>
    <t>http://www.reinforcing.com.au/our-products/bar/deformed-reinforcing-bar</t>
  </si>
  <si>
    <t># of Tests</t>
  </si>
  <si>
    <t># of courses in Prism</t>
  </si>
  <si>
    <r>
      <t>A</t>
    </r>
    <r>
      <rPr>
        <b/>
        <vertAlign val="subscript"/>
        <sz val="10"/>
        <rFont val="Segoe UI"/>
        <family val="2"/>
      </rPr>
      <t>h, bond beam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</si>
  <si>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h, Joint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</si>
  <si>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t>"4-5 Cycles of Repeating Shear Load"</t>
  </si>
  <si>
    <t>Bi-axial Monotonic</t>
  </si>
  <si>
    <t>ASTM C1314</t>
  </si>
  <si>
    <t>ASTM C 140</t>
  </si>
  <si>
    <t>≥ 2</t>
  </si>
  <si>
    <t>≥ 3</t>
  </si>
  <si>
    <t>MASONRY CLAY BLOCKS (not concrete)</t>
  </si>
  <si>
    <t>CSA Correction Factor</t>
  </si>
  <si>
    <t>CSA Adjusted f'm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</si>
</sst>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0.0"/>
    <numFmt numFmtId="165" formatCode="0.00000"/>
    <numFmt numFmtId="166" formatCode="0.0000"/>
    <numFmt numFmtId="167" formatCode="0.000"/>
    <numFmt numFmtId="168" formatCode="0.0;[Red]0.0"/>
    <numFmt numFmtId="169" formatCode="0;[Red]0"/>
    <numFmt numFmtId="170" formatCode="0.00;[Red]0.00"/>
    <numFmt numFmtId="171" formatCode="0.000000"/>
  </numFmts>
  <fonts count="51" x14ac:knownFonts="1">
    <font>
      <sz val="11"/>
      <color theme="1"/>
      <name val="Calibri"/>
      <family val="2"/>
      <scheme val="minor"/>
    </font>
    <font>
      <sz val="10"/>
      <color theme="1"/>
      <name val="Segoe UI"/>
      <family val="2"/>
    </font>
    <font>
      <sz val="10"/>
      <color rgb="FF000000"/>
      <name val="Segoe UI"/>
      <family val="2"/>
    </font>
    <font>
      <sz val="11"/>
      <color theme="1"/>
      <name val="Segoe UI"/>
      <family val="2"/>
    </font>
    <font>
      <b/>
      <sz val="10"/>
      <name val="Segoe UI"/>
      <family val="2"/>
    </font>
    <font>
      <b/>
      <sz val="10"/>
      <color rgb="FF000000"/>
      <name val="Segoe UI"/>
      <family val="2"/>
    </font>
    <font>
      <b/>
      <vertAlign val="superscript"/>
      <sz val="10"/>
      <color rgb="FF000000"/>
      <name val="Segoe UI"/>
      <family val="2"/>
    </font>
    <font>
      <b/>
      <vertAlign val="subscript"/>
      <sz val="10"/>
      <name val="Segoe UI"/>
      <family val="2"/>
    </font>
    <font>
      <b/>
      <vertAlign val="subscript"/>
      <sz val="10"/>
      <color rgb="FF000000"/>
      <name val="Segoe UI"/>
      <family val="2"/>
    </font>
    <font>
      <b/>
      <sz val="11"/>
      <name val="Segoe UI"/>
      <family val="2"/>
    </font>
    <font>
      <b/>
      <vertAlign val="subscript"/>
      <sz val="8"/>
      <name val="Segoe UI"/>
      <family val="2"/>
    </font>
    <font>
      <b/>
      <sz val="12"/>
      <name val="Segoe UI"/>
      <family val="2"/>
    </font>
    <font>
      <b/>
      <sz val="8"/>
      <name val="Segoe UI"/>
      <family val="2"/>
    </font>
    <font>
      <b/>
      <vertAlign val="superscript"/>
      <sz val="11"/>
      <name val="Segoe UI"/>
      <family val="2"/>
    </font>
    <font>
      <sz val="11"/>
      <color rgb="FF000000"/>
      <name val="Segoe UI"/>
      <family val="2"/>
    </font>
    <font>
      <sz val="11"/>
      <color rgb="FF000000"/>
      <name val="Times New Roman"/>
      <family val="2"/>
    </font>
    <font>
      <sz val="11"/>
      <name val="Times New Roman"/>
      <family val="1"/>
    </font>
    <font>
      <sz val="11"/>
      <name val="Times New Roman"/>
      <family val="1"/>
    </font>
    <font>
      <sz val="11"/>
      <color rgb="FF000000"/>
      <name val="Calibri"/>
      <family val="2"/>
    </font>
    <font>
      <sz val="10"/>
      <color rgb="FF000000"/>
      <name val="Calibri"/>
      <family val="2"/>
    </font>
    <font>
      <sz val="12"/>
      <name val="Times New Roman"/>
      <family val="1"/>
    </font>
    <font>
      <b/>
      <vertAlign val="subscript"/>
      <sz val="11"/>
      <name val="Segoe UI"/>
      <family val="2"/>
    </font>
    <font>
      <sz val="10"/>
      <name val="Segoe UI"/>
      <family val="2"/>
    </font>
    <font>
      <b/>
      <sz val="10"/>
      <color theme="1"/>
      <name val="Segoe UI"/>
      <family val="2"/>
    </font>
    <font>
      <i/>
      <sz val="11"/>
      <color theme="1"/>
      <name val="Calibri"/>
      <family val="2"/>
      <scheme val="minor"/>
    </font>
    <font>
      <i/>
      <sz val="10"/>
      <color theme="1"/>
      <name val="Segoe UI"/>
      <family val="2"/>
    </font>
    <font>
      <sz val="10"/>
      <color rgb="FFC00000"/>
      <name val="Segoe UI"/>
      <family val="2"/>
    </font>
    <font>
      <sz val="10"/>
      <color rgb="FF0070C0"/>
      <name val="Segoe UI"/>
      <family val="2"/>
    </font>
    <font>
      <sz val="10"/>
      <color theme="9" tint="-0.249977111117893"/>
      <name val="Segoe UI"/>
      <family val="2"/>
    </font>
    <font>
      <sz val="10"/>
      <color rgb="FF000000"/>
      <name val="Times New Roman"/>
      <family val="1"/>
    </font>
    <font>
      <b/>
      <sz val="9"/>
      <name val="Segoe UI"/>
      <family val="2"/>
    </font>
    <font>
      <sz val="9"/>
      <color rgb="FF000000"/>
      <name val="Segoe UI"/>
      <family val="2"/>
    </font>
    <font>
      <b/>
      <sz val="9"/>
      <color rgb="FF000000"/>
      <name val="Segoe UI"/>
      <family val="2"/>
    </font>
    <font>
      <b/>
      <vertAlign val="superscript"/>
      <sz val="9"/>
      <color rgb="FF000000"/>
      <name val="Segoe UI"/>
      <family val="2"/>
    </font>
    <font>
      <b/>
      <i/>
      <sz val="9"/>
      <name val="Segoe UI"/>
      <family val="2"/>
    </font>
    <font>
      <sz val="9"/>
      <name val="Segoe UI"/>
      <family val="2"/>
    </font>
    <font>
      <sz val="9"/>
      <color rgb="FF538ED5"/>
      <name val="Segoe UI"/>
      <family val="2"/>
    </font>
    <font>
      <sz val="9"/>
      <color rgb="FFFF0000"/>
      <name val="Segoe UI"/>
      <family val="2"/>
    </font>
    <font>
      <sz val="9"/>
      <color rgb="FF366092"/>
      <name val="Segoe UI"/>
      <family val="2"/>
    </font>
    <font>
      <sz val="9"/>
      <color rgb="FF006100"/>
      <name val="Segoe UI"/>
      <family val="2"/>
    </font>
    <font>
      <sz val="9"/>
      <color rgb="FF4F82BD"/>
      <name val="Segoe UI"/>
      <family val="2"/>
    </font>
    <font>
      <b/>
      <sz val="11"/>
      <color theme="1"/>
      <name val="Calibri"/>
      <family val="2"/>
      <scheme val="minor"/>
    </font>
    <font>
      <sz val="23"/>
      <color theme="1"/>
      <name val="Calibri"/>
      <family val="2"/>
      <scheme val="minor"/>
    </font>
    <font>
      <sz val="10"/>
      <color theme="8"/>
      <name val="Segoe UI"/>
      <family val="2"/>
    </font>
    <font>
      <sz val="10"/>
      <color theme="2" tint="-0.499984740745262"/>
      <name val="Segoe UI"/>
      <family val="2"/>
    </font>
    <font>
      <sz val="10"/>
      <color rgb="FFFFC000"/>
      <name val="Segoe UI"/>
      <family val="2"/>
    </font>
    <font>
      <b/>
      <vertAlign val="superscript"/>
      <sz val="10"/>
      <name val="Segoe U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vertAlign val="superscript"/>
      <sz val="11"/>
      <color theme="1"/>
      <name val="Calibri"/>
      <family val="2"/>
      <scheme val="minor"/>
    </font>
    <font>
      <sz val="10"/>
      <color rgb="FF7030A0"/>
      <name val="Segoe UI"/>
      <family val="2"/>
    </font>
  </fonts>
  <fills count="21">
    <fill>
      <patternFill patternType="none"/>
    </fill>
    <fill>
      <patternFill patternType="gray125"/>
    </fill>
    <fill>
      <patternFill patternType="solid">
        <fgColor rgb="FFDFDFDF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lightUp">
        <fgColor theme="9"/>
      </patternFill>
    </fill>
    <fill>
      <patternFill patternType="solid">
        <fgColor theme="8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65"/>
        <bgColor theme="9"/>
      </patternFill>
    </fill>
    <fill>
      <patternFill patternType="solid">
        <fgColor indexed="65"/>
        <bgColor rgb="FFFFC000"/>
      </patternFill>
    </fill>
  </fills>
  <borders count="42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rgb="FF000000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29" fillId="0" borderId="0"/>
  </cellStyleXfs>
  <cellXfs count="419">
    <xf numFmtId="0" fontId="0" fillId="0" borderId="0" xfId="0"/>
    <xf numFmtId="0" fontId="3" fillId="0" borderId="0" xfId="0" applyFont="1"/>
    <xf numFmtId="0" fontId="1" fillId="0" borderId="0" xfId="0" applyFont="1" applyAlignment="1">
      <alignment horizontal="center" vertical="center"/>
    </xf>
    <xf numFmtId="0" fontId="0" fillId="0" borderId="0" xfId="0" applyFill="1" applyBorder="1" applyAlignment="1">
      <alignment horizontal="left" vertical="top"/>
    </xf>
    <xf numFmtId="0" fontId="16" fillId="0" borderId="8" xfId="0" applyFont="1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4" fillId="0" borderId="7" xfId="0" applyFont="1" applyFill="1" applyBorder="1" applyAlignment="1">
      <alignment horizontal="center" vertical="center" wrapText="1"/>
    </xf>
    <xf numFmtId="1" fontId="14" fillId="0" borderId="7" xfId="0" applyNumberFormat="1" applyFont="1" applyFill="1" applyBorder="1" applyAlignment="1">
      <alignment horizontal="center" vertical="center" wrapText="1"/>
    </xf>
    <xf numFmtId="164" fontId="14" fillId="0" borderId="7" xfId="0" applyNumberFormat="1" applyFont="1" applyFill="1" applyBorder="1" applyAlignment="1">
      <alignment horizontal="center" vertical="center" wrapText="1"/>
    </xf>
    <xf numFmtId="1" fontId="14" fillId="0" borderId="1" xfId="0" applyNumberFormat="1" applyFont="1" applyFill="1" applyBorder="1" applyAlignment="1">
      <alignment horizontal="center" vertical="center" wrapText="1"/>
    </xf>
    <xf numFmtId="2" fontId="14" fillId="0" borderId="7" xfId="0" applyNumberFormat="1" applyFont="1" applyFill="1" applyBorder="1" applyAlignment="1">
      <alignment horizontal="center" vertical="center" wrapText="1"/>
    </xf>
    <xf numFmtId="1" fontId="15" fillId="0" borderId="7" xfId="0" applyNumberFormat="1" applyFont="1" applyFill="1" applyBorder="1" applyAlignment="1">
      <alignment horizontal="center" vertical="center" wrapText="1"/>
    </xf>
    <xf numFmtId="164" fontId="15" fillId="0" borderId="7" xfId="0" applyNumberFormat="1" applyFont="1" applyFill="1" applyBorder="1" applyAlignment="1">
      <alignment horizontal="center" vertical="center" wrapText="1"/>
    </xf>
    <xf numFmtId="2" fontId="15" fillId="0" borderId="7" xfId="0" applyNumberFormat="1" applyFont="1" applyFill="1" applyBorder="1" applyAlignment="1">
      <alignment horizontal="center" vertical="center" wrapText="1"/>
    </xf>
    <xf numFmtId="2" fontId="15" fillId="0" borderId="1" xfId="0" applyNumberFormat="1" applyFont="1" applyFill="1" applyBorder="1" applyAlignment="1">
      <alignment horizontal="center" vertical="center" wrapText="1"/>
    </xf>
    <xf numFmtId="1" fontId="15" fillId="2" borderId="7" xfId="0" applyNumberFormat="1" applyFont="1" applyFill="1" applyBorder="1" applyAlignment="1">
      <alignment horizontal="center" vertical="center" wrapText="1"/>
    </xf>
    <xf numFmtId="164" fontId="15" fillId="2" borderId="7" xfId="0" applyNumberFormat="1" applyFont="1" applyFill="1" applyBorder="1" applyAlignment="1">
      <alignment horizontal="center" vertical="center" wrapText="1"/>
    </xf>
    <xf numFmtId="2" fontId="15" fillId="2" borderId="7" xfId="0" applyNumberFormat="1" applyFont="1" applyFill="1" applyBorder="1" applyAlignment="1">
      <alignment horizontal="center" vertical="center" wrapText="1"/>
    </xf>
    <xf numFmtId="164" fontId="18" fillId="0" borderId="7" xfId="0" applyNumberFormat="1" applyFont="1" applyFill="1" applyBorder="1" applyAlignment="1">
      <alignment horizontal="center" vertical="center" wrapText="1"/>
    </xf>
    <xf numFmtId="1" fontId="18" fillId="0" borderId="7" xfId="0" applyNumberFormat="1" applyFont="1" applyFill="1" applyBorder="1" applyAlignment="1">
      <alignment horizontal="center" vertical="center" wrapText="1"/>
    </xf>
    <xf numFmtId="2" fontId="18" fillId="0" borderId="7" xfId="0" applyNumberFormat="1" applyFont="1" applyFill="1" applyBorder="1" applyAlignment="1">
      <alignment horizontal="center" vertical="center" wrapText="1"/>
    </xf>
    <xf numFmtId="164" fontId="19" fillId="2" borderId="7" xfId="0" applyNumberFormat="1" applyFont="1" applyFill="1" applyBorder="1" applyAlignment="1">
      <alignment horizontal="center" vertical="center" wrapText="1"/>
    </xf>
    <xf numFmtId="1" fontId="19" fillId="2" borderId="7" xfId="0" applyNumberFormat="1" applyFont="1" applyFill="1" applyBorder="1" applyAlignment="1">
      <alignment horizontal="center" vertical="center" wrapText="1"/>
    </xf>
    <xf numFmtId="2" fontId="19" fillId="2" borderId="7" xfId="0" applyNumberFormat="1" applyFont="1" applyFill="1" applyBorder="1" applyAlignment="1">
      <alignment horizontal="center" vertical="center" wrapText="1"/>
    </xf>
    <xf numFmtId="1" fontId="15" fillId="0" borderId="1" xfId="0" applyNumberFormat="1" applyFont="1" applyFill="1" applyBorder="1" applyAlignment="1">
      <alignment horizontal="center" vertical="center" wrapText="1"/>
    </xf>
    <xf numFmtId="1" fontId="15" fillId="2" borderId="1" xfId="0" applyNumberFormat="1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16" fillId="2" borderId="8" xfId="0" applyFont="1" applyFill="1" applyBorder="1" applyAlignment="1">
      <alignment horizontal="center" vertical="center" wrapText="1"/>
    </xf>
    <xf numFmtId="0" fontId="17" fillId="2" borderId="8" xfId="0" applyFont="1" applyFill="1" applyBorder="1" applyAlignment="1">
      <alignment horizontal="center" vertical="center" wrapText="1"/>
    </xf>
    <xf numFmtId="0" fontId="17" fillId="0" borderId="8" xfId="0" applyFont="1" applyFill="1" applyBorder="1" applyAlignment="1">
      <alignment horizontal="center" vertical="center" wrapText="1"/>
    </xf>
    <xf numFmtId="0" fontId="17" fillId="2" borderId="9" xfId="0" applyFont="1" applyFill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/>
    </xf>
    <xf numFmtId="0" fontId="1" fillId="0" borderId="0" xfId="0" applyFont="1"/>
    <xf numFmtId="0" fontId="1" fillId="0" borderId="10" xfId="0" applyFont="1" applyBorder="1" applyAlignment="1">
      <alignment horizontal="center"/>
    </xf>
    <xf numFmtId="0" fontId="1" fillId="0" borderId="10" xfId="0" applyFont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 wrapText="1"/>
    </xf>
    <xf numFmtId="0" fontId="1" fillId="0" borderId="10" xfId="0" quotePrefix="1" applyNumberFormat="1" applyFont="1" applyBorder="1" applyAlignment="1">
      <alignment horizontal="center"/>
    </xf>
    <xf numFmtId="0" fontId="1" fillId="0" borderId="0" xfId="0" applyFont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23" fillId="0" borderId="0" xfId="0" applyFont="1"/>
    <xf numFmtId="0" fontId="24" fillId="0" borderId="0" xfId="0" applyFont="1"/>
    <xf numFmtId="0" fontId="25" fillId="0" borderId="0" xfId="0" applyFont="1"/>
    <xf numFmtId="0" fontId="22" fillId="4" borderId="10" xfId="0" applyFont="1" applyFill="1" applyBorder="1" applyAlignment="1">
      <alignment horizontal="center" vertical="center" wrapText="1"/>
    </xf>
    <xf numFmtId="0" fontId="25" fillId="0" borderId="0" xfId="0" applyFont="1" applyAlignment="1">
      <alignment wrapText="1"/>
    </xf>
    <xf numFmtId="3" fontId="1" fillId="0" borderId="10" xfId="0" applyNumberFormat="1" applyFont="1" applyBorder="1" applyAlignment="1">
      <alignment horizontal="center" vertical="center"/>
    </xf>
    <xf numFmtId="0" fontId="26" fillId="5" borderId="10" xfId="0" applyFont="1" applyFill="1" applyBorder="1" applyAlignment="1">
      <alignment horizontal="center" vertical="center" wrapText="1"/>
    </xf>
    <xf numFmtId="0" fontId="1" fillId="4" borderId="10" xfId="0" applyFont="1" applyFill="1" applyBorder="1" applyAlignment="1">
      <alignment horizontal="center" vertical="center" wrapText="1"/>
    </xf>
    <xf numFmtId="0" fontId="4" fillId="0" borderId="13" xfId="0" applyFont="1" applyFill="1" applyBorder="1" applyAlignment="1">
      <alignment horizontal="center" vertical="center" wrapText="1"/>
    </xf>
    <xf numFmtId="0" fontId="2" fillId="0" borderId="13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center" vertical="center" wrapText="1"/>
    </xf>
    <xf numFmtId="0" fontId="23" fillId="0" borderId="0" xfId="0" applyFont="1" applyAlignment="1">
      <alignment horizontal="left" vertical="center"/>
    </xf>
    <xf numFmtId="0" fontId="26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2" fontId="27" fillId="0" borderId="0" xfId="0" applyNumberFormat="1" applyFont="1" applyAlignment="1">
      <alignment horizontal="center" vertical="center"/>
    </xf>
    <xf numFmtId="0" fontId="28" fillId="0" borderId="0" xfId="0" applyFont="1" applyAlignment="1">
      <alignment horizontal="center" vertical="center"/>
    </xf>
    <xf numFmtId="0" fontId="30" fillId="0" borderId="1" xfId="1" applyFont="1" applyFill="1" applyBorder="1" applyAlignment="1">
      <alignment horizontal="center" vertical="center" wrapText="1"/>
    </xf>
    <xf numFmtId="0" fontId="30" fillId="0" borderId="2" xfId="1" applyFont="1" applyFill="1" applyBorder="1" applyAlignment="1">
      <alignment horizontal="center" vertical="center" wrapText="1"/>
    </xf>
    <xf numFmtId="0" fontId="31" fillId="0" borderId="3" xfId="1" applyFont="1" applyFill="1" applyBorder="1" applyAlignment="1">
      <alignment horizontal="center" vertical="center" wrapText="1"/>
    </xf>
    <xf numFmtId="0" fontId="31" fillId="0" borderId="4" xfId="1" applyFont="1" applyFill="1" applyBorder="1" applyAlignment="1">
      <alignment horizontal="center" vertical="center" wrapText="1"/>
    </xf>
    <xf numFmtId="0" fontId="32" fillId="0" borderId="4" xfId="1" applyFont="1" applyFill="1" applyBorder="1" applyAlignment="1">
      <alignment horizontal="center" vertical="center" wrapText="1"/>
    </xf>
    <xf numFmtId="0" fontId="31" fillId="0" borderId="5" xfId="1" applyFont="1" applyFill="1" applyBorder="1" applyAlignment="1">
      <alignment horizontal="center" vertical="center" wrapText="1"/>
    </xf>
    <xf numFmtId="0" fontId="31" fillId="0" borderId="2" xfId="1" applyFont="1" applyFill="1" applyBorder="1" applyAlignment="1">
      <alignment horizontal="center" vertical="center" wrapText="1"/>
    </xf>
    <xf numFmtId="0" fontId="30" fillId="0" borderId="3" xfId="1" applyFont="1" applyFill="1" applyBorder="1" applyAlignment="1">
      <alignment horizontal="center" vertical="center" wrapText="1"/>
    </xf>
    <xf numFmtId="0" fontId="34" fillId="0" borderId="2" xfId="1" applyFont="1" applyFill="1" applyBorder="1" applyAlignment="1">
      <alignment horizontal="center" vertical="center" wrapText="1"/>
    </xf>
    <xf numFmtId="0" fontId="34" fillId="0" borderId="5" xfId="1" applyFont="1" applyFill="1" applyBorder="1" applyAlignment="1">
      <alignment horizontal="center" vertical="center" wrapText="1"/>
    </xf>
    <xf numFmtId="0" fontId="31" fillId="0" borderId="14" xfId="1" applyFont="1" applyFill="1" applyBorder="1" applyAlignment="1">
      <alignment horizontal="center" vertical="center" wrapText="1"/>
    </xf>
    <xf numFmtId="0" fontId="30" fillId="0" borderId="6" xfId="1" applyFont="1" applyFill="1" applyBorder="1" applyAlignment="1">
      <alignment horizontal="center" vertical="center" wrapText="1"/>
    </xf>
    <xf numFmtId="0" fontId="35" fillId="0" borderId="1" xfId="1" applyFont="1" applyFill="1" applyBorder="1" applyAlignment="1">
      <alignment horizontal="center" vertical="center" wrapText="1"/>
    </xf>
    <xf numFmtId="0" fontId="31" fillId="0" borderId="14" xfId="1" applyFont="1" applyFill="1" applyBorder="1" applyAlignment="1">
      <alignment vertical="center" wrapText="1"/>
    </xf>
    <xf numFmtId="0" fontId="35" fillId="0" borderId="6" xfId="1" applyFont="1" applyFill="1" applyBorder="1" applyAlignment="1">
      <alignment horizontal="center" vertical="center" wrapText="1"/>
    </xf>
    <xf numFmtId="0" fontId="35" fillId="0" borderId="14" xfId="1" applyFont="1" applyFill="1" applyBorder="1" applyAlignment="1">
      <alignment horizontal="center" vertical="center" wrapText="1"/>
    </xf>
    <xf numFmtId="0" fontId="35" fillId="0" borderId="7" xfId="1" applyFont="1" applyFill="1" applyBorder="1" applyAlignment="1">
      <alignment horizontal="center" vertical="center" wrapText="1"/>
    </xf>
    <xf numFmtId="0" fontId="35" fillId="0" borderId="14" xfId="1" applyFont="1" applyFill="1" applyBorder="1" applyAlignment="1">
      <alignment vertical="center" wrapText="1"/>
    </xf>
    <xf numFmtId="0" fontId="29" fillId="0" borderId="0" xfId="1" applyFill="1" applyBorder="1" applyAlignment="1">
      <alignment horizontal="left" vertical="top"/>
    </xf>
    <xf numFmtId="0" fontId="5" fillId="0" borderId="15" xfId="1" applyFont="1" applyFill="1" applyBorder="1" applyAlignment="1">
      <alignment horizontal="center" vertical="center"/>
    </xf>
    <xf numFmtId="0" fontId="5" fillId="0" borderId="15" xfId="1" applyFont="1" applyFill="1" applyBorder="1" applyAlignment="1">
      <alignment horizontal="center" vertical="center" wrapText="1"/>
    </xf>
    <xf numFmtId="0" fontId="2" fillId="0" borderId="0" xfId="1" applyFont="1" applyFill="1" applyBorder="1" applyAlignment="1">
      <alignment horizontal="left" vertical="top"/>
    </xf>
    <xf numFmtId="1" fontId="31" fillId="0" borderId="16" xfId="1" applyNumberFormat="1" applyFont="1" applyFill="1" applyBorder="1" applyAlignment="1">
      <alignment horizontal="center" vertical="center" wrapText="1"/>
    </xf>
    <xf numFmtId="0" fontId="35" fillId="0" borderId="17" xfId="1" applyFont="1" applyFill="1" applyBorder="1" applyAlignment="1">
      <alignment vertical="center" wrapText="1"/>
    </xf>
    <xf numFmtId="0" fontId="35" fillId="0" borderId="17" xfId="1" applyFont="1" applyFill="1" applyBorder="1" applyAlignment="1">
      <alignment horizontal="center" vertical="center" wrapText="1"/>
    </xf>
    <xf numFmtId="1" fontId="31" fillId="0" borderId="18" xfId="1" applyNumberFormat="1" applyFont="1" applyFill="1" applyBorder="1" applyAlignment="1">
      <alignment horizontal="center" vertical="center" wrapText="1"/>
    </xf>
    <xf numFmtId="1" fontId="31" fillId="0" borderId="19" xfId="1" applyNumberFormat="1" applyFont="1" applyFill="1" applyBorder="1" applyAlignment="1">
      <alignment horizontal="center" vertical="center" wrapText="1"/>
    </xf>
    <xf numFmtId="164" fontId="31" fillId="0" borderId="19" xfId="1" applyNumberFormat="1" applyFont="1" applyFill="1" applyBorder="1" applyAlignment="1">
      <alignment horizontal="center" vertical="center" wrapText="1"/>
    </xf>
    <xf numFmtId="2" fontId="31" fillId="0" borderId="20" xfId="1" applyNumberFormat="1" applyFont="1" applyFill="1" applyBorder="1" applyAlignment="1">
      <alignment horizontal="center" vertical="center" wrapText="1"/>
    </xf>
    <xf numFmtId="164" fontId="31" fillId="0" borderId="18" xfId="1" applyNumberFormat="1" applyFont="1" applyFill="1" applyBorder="1" applyAlignment="1">
      <alignment horizontal="center" vertical="center" wrapText="1"/>
    </xf>
    <xf numFmtId="164" fontId="31" fillId="0" borderId="20" xfId="1" applyNumberFormat="1" applyFont="1" applyFill="1" applyBorder="1" applyAlignment="1">
      <alignment horizontal="center" vertical="center" wrapText="1"/>
    </xf>
    <xf numFmtId="164" fontId="31" fillId="0" borderId="17" xfId="1" applyNumberFormat="1" applyFont="1" applyFill="1" applyBorder="1" applyAlignment="1">
      <alignment horizontal="center" vertical="center" wrapText="1"/>
    </xf>
    <xf numFmtId="2" fontId="31" fillId="0" borderId="18" xfId="1" applyNumberFormat="1" applyFont="1" applyFill="1" applyBorder="1" applyAlignment="1">
      <alignment horizontal="center" vertical="center" wrapText="1"/>
    </xf>
    <xf numFmtId="0" fontId="35" fillId="0" borderId="19" xfId="1" applyFont="1" applyFill="1" applyBorder="1" applyAlignment="1">
      <alignment horizontal="center" vertical="center" wrapText="1"/>
    </xf>
    <xf numFmtId="0" fontId="35" fillId="0" borderId="20" xfId="1" applyFont="1" applyFill="1" applyBorder="1" applyAlignment="1">
      <alignment horizontal="center" vertical="center" wrapText="1"/>
    </xf>
    <xf numFmtId="165" fontId="31" fillId="0" borderId="18" xfId="1" applyNumberFormat="1" applyFont="1" applyFill="1" applyBorder="1" applyAlignment="1">
      <alignment horizontal="center" vertical="center" wrapText="1"/>
    </xf>
    <xf numFmtId="165" fontId="31" fillId="0" borderId="19" xfId="1" applyNumberFormat="1" applyFont="1" applyFill="1" applyBorder="1" applyAlignment="1">
      <alignment horizontal="center" vertical="center" wrapText="1"/>
    </xf>
    <xf numFmtId="1" fontId="31" fillId="0" borderId="20" xfId="1" applyNumberFormat="1" applyFont="1" applyFill="1" applyBorder="1" applyAlignment="1">
      <alignment horizontal="center" vertical="center" wrapText="1"/>
    </xf>
    <xf numFmtId="1" fontId="31" fillId="0" borderId="17" xfId="1" applyNumberFormat="1" applyFont="1" applyFill="1" applyBorder="1" applyAlignment="1">
      <alignment horizontal="center" vertical="center" wrapText="1"/>
    </xf>
    <xf numFmtId="2" fontId="31" fillId="0" borderId="19" xfId="1" applyNumberFormat="1" applyFont="1" applyFill="1" applyBorder="1" applyAlignment="1">
      <alignment horizontal="center" vertical="center" wrapText="1"/>
    </xf>
    <xf numFmtId="2" fontId="31" fillId="0" borderId="21" xfId="1" applyNumberFormat="1" applyFont="1" applyFill="1" applyBorder="1" applyAlignment="1">
      <alignment horizontal="center" vertical="center" wrapText="1"/>
    </xf>
    <xf numFmtId="2" fontId="31" fillId="0" borderId="16" xfId="1" applyNumberFormat="1" applyFont="1" applyFill="1" applyBorder="1" applyAlignment="1">
      <alignment horizontal="center" vertical="center" wrapText="1"/>
    </xf>
    <xf numFmtId="2" fontId="31" fillId="0" borderId="8" xfId="1" applyNumberFormat="1" applyFont="1" applyFill="1" applyBorder="1" applyAlignment="1">
      <alignment horizontal="center" vertical="center" wrapText="1"/>
    </xf>
    <xf numFmtId="0" fontId="2" fillId="0" borderId="0" xfId="1" applyFont="1" applyFill="1" applyBorder="1" applyAlignment="1">
      <alignment horizontal="center" vertical="top"/>
    </xf>
    <xf numFmtId="2" fontId="2" fillId="0" borderId="0" xfId="1" applyNumberFormat="1" applyFont="1" applyFill="1" applyBorder="1" applyAlignment="1">
      <alignment horizontal="center" vertical="top"/>
    </xf>
    <xf numFmtId="1" fontId="31" fillId="0" borderId="22" xfId="1" applyNumberFormat="1" applyFont="1" applyFill="1" applyBorder="1" applyAlignment="1">
      <alignment horizontal="center" vertical="center" wrapText="1"/>
    </xf>
    <xf numFmtId="0" fontId="35" fillId="0" borderId="23" xfId="1" applyFont="1" applyFill="1" applyBorder="1" applyAlignment="1">
      <alignment vertical="center" wrapText="1"/>
    </xf>
    <xf numFmtId="0" fontId="35" fillId="0" borderId="23" xfId="1" applyFont="1" applyFill="1" applyBorder="1" applyAlignment="1">
      <alignment horizontal="center" vertical="center" wrapText="1"/>
    </xf>
    <xf numFmtId="1" fontId="31" fillId="0" borderId="11" xfId="1" applyNumberFormat="1" applyFont="1" applyFill="1" applyBorder="1" applyAlignment="1">
      <alignment horizontal="center" vertical="center" wrapText="1"/>
    </xf>
    <xf numFmtId="1" fontId="31" fillId="0" borderId="0" xfId="1" applyNumberFormat="1" applyFont="1" applyFill="1" applyBorder="1" applyAlignment="1">
      <alignment horizontal="center" vertical="center" wrapText="1"/>
    </xf>
    <xf numFmtId="164" fontId="31" fillId="0" borderId="0" xfId="1" applyNumberFormat="1" applyFont="1" applyFill="1" applyBorder="1" applyAlignment="1">
      <alignment horizontal="center" vertical="center" wrapText="1"/>
    </xf>
    <xf numFmtId="2" fontId="31" fillId="0" borderId="24" xfId="1" applyNumberFormat="1" applyFont="1" applyFill="1" applyBorder="1" applyAlignment="1">
      <alignment horizontal="center" vertical="center" wrapText="1"/>
    </xf>
    <xf numFmtId="164" fontId="31" fillId="0" borderId="11" xfId="1" applyNumberFormat="1" applyFont="1" applyFill="1" applyBorder="1" applyAlignment="1">
      <alignment horizontal="center" vertical="center" wrapText="1"/>
    </xf>
    <xf numFmtId="164" fontId="31" fillId="0" borderId="24" xfId="1" applyNumberFormat="1" applyFont="1" applyFill="1" applyBorder="1" applyAlignment="1">
      <alignment horizontal="center" vertical="center" wrapText="1"/>
    </xf>
    <xf numFmtId="164" fontId="31" fillId="0" borderId="23" xfId="1" applyNumberFormat="1" applyFont="1" applyFill="1" applyBorder="1" applyAlignment="1">
      <alignment horizontal="center" vertical="center" wrapText="1"/>
    </xf>
    <xf numFmtId="2" fontId="31" fillId="0" borderId="11" xfId="1" applyNumberFormat="1" applyFont="1" applyFill="1" applyBorder="1" applyAlignment="1">
      <alignment horizontal="center" vertical="center" wrapText="1"/>
    </xf>
    <xf numFmtId="0" fontId="35" fillId="0" borderId="0" xfId="1" applyFont="1" applyFill="1" applyBorder="1" applyAlignment="1">
      <alignment horizontal="center" vertical="center" wrapText="1"/>
    </xf>
    <xf numFmtId="0" fontId="35" fillId="0" borderId="24" xfId="1" applyFont="1" applyFill="1" applyBorder="1" applyAlignment="1">
      <alignment horizontal="center" vertical="center" wrapText="1"/>
    </xf>
    <xf numFmtId="165" fontId="31" fillId="0" borderId="11" xfId="1" applyNumberFormat="1" applyFont="1" applyFill="1" applyBorder="1" applyAlignment="1">
      <alignment horizontal="center" vertical="center" wrapText="1"/>
    </xf>
    <xf numFmtId="165" fontId="31" fillId="0" borderId="0" xfId="1" applyNumberFormat="1" applyFont="1" applyFill="1" applyBorder="1" applyAlignment="1">
      <alignment horizontal="center" vertical="center" wrapText="1"/>
    </xf>
    <xf numFmtId="1" fontId="31" fillId="0" borderId="24" xfId="1" applyNumberFormat="1" applyFont="1" applyFill="1" applyBorder="1" applyAlignment="1">
      <alignment horizontal="center" vertical="center" wrapText="1"/>
    </xf>
    <xf numFmtId="1" fontId="31" fillId="0" borderId="23" xfId="1" applyNumberFormat="1" applyFont="1" applyFill="1" applyBorder="1" applyAlignment="1">
      <alignment horizontal="center" vertical="center" wrapText="1"/>
    </xf>
    <xf numFmtId="2" fontId="31" fillId="0" borderId="0" xfId="1" applyNumberFormat="1" applyFont="1" applyFill="1" applyBorder="1" applyAlignment="1">
      <alignment horizontal="center" vertical="center" wrapText="1"/>
    </xf>
    <xf numFmtId="2" fontId="31" fillId="0" borderId="25" xfId="1" applyNumberFormat="1" applyFont="1" applyFill="1" applyBorder="1" applyAlignment="1">
      <alignment horizontal="center" vertical="center" wrapText="1"/>
    </xf>
    <xf numFmtId="2" fontId="31" fillId="0" borderId="22" xfId="1" applyNumberFormat="1" applyFont="1" applyFill="1" applyBorder="1" applyAlignment="1">
      <alignment horizontal="center" vertical="center" wrapText="1"/>
    </xf>
    <xf numFmtId="2" fontId="31" fillId="0" borderId="26" xfId="1" applyNumberFormat="1" applyFont="1" applyFill="1" applyBorder="1" applyAlignment="1">
      <alignment horizontal="center" vertical="center" wrapText="1"/>
    </xf>
    <xf numFmtId="0" fontId="31" fillId="0" borderId="22" xfId="1" applyFont="1" applyFill="1" applyBorder="1" applyAlignment="1">
      <alignment horizontal="center" vertical="center" wrapText="1"/>
    </xf>
    <xf numFmtId="0" fontId="35" fillId="0" borderId="11" xfId="1" applyFont="1" applyFill="1" applyBorder="1" applyAlignment="1">
      <alignment horizontal="center" vertical="center" wrapText="1"/>
    </xf>
    <xf numFmtId="0" fontId="31" fillId="0" borderId="0" xfId="1" applyFont="1" applyFill="1" applyBorder="1" applyAlignment="1">
      <alignment horizontal="center" vertical="center" wrapText="1"/>
    </xf>
    <xf numFmtId="0" fontId="31" fillId="0" borderId="24" xfId="1" applyFont="1" applyFill="1" applyBorder="1" applyAlignment="1">
      <alignment horizontal="center" vertical="center" wrapText="1"/>
    </xf>
    <xf numFmtId="0" fontId="35" fillId="0" borderId="22" xfId="1" applyFont="1" applyFill="1" applyBorder="1" applyAlignment="1">
      <alignment horizontal="center" vertical="center" wrapText="1"/>
    </xf>
    <xf numFmtId="0" fontId="31" fillId="0" borderId="11" xfId="1" applyFont="1" applyFill="1" applyBorder="1" applyAlignment="1">
      <alignment horizontal="center" vertical="center" wrapText="1"/>
    </xf>
    <xf numFmtId="1" fontId="31" fillId="0" borderId="27" xfId="1" applyNumberFormat="1" applyFont="1" applyFill="1" applyBorder="1" applyAlignment="1">
      <alignment horizontal="center" vertical="center" wrapText="1"/>
    </xf>
    <xf numFmtId="0" fontId="35" fillId="0" borderId="28" xfId="1" applyFont="1" applyFill="1" applyBorder="1" applyAlignment="1">
      <alignment vertical="center" wrapText="1"/>
    </xf>
    <xf numFmtId="0" fontId="35" fillId="0" borderId="28" xfId="1" applyFont="1" applyFill="1" applyBorder="1" applyAlignment="1">
      <alignment horizontal="center" vertical="center" wrapText="1"/>
    </xf>
    <xf numFmtId="1" fontId="31" fillId="0" borderId="29" xfId="1" applyNumberFormat="1" applyFont="1" applyFill="1" applyBorder="1" applyAlignment="1">
      <alignment horizontal="center" vertical="center" wrapText="1"/>
    </xf>
    <xf numFmtId="1" fontId="31" fillId="0" borderId="12" xfId="1" applyNumberFormat="1" applyFont="1" applyFill="1" applyBorder="1" applyAlignment="1">
      <alignment horizontal="center" vertical="center" wrapText="1"/>
    </xf>
    <xf numFmtId="164" fontId="31" fillId="0" borderId="12" xfId="1" applyNumberFormat="1" applyFont="1" applyFill="1" applyBorder="1" applyAlignment="1">
      <alignment horizontal="center" vertical="center" wrapText="1"/>
    </xf>
    <xf numFmtId="2" fontId="31" fillId="0" borderId="30" xfId="1" applyNumberFormat="1" applyFont="1" applyFill="1" applyBorder="1" applyAlignment="1">
      <alignment horizontal="center" vertical="center" wrapText="1"/>
    </xf>
    <xf numFmtId="164" fontId="31" fillId="0" borderId="29" xfId="1" applyNumberFormat="1" applyFont="1" applyFill="1" applyBorder="1" applyAlignment="1">
      <alignment horizontal="center" vertical="center" wrapText="1"/>
    </xf>
    <xf numFmtId="164" fontId="31" fillId="0" borderId="30" xfId="1" applyNumberFormat="1" applyFont="1" applyFill="1" applyBorder="1" applyAlignment="1">
      <alignment horizontal="center" vertical="center" wrapText="1"/>
    </xf>
    <xf numFmtId="164" fontId="31" fillId="0" borderId="28" xfId="1" applyNumberFormat="1" applyFont="1" applyFill="1" applyBorder="1" applyAlignment="1">
      <alignment horizontal="center" vertical="center" wrapText="1"/>
    </xf>
    <xf numFmtId="2" fontId="31" fillId="0" borderId="29" xfId="1" applyNumberFormat="1" applyFont="1" applyFill="1" applyBorder="1" applyAlignment="1">
      <alignment horizontal="center" vertical="center" wrapText="1"/>
    </xf>
    <xf numFmtId="0" fontId="35" fillId="0" borderId="12" xfId="1" applyFont="1" applyFill="1" applyBorder="1" applyAlignment="1">
      <alignment horizontal="center" vertical="center" wrapText="1"/>
    </xf>
    <xf numFmtId="0" fontId="35" fillId="0" borderId="30" xfId="1" applyFont="1" applyFill="1" applyBorder="1" applyAlignment="1">
      <alignment horizontal="center" vertical="center" wrapText="1"/>
    </xf>
    <xf numFmtId="165" fontId="31" fillId="0" borderId="29" xfId="1" applyNumberFormat="1" applyFont="1" applyFill="1" applyBorder="1" applyAlignment="1">
      <alignment horizontal="center" vertical="center" wrapText="1"/>
    </xf>
    <xf numFmtId="165" fontId="31" fillId="0" borderId="12" xfId="1" applyNumberFormat="1" applyFont="1" applyFill="1" applyBorder="1" applyAlignment="1">
      <alignment horizontal="center" vertical="center" wrapText="1"/>
    </xf>
    <xf numFmtId="1" fontId="31" fillId="0" borderId="30" xfId="1" applyNumberFormat="1" applyFont="1" applyFill="1" applyBorder="1" applyAlignment="1">
      <alignment horizontal="center" vertical="center" wrapText="1"/>
    </xf>
    <xf numFmtId="1" fontId="31" fillId="0" borderId="28" xfId="1" applyNumberFormat="1" applyFont="1" applyFill="1" applyBorder="1" applyAlignment="1">
      <alignment horizontal="center" vertical="center" wrapText="1"/>
    </xf>
    <xf numFmtId="2" fontId="31" fillId="0" borderId="12" xfId="1" applyNumberFormat="1" applyFont="1" applyFill="1" applyBorder="1" applyAlignment="1">
      <alignment horizontal="center" vertical="center" wrapText="1"/>
    </xf>
    <xf numFmtId="2" fontId="31" fillId="0" borderId="31" xfId="1" applyNumberFormat="1" applyFont="1" applyFill="1" applyBorder="1" applyAlignment="1">
      <alignment horizontal="center" vertical="center" wrapText="1"/>
    </xf>
    <xf numFmtId="2" fontId="31" fillId="0" borderId="27" xfId="1" applyNumberFormat="1" applyFont="1" applyFill="1" applyBorder="1" applyAlignment="1">
      <alignment horizontal="center" vertical="center" wrapText="1"/>
    </xf>
    <xf numFmtId="2" fontId="31" fillId="0" borderId="32" xfId="1" applyNumberFormat="1" applyFont="1" applyFill="1" applyBorder="1" applyAlignment="1">
      <alignment horizontal="center" vertical="center" wrapText="1"/>
    </xf>
    <xf numFmtId="164" fontId="36" fillId="0" borderId="18" xfId="1" applyNumberFormat="1" applyFont="1" applyFill="1" applyBorder="1" applyAlignment="1">
      <alignment horizontal="center" vertical="center" wrapText="1"/>
    </xf>
    <xf numFmtId="168" fontId="37" fillId="0" borderId="20" xfId="1" applyNumberFormat="1" applyFont="1" applyFill="1" applyBorder="1" applyAlignment="1">
      <alignment horizontal="center" vertical="center" wrapText="1"/>
    </xf>
    <xf numFmtId="168" fontId="37" fillId="0" borderId="17" xfId="1" applyNumberFormat="1" applyFont="1" applyFill="1" applyBorder="1" applyAlignment="1">
      <alignment horizontal="center" vertical="center" wrapText="1"/>
    </xf>
    <xf numFmtId="2" fontId="36" fillId="0" borderId="18" xfId="1" applyNumberFormat="1" applyFont="1" applyFill="1" applyBorder="1" applyAlignment="1">
      <alignment horizontal="center" vertical="center" wrapText="1"/>
    </xf>
    <xf numFmtId="2" fontId="31" fillId="0" borderId="17" xfId="1" applyNumberFormat="1" applyFont="1" applyFill="1" applyBorder="1" applyAlignment="1">
      <alignment horizontal="center" vertical="center" wrapText="1"/>
    </xf>
    <xf numFmtId="164" fontId="38" fillId="0" borderId="19" xfId="1" applyNumberFormat="1" applyFont="1" applyFill="1" applyBorder="1" applyAlignment="1">
      <alignment horizontal="center" vertical="center" wrapText="1"/>
    </xf>
    <xf numFmtId="164" fontId="36" fillId="0" borderId="11" xfId="1" applyNumberFormat="1" applyFont="1" applyFill="1" applyBorder="1" applyAlignment="1">
      <alignment horizontal="center" vertical="center" wrapText="1"/>
    </xf>
    <xf numFmtId="168" fontId="37" fillId="0" borderId="24" xfId="1" applyNumberFormat="1" applyFont="1" applyFill="1" applyBorder="1" applyAlignment="1">
      <alignment horizontal="center" vertical="center" wrapText="1"/>
    </xf>
    <xf numFmtId="168" fontId="37" fillId="0" borderId="23" xfId="1" applyNumberFormat="1" applyFont="1" applyFill="1" applyBorder="1" applyAlignment="1">
      <alignment horizontal="center" vertical="center" wrapText="1"/>
    </xf>
    <xf numFmtId="2" fontId="36" fillId="0" borderId="11" xfId="1" applyNumberFormat="1" applyFont="1" applyFill="1" applyBorder="1" applyAlignment="1">
      <alignment horizontal="center" vertical="center" wrapText="1"/>
    </xf>
    <xf numFmtId="164" fontId="38" fillId="0" borderId="0" xfId="1" applyNumberFormat="1" applyFont="1" applyFill="1" applyBorder="1" applyAlignment="1">
      <alignment horizontal="center" vertical="center" wrapText="1"/>
    </xf>
    <xf numFmtId="2" fontId="31" fillId="0" borderId="23" xfId="1" applyNumberFormat="1" applyFont="1" applyFill="1" applyBorder="1" applyAlignment="1">
      <alignment horizontal="center" vertical="center" wrapText="1"/>
    </xf>
    <xf numFmtId="2" fontId="35" fillId="0" borderId="24" xfId="1" applyNumberFormat="1" applyFont="1" applyFill="1" applyBorder="1" applyAlignment="1">
      <alignment horizontal="center" vertical="center" wrapText="1"/>
    </xf>
    <xf numFmtId="0" fontId="35" fillId="0" borderId="11" xfId="1" applyFont="1" applyFill="1" applyBorder="1" applyAlignment="1">
      <alignment vertical="center" wrapText="1"/>
    </xf>
    <xf numFmtId="0" fontId="35" fillId="0" borderId="0" xfId="1" applyFont="1" applyFill="1" applyBorder="1" applyAlignment="1">
      <alignment vertical="center" wrapText="1"/>
    </xf>
    <xf numFmtId="164" fontId="36" fillId="0" borderId="29" xfId="1" applyNumberFormat="1" applyFont="1" applyFill="1" applyBorder="1" applyAlignment="1">
      <alignment horizontal="center" vertical="center" wrapText="1"/>
    </xf>
    <xf numFmtId="168" fontId="37" fillId="0" borderId="30" xfId="1" applyNumberFormat="1" applyFont="1" applyFill="1" applyBorder="1" applyAlignment="1">
      <alignment horizontal="center" vertical="center" wrapText="1"/>
    </xf>
    <xf numFmtId="2" fontId="36" fillId="0" borderId="29" xfId="1" applyNumberFormat="1" applyFont="1" applyFill="1" applyBorder="1" applyAlignment="1">
      <alignment horizontal="center" vertical="center" wrapText="1"/>
    </xf>
    <xf numFmtId="2" fontId="31" fillId="0" borderId="28" xfId="1" applyNumberFormat="1" applyFont="1" applyFill="1" applyBorder="1" applyAlignment="1">
      <alignment horizontal="center" vertical="center" wrapText="1"/>
    </xf>
    <xf numFmtId="0" fontId="35" fillId="0" borderId="29" xfId="1" applyFont="1" applyFill="1" applyBorder="1" applyAlignment="1">
      <alignment vertical="center" wrapText="1"/>
    </xf>
    <xf numFmtId="0" fontId="35" fillId="0" borderId="12" xfId="1" applyFont="1" applyFill="1" applyBorder="1" applyAlignment="1">
      <alignment vertical="center" wrapText="1"/>
    </xf>
    <xf numFmtId="0" fontId="35" fillId="0" borderId="18" xfId="1" applyFont="1" applyFill="1" applyBorder="1" applyAlignment="1">
      <alignment vertical="center" wrapText="1"/>
    </xf>
    <xf numFmtId="0" fontId="35" fillId="0" borderId="19" xfId="1" applyFont="1" applyFill="1" applyBorder="1" applyAlignment="1">
      <alignment vertical="center" wrapText="1"/>
    </xf>
    <xf numFmtId="164" fontId="36" fillId="0" borderId="20" xfId="1" applyNumberFormat="1" applyFont="1" applyFill="1" applyBorder="1" applyAlignment="1">
      <alignment horizontal="center" vertical="center" wrapText="1"/>
    </xf>
    <xf numFmtId="0" fontId="35" fillId="0" borderId="21" xfId="1" applyFont="1" applyFill="1" applyBorder="1" applyAlignment="1">
      <alignment horizontal="center" vertical="center" wrapText="1"/>
    </xf>
    <xf numFmtId="164" fontId="36" fillId="0" borderId="24" xfId="1" applyNumberFormat="1" applyFont="1" applyFill="1" applyBorder="1" applyAlignment="1">
      <alignment horizontal="center" vertical="center" wrapText="1"/>
    </xf>
    <xf numFmtId="0" fontId="35" fillId="0" borderId="25" xfId="1" applyFont="1" applyFill="1" applyBorder="1" applyAlignment="1">
      <alignment horizontal="center" vertical="center" wrapText="1"/>
    </xf>
    <xf numFmtId="0" fontId="35" fillId="0" borderId="33" xfId="1" applyFont="1" applyFill="1" applyBorder="1" applyAlignment="1">
      <alignment horizontal="center" vertical="center" wrapText="1"/>
    </xf>
    <xf numFmtId="0" fontId="35" fillId="0" borderId="31" xfId="1" applyFont="1" applyFill="1" applyBorder="1" applyAlignment="1">
      <alignment horizontal="center" vertical="center" wrapText="1"/>
    </xf>
    <xf numFmtId="164" fontId="36" fillId="0" borderId="30" xfId="1" applyNumberFormat="1" applyFont="1" applyFill="1" applyBorder="1" applyAlignment="1">
      <alignment horizontal="center" vertical="center" wrapText="1"/>
    </xf>
    <xf numFmtId="0" fontId="2" fillId="0" borderId="13" xfId="1" applyFont="1" applyFill="1" applyBorder="1" applyAlignment="1">
      <alignment horizontal="center" vertical="top"/>
    </xf>
    <xf numFmtId="2" fontId="2" fillId="0" borderId="13" xfId="1" applyNumberFormat="1" applyFont="1" applyFill="1" applyBorder="1" applyAlignment="1">
      <alignment horizontal="center" vertical="top"/>
    </xf>
    <xf numFmtId="168" fontId="37" fillId="0" borderId="28" xfId="1" applyNumberFormat="1" applyFont="1" applyFill="1" applyBorder="1" applyAlignment="1">
      <alignment horizontal="center" vertical="center" wrapText="1"/>
    </xf>
    <xf numFmtId="164" fontId="36" fillId="0" borderId="19" xfId="1" applyNumberFormat="1" applyFont="1" applyFill="1" applyBorder="1" applyAlignment="1">
      <alignment horizontal="center" vertical="center" wrapText="1"/>
    </xf>
    <xf numFmtId="169" fontId="37" fillId="0" borderId="19" xfId="1" applyNumberFormat="1" applyFont="1" applyFill="1" applyBorder="1" applyAlignment="1">
      <alignment horizontal="center" vertical="center" wrapText="1"/>
    </xf>
    <xf numFmtId="164" fontId="36" fillId="0" borderId="0" xfId="1" applyNumberFormat="1" applyFont="1" applyFill="1" applyBorder="1" applyAlignment="1">
      <alignment horizontal="center" vertical="center" wrapText="1"/>
    </xf>
    <xf numFmtId="169" fontId="37" fillId="0" borderId="0" xfId="1" applyNumberFormat="1" applyFont="1" applyFill="1" applyBorder="1" applyAlignment="1">
      <alignment horizontal="center" vertical="center" wrapText="1"/>
    </xf>
    <xf numFmtId="164" fontId="36" fillId="0" borderId="12" xfId="1" applyNumberFormat="1" applyFont="1" applyFill="1" applyBorder="1" applyAlignment="1">
      <alignment horizontal="center" vertical="center" wrapText="1"/>
    </xf>
    <xf numFmtId="169" fontId="37" fillId="0" borderId="12" xfId="1" applyNumberFormat="1" applyFont="1" applyFill="1" applyBorder="1" applyAlignment="1">
      <alignment horizontal="center" vertical="center" wrapText="1"/>
    </xf>
    <xf numFmtId="0" fontId="35" fillId="0" borderId="18" xfId="1" applyFont="1" applyFill="1" applyBorder="1" applyAlignment="1">
      <alignment horizontal="center" vertical="center" wrapText="1"/>
    </xf>
    <xf numFmtId="0" fontId="31" fillId="0" borderId="16" xfId="1" applyFont="1" applyFill="1" applyBorder="1" applyAlignment="1">
      <alignment horizontal="center" vertical="center" wrapText="1"/>
    </xf>
    <xf numFmtId="0" fontId="31" fillId="0" borderId="19" xfId="1" applyFont="1" applyFill="1" applyBorder="1" applyAlignment="1">
      <alignment horizontal="center" vertical="center" wrapText="1"/>
    </xf>
    <xf numFmtId="0" fontId="31" fillId="0" borderId="21" xfId="1" applyFont="1" applyFill="1" applyBorder="1" applyAlignment="1">
      <alignment horizontal="center" vertical="center" wrapText="1"/>
    </xf>
    <xf numFmtId="0" fontId="31" fillId="0" borderId="25" xfId="1" applyFont="1" applyFill="1" applyBorder="1" applyAlignment="1">
      <alignment horizontal="center" vertical="center" wrapText="1"/>
    </xf>
    <xf numFmtId="0" fontId="35" fillId="0" borderId="29" xfId="1" applyFont="1" applyFill="1" applyBorder="1" applyAlignment="1">
      <alignment horizontal="center" vertical="center" wrapText="1"/>
    </xf>
    <xf numFmtId="0" fontId="31" fillId="0" borderId="27" xfId="1" applyFont="1" applyFill="1" applyBorder="1" applyAlignment="1">
      <alignment horizontal="center" vertical="center" wrapText="1"/>
    </xf>
    <xf numFmtId="0" fontId="31" fillId="0" borderId="12" xfId="1" applyFont="1" applyFill="1" applyBorder="1" applyAlignment="1">
      <alignment horizontal="center" vertical="center" wrapText="1"/>
    </xf>
    <xf numFmtId="0" fontId="31" fillId="0" borderId="31" xfId="1" applyFont="1" applyFill="1" applyBorder="1" applyAlignment="1">
      <alignment horizontal="center" vertical="center" wrapText="1"/>
    </xf>
    <xf numFmtId="0" fontId="35" fillId="0" borderId="34" xfId="1" applyFont="1" applyFill="1" applyBorder="1" applyAlignment="1">
      <alignment vertical="center" wrapText="1"/>
    </xf>
    <xf numFmtId="0" fontId="35" fillId="0" borderId="34" xfId="1" applyFont="1" applyFill="1" applyBorder="1" applyAlignment="1">
      <alignment horizontal="center" vertical="center" wrapText="1"/>
    </xf>
    <xf numFmtId="1" fontId="31" fillId="0" borderId="35" xfId="1" applyNumberFormat="1" applyFont="1" applyFill="1" applyBorder="1" applyAlignment="1">
      <alignment horizontal="center" vertical="center" wrapText="1"/>
    </xf>
    <xf numFmtId="1" fontId="31" fillId="0" borderId="36" xfId="1" applyNumberFormat="1" applyFont="1" applyFill="1" applyBorder="1" applyAlignment="1">
      <alignment horizontal="center" vertical="center" wrapText="1"/>
    </xf>
    <xf numFmtId="164" fontId="31" fillId="0" borderId="36" xfId="1" applyNumberFormat="1" applyFont="1" applyFill="1" applyBorder="1" applyAlignment="1">
      <alignment horizontal="center" vertical="center" wrapText="1"/>
    </xf>
    <xf numFmtId="2" fontId="31" fillId="0" borderId="37" xfId="1" applyNumberFormat="1" applyFont="1" applyFill="1" applyBorder="1" applyAlignment="1">
      <alignment horizontal="center" vertical="center" wrapText="1"/>
    </xf>
    <xf numFmtId="164" fontId="36" fillId="0" borderId="35" xfId="1" applyNumberFormat="1" applyFont="1" applyFill="1" applyBorder="1" applyAlignment="1">
      <alignment horizontal="center" vertical="center" wrapText="1"/>
    </xf>
    <xf numFmtId="168" fontId="37" fillId="0" borderId="37" xfId="1" applyNumberFormat="1" applyFont="1" applyFill="1" applyBorder="1" applyAlignment="1">
      <alignment horizontal="center" vertical="center" wrapText="1"/>
    </xf>
    <xf numFmtId="168" fontId="37" fillId="0" borderId="34" xfId="1" applyNumberFormat="1" applyFont="1" applyFill="1" applyBorder="1" applyAlignment="1">
      <alignment horizontal="center" vertical="center" wrapText="1"/>
    </xf>
    <xf numFmtId="2" fontId="36" fillId="0" borderId="35" xfId="1" applyNumberFormat="1" applyFont="1" applyFill="1" applyBorder="1" applyAlignment="1">
      <alignment horizontal="center" vertical="center" wrapText="1"/>
    </xf>
    <xf numFmtId="0" fontId="35" fillId="0" borderId="36" xfId="1" applyFont="1" applyFill="1" applyBorder="1" applyAlignment="1">
      <alignment horizontal="center" vertical="center" wrapText="1"/>
    </xf>
    <xf numFmtId="0" fontId="35" fillId="0" borderId="37" xfId="1" applyFont="1" applyFill="1" applyBorder="1" applyAlignment="1">
      <alignment horizontal="center" vertical="center" wrapText="1"/>
    </xf>
    <xf numFmtId="165" fontId="31" fillId="0" borderId="35" xfId="1" applyNumberFormat="1" applyFont="1" applyFill="1" applyBorder="1" applyAlignment="1">
      <alignment horizontal="center" vertical="center" wrapText="1"/>
    </xf>
    <xf numFmtId="165" fontId="31" fillId="0" borderId="36" xfId="1" applyNumberFormat="1" applyFont="1" applyFill="1" applyBorder="1" applyAlignment="1">
      <alignment horizontal="center" vertical="center" wrapText="1"/>
    </xf>
    <xf numFmtId="1" fontId="31" fillId="0" borderId="37" xfId="1" applyNumberFormat="1" applyFont="1" applyFill="1" applyBorder="1" applyAlignment="1">
      <alignment horizontal="center" vertical="center" wrapText="1"/>
    </xf>
    <xf numFmtId="2" fontId="31" fillId="0" borderId="34" xfId="1" applyNumberFormat="1" applyFont="1" applyFill="1" applyBorder="1" applyAlignment="1">
      <alignment horizontal="center" vertical="center" wrapText="1"/>
    </xf>
    <xf numFmtId="1" fontId="31" fillId="0" borderId="34" xfId="1" applyNumberFormat="1" applyFont="1" applyFill="1" applyBorder="1" applyAlignment="1">
      <alignment horizontal="center" vertical="center" wrapText="1"/>
    </xf>
    <xf numFmtId="164" fontId="36" fillId="0" borderId="37" xfId="1" applyNumberFormat="1" applyFont="1" applyFill="1" applyBorder="1" applyAlignment="1">
      <alignment horizontal="center" vertical="center" wrapText="1"/>
    </xf>
    <xf numFmtId="2" fontId="31" fillId="0" borderId="36" xfId="1" applyNumberFormat="1" applyFont="1" applyFill="1" applyBorder="1" applyAlignment="1">
      <alignment horizontal="center" vertical="center" wrapText="1"/>
    </xf>
    <xf numFmtId="0" fontId="35" fillId="0" borderId="38" xfId="1" applyFont="1" applyFill="1" applyBorder="1" applyAlignment="1">
      <alignment vertical="center" wrapText="1"/>
    </xf>
    <xf numFmtId="0" fontId="35" fillId="0" borderId="38" xfId="1" applyFont="1" applyFill="1" applyBorder="1" applyAlignment="1">
      <alignment horizontal="center" vertical="center" wrapText="1"/>
    </xf>
    <xf numFmtId="1" fontId="31" fillId="0" borderId="33" xfId="1" applyNumberFormat="1" applyFont="1" applyFill="1" applyBorder="1" applyAlignment="1">
      <alignment horizontal="center" vertical="center" wrapText="1"/>
    </xf>
    <xf numFmtId="1" fontId="31" fillId="0" borderId="13" xfId="1" applyNumberFormat="1" applyFont="1" applyFill="1" applyBorder="1" applyAlignment="1">
      <alignment horizontal="center" vertical="center" wrapText="1"/>
    </xf>
    <xf numFmtId="164" fontId="31" fillId="0" borderId="13" xfId="1" applyNumberFormat="1" applyFont="1" applyFill="1" applyBorder="1" applyAlignment="1">
      <alignment horizontal="center" vertical="center" wrapText="1"/>
    </xf>
    <xf numFmtId="2" fontId="31" fillId="0" borderId="39" xfId="1" applyNumberFormat="1" applyFont="1" applyFill="1" applyBorder="1" applyAlignment="1">
      <alignment horizontal="center" vertical="center" wrapText="1"/>
    </xf>
    <xf numFmtId="164" fontId="36" fillId="0" borderId="33" xfId="1" applyNumberFormat="1" applyFont="1" applyFill="1" applyBorder="1" applyAlignment="1">
      <alignment horizontal="center" vertical="center" wrapText="1"/>
    </xf>
    <xf numFmtId="2" fontId="36" fillId="0" borderId="33" xfId="1" applyNumberFormat="1" applyFont="1" applyFill="1" applyBorder="1" applyAlignment="1">
      <alignment horizontal="center" vertical="center" wrapText="1"/>
    </xf>
    <xf numFmtId="0" fontId="35" fillId="0" borderId="13" xfId="1" applyFont="1" applyFill="1" applyBorder="1" applyAlignment="1">
      <alignment horizontal="center" vertical="center" wrapText="1"/>
    </xf>
    <xf numFmtId="0" fontId="35" fillId="0" borderId="39" xfId="1" applyFont="1" applyFill="1" applyBorder="1" applyAlignment="1">
      <alignment horizontal="center" vertical="center" wrapText="1"/>
    </xf>
    <xf numFmtId="165" fontId="31" fillId="0" borderId="33" xfId="1" applyNumberFormat="1" applyFont="1" applyFill="1" applyBorder="1" applyAlignment="1">
      <alignment horizontal="center" vertical="center" wrapText="1"/>
    </xf>
    <xf numFmtId="165" fontId="31" fillId="0" borderId="13" xfId="1" applyNumberFormat="1" applyFont="1" applyFill="1" applyBorder="1" applyAlignment="1">
      <alignment horizontal="center" vertical="center" wrapText="1"/>
    </xf>
    <xf numFmtId="1" fontId="31" fillId="0" borderId="39" xfId="1" applyNumberFormat="1" applyFont="1" applyFill="1" applyBorder="1" applyAlignment="1">
      <alignment horizontal="center" vertical="center" wrapText="1"/>
    </xf>
    <xf numFmtId="2" fontId="31" fillId="0" borderId="38" xfId="1" applyNumberFormat="1" applyFont="1" applyFill="1" applyBorder="1" applyAlignment="1">
      <alignment horizontal="center" vertical="center" wrapText="1"/>
    </xf>
    <xf numFmtId="1" fontId="31" fillId="0" borderId="38" xfId="1" applyNumberFormat="1" applyFont="1" applyFill="1" applyBorder="1" applyAlignment="1">
      <alignment horizontal="center" vertical="center" wrapText="1"/>
    </xf>
    <xf numFmtId="164" fontId="36" fillId="0" borderId="39" xfId="1" applyNumberFormat="1" applyFont="1" applyFill="1" applyBorder="1" applyAlignment="1">
      <alignment horizontal="center" vertical="center" wrapText="1"/>
    </xf>
    <xf numFmtId="2" fontId="31" fillId="0" borderId="13" xfId="1" applyNumberFormat="1" applyFont="1" applyFill="1" applyBorder="1" applyAlignment="1">
      <alignment horizontal="center" vertical="center" wrapText="1"/>
    </xf>
    <xf numFmtId="164" fontId="31" fillId="0" borderId="34" xfId="1" applyNumberFormat="1" applyFont="1" applyFill="1" applyBorder="1" applyAlignment="1">
      <alignment horizontal="center" vertical="center" wrapText="1"/>
    </xf>
    <xf numFmtId="164" fontId="31" fillId="0" borderId="35" xfId="1" applyNumberFormat="1" applyFont="1" applyFill="1" applyBorder="1" applyAlignment="1">
      <alignment horizontal="center" vertical="center" wrapText="1"/>
    </xf>
    <xf numFmtId="167" fontId="31" fillId="0" borderId="36" xfId="1" applyNumberFormat="1" applyFont="1" applyFill="1" applyBorder="1" applyAlignment="1">
      <alignment horizontal="center" vertical="center" wrapText="1"/>
    </xf>
    <xf numFmtId="167" fontId="31" fillId="0" borderId="0" xfId="1" applyNumberFormat="1" applyFont="1" applyFill="1" applyBorder="1" applyAlignment="1">
      <alignment horizontal="center" vertical="center" wrapText="1"/>
    </xf>
    <xf numFmtId="0" fontId="37" fillId="0" borderId="24" xfId="1" applyFont="1" applyFill="1" applyBorder="1" applyAlignment="1">
      <alignment horizontal="center" vertical="center" wrapText="1"/>
    </xf>
    <xf numFmtId="167" fontId="31" fillId="0" borderId="13" xfId="1" applyNumberFormat="1" applyFont="1" applyFill="1" applyBorder="1" applyAlignment="1">
      <alignment horizontal="center" vertical="center" wrapText="1"/>
    </xf>
    <xf numFmtId="168" fontId="37" fillId="0" borderId="39" xfId="1" applyNumberFormat="1" applyFont="1" applyFill="1" applyBorder="1" applyAlignment="1">
      <alignment horizontal="center" vertical="center" wrapText="1"/>
    </xf>
    <xf numFmtId="164" fontId="31" fillId="0" borderId="38" xfId="1" applyNumberFormat="1" applyFont="1" applyFill="1" applyBorder="1" applyAlignment="1">
      <alignment horizontal="center" vertical="center" wrapText="1"/>
    </xf>
    <xf numFmtId="164" fontId="31" fillId="0" borderId="33" xfId="1" applyNumberFormat="1" applyFont="1" applyFill="1" applyBorder="1" applyAlignment="1">
      <alignment horizontal="center" vertical="center" wrapText="1"/>
    </xf>
    <xf numFmtId="168" fontId="37" fillId="0" borderId="38" xfId="1" applyNumberFormat="1" applyFont="1" applyFill="1" applyBorder="1" applyAlignment="1">
      <alignment horizontal="center" vertical="center" wrapText="1"/>
    </xf>
    <xf numFmtId="166" fontId="31" fillId="0" borderId="11" xfId="1" applyNumberFormat="1" applyFont="1" applyFill="1" applyBorder="1" applyAlignment="1">
      <alignment horizontal="center" vertical="center" wrapText="1"/>
    </xf>
    <xf numFmtId="166" fontId="31" fillId="0" borderId="29" xfId="1" applyNumberFormat="1" applyFont="1" applyFill="1" applyBorder="1" applyAlignment="1">
      <alignment horizontal="center" vertical="center" wrapText="1"/>
    </xf>
    <xf numFmtId="167" fontId="31" fillId="0" borderId="18" xfId="1" applyNumberFormat="1" applyFont="1" applyFill="1" applyBorder="1" applyAlignment="1">
      <alignment horizontal="center" vertical="center" wrapText="1"/>
    </xf>
    <xf numFmtId="166" fontId="31" fillId="0" borderId="19" xfId="1" applyNumberFormat="1" applyFont="1" applyFill="1" applyBorder="1" applyAlignment="1">
      <alignment horizontal="center" vertical="center" wrapText="1"/>
    </xf>
    <xf numFmtId="167" fontId="31" fillId="0" borderId="11" xfId="1" applyNumberFormat="1" applyFont="1" applyFill="1" applyBorder="1" applyAlignment="1">
      <alignment horizontal="center" vertical="center" wrapText="1"/>
    </xf>
    <xf numFmtId="166" fontId="31" fillId="0" borderId="0" xfId="1" applyNumberFormat="1" applyFont="1" applyFill="1" applyBorder="1" applyAlignment="1">
      <alignment horizontal="center" vertical="center" wrapText="1"/>
    </xf>
    <xf numFmtId="166" fontId="31" fillId="0" borderId="12" xfId="1" applyNumberFormat="1" applyFont="1" applyFill="1" applyBorder="1" applyAlignment="1">
      <alignment horizontal="center" vertical="center" wrapText="1"/>
    </xf>
    <xf numFmtId="166" fontId="31" fillId="0" borderId="18" xfId="1" applyNumberFormat="1" applyFont="1" applyFill="1" applyBorder="1" applyAlignment="1">
      <alignment horizontal="center" vertical="center" wrapText="1"/>
    </xf>
    <xf numFmtId="1" fontId="40" fillId="0" borderId="19" xfId="1" applyNumberFormat="1" applyFont="1" applyFill="1" applyBorder="1" applyAlignment="1">
      <alignment horizontal="center" vertical="center" wrapText="1"/>
    </xf>
    <xf numFmtId="170" fontId="37" fillId="0" borderId="18" xfId="1" applyNumberFormat="1" applyFont="1" applyFill="1" applyBorder="1" applyAlignment="1">
      <alignment horizontal="center" vertical="center" wrapText="1"/>
    </xf>
    <xf numFmtId="2" fontId="40" fillId="0" borderId="18" xfId="1" applyNumberFormat="1" applyFont="1" applyFill="1" applyBorder="1" applyAlignment="1">
      <alignment horizontal="center" vertical="center" wrapText="1"/>
    </xf>
    <xf numFmtId="1" fontId="40" fillId="0" borderId="0" xfId="1" applyNumberFormat="1" applyFont="1" applyFill="1" applyBorder="1" applyAlignment="1">
      <alignment horizontal="center" vertical="center" wrapText="1"/>
    </xf>
    <xf numFmtId="170" fontId="37" fillId="0" borderId="11" xfId="1" applyNumberFormat="1" applyFont="1" applyFill="1" applyBorder="1" applyAlignment="1">
      <alignment horizontal="center" vertical="center" wrapText="1"/>
    </xf>
    <xf numFmtId="2" fontId="40" fillId="0" borderId="11" xfId="1" applyNumberFormat="1" applyFont="1" applyFill="1" applyBorder="1" applyAlignment="1">
      <alignment horizontal="center" vertical="center" wrapText="1"/>
    </xf>
    <xf numFmtId="1" fontId="40" fillId="0" borderId="12" xfId="1" applyNumberFormat="1" applyFont="1" applyFill="1" applyBorder="1" applyAlignment="1">
      <alignment horizontal="center" vertical="center" wrapText="1"/>
    </xf>
    <xf numFmtId="170" fontId="37" fillId="0" borderId="29" xfId="1" applyNumberFormat="1" applyFont="1" applyFill="1" applyBorder="1" applyAlignment="1">
      <alignment horizontal="center" vertical="center" wrapText="1"/>
    </xf>
    <xf numFmtId="2" fontId="40" fillId="0" borderId="29" xfId="1" applyNumberFormat="1" applyFont="1" applyFill="1" applyBorder="1" applyAlignment="1">
      <alignment horizontal="center" vertical="center" wrapText="1"/>
    </xf>
    <xf numFmtId="1" fontId="40" fillId="0" borderId="13" xfId="1" applyNumberFormat="1" applyFont="1" applyFill="1" applyBorder="1" applyAlignment="1">
      <alignment horizontal="center" vertical="center" wrapText="1"/>
    </xf>
    <xf numFmtId="2" fontId="31" fillId="0" borderId="33" xfId="1" applyNumberFormat="1" applyFont="1" applyFill="1" applyBorder="1" applyAlignment="1">
      <alignment horizontal="center" vertical="center" wrapText="1"/>
    </xf>
    <xf numFmtId="166" fontId="31" fillId="0" borderId="33" xfId="1" applyNumberFormat="1" applyFont="1" applyFill="1" applyBorder="1" applyAlignment="1">
      <alignment horizontal="center" vertical="center" wrapText="1"/>
    </xf>
    <xf numFmtId="166" fontId="31" fillId="0" borderId="13" xfId="1" applyNumberFormat="1" applyFont="1" applyFill="1" applyBorder="1" applyAlignment="1">
      <alignment horizontal="center" vertical="center" wrapText="1"/>
    </xf>
    <xf numFmtId="164" fontId="31" fillId="0" borderId="39" xfId="1" applyNumberFormat="1" applyFont="1" applyFill="1" applyBorder="1" applyAlignment="1">
      <alignment horizontal="center" vertical="center" wrapText="1"/>
    </xf>
    <xf numFmtId="1" fontId="2" fillId="0" borderId="0" xfId="1" applyNumberFormat="1" applyFont="1" applyFill="1" applyBorder="1" applyAlignment="1">
      <alignment horizontal="left" vertical="top"/>
    </xf>
    <xf numFmtId="2" fontId="1" fillId="0" borderId="0" xfId="0" applyNumberFormat="1" applyFont="1" applyAlignment="1">
      <alignment horizontal="center" vertical="center"/>
    </xf>
    <xf numFmtId="164" fontId="1" fillId="0" borderId="0" xfId="0" applyNumberFormat="1" applyFont="1" applyAlignment="1">
      <alignment horizontal="center" vertical="center"/>
    </xf>
    <xf numFmtId="0" fontId="42" fillId="0" borderId="0" xfId="0" applyFont="1"/>
    <xf numFmtId="0" fontId="41" fillId="0" borderId="0" xfId="0" applyFont="1"/>
    <xf numFmtId="0" fontId="1" fillId="0" borderId="0" xfId="0" applyFont="1" applyAlignment="1">
      <alignment horizontal="left" vertical="center"/>
    </xf>
    <xf numFmtId="0" fontId="27" fillId="0" borderId="0" xfId="0" applyFont="1" applyAlignment="1">
      <alignment horizontal="left" vertical="center"/>
    </xf>
    <xf numFmtId="0" fontId="26" fillId="0" borderId="0" xfId="0" applyFont="1" applyAlignment="1">
      <alignment horizontal="left" vertical="center"/>
    </xf>
    <xf numFmtId="0" fontId="43" fillId="0" borderId="0" xfId="0" applyFont="1" applyAlignment="1">
      <alignment horizontal="left" vertical="center"/>
    </xf>
    <xf numFmtId="0" fontId="44" fillId="0" borderId="0" xfId="0" applyFont="1" applyAlignment="1">
      <alignment horizontal="center" vertical="center"/>
    </xf>
    <xf numFmtId="164" fontId="44" fillId="0" borderId="0" xfId="0" applyNumberFormat="1" applyFont="1" applyAlignment="1">
      <alignment horizontal="center" vertical="center"/>
    </xf>
    <xf numFmtId="1" fontId="44" fillId="0" borderId="0" xfId="0" applyNumberFormat="1" applyFont="1" applyAlignment="1">
      <alignment horizontal="center" vertical="center"/>
    </xf>
    <xf numFmtId="1" fontId="27" fillId="0" borderId="0" xfId="0" applyNumberFormat="1" applyFont="1" applyAlignment="1">
      <alignment horizontal="center" vertical="center"/>
    </xf>
    <xf numFmtId="0" fontId="45" fillId="0" borderId="0" xfId="0" applyFont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1" fontId="45" fillId="0" borderId="0" xfId="1" applyNumberFormat="1" applyFont="1" applyFill="1" applyBorder="1" applyAlignment="1">
      <alignment horizontal="center" vertical="center" wrapText="1"/>
    </xf>
    <xf numFmtId="1" fontId="2" fillId="0" borderId="0" xfId="1" applyNumberFormat="1" applyFont="1" applyFill="1" applyBorder="1" applyAlignment="1">
      <alignment horizontal="center" vertical="center" wrapText="1"/>
    </xf>
    <xf numFmtId="164" fontId="27" fillId="0" borderId="0" xfId="0" applyNumberFormat="1" applyFont="1" applyAlignment="1">
      <alignment horizontal="center" vertical="center"/>
    </xf>
    <xf numFmtId="171" fontId="27" fillId="0" borderId="0" xfId="0" applyNumberFormat="1" applyFont="1" applyAlignment="1">
      <alignment horizontal="center" vertical="center"/>
    </xf>
    <xf numFmtId="165" fontId="1" fillId="0" borderId="0" xfId="0" applyNumberFormat="1" applyFont="1" applyAlignment="1">
      <alignment horizontal="center" vertical="center"/>
    </xf>
    <xf numFmtId="0" fontId="24" fillId="11" borderId="0" xfId="0" applyFont="1" applyFill="1"/>
    <xf numFmtId="0" fontId="25" fillId="11" borderId="0" xfId="0" applyFont="1" applyFill="1"/>
    <xf numFmtId="0" fontId="23" fillId="0" borderId="13" xfId="0" applyFont="1" applyBorder="1" applyAlignment="1">
      <alignment horizontal="center" vertical="center"/>
    </xf>
    <xf numFmtId="0" fontId="22" fillId="0" borderId="0" xfId="0" applyFont="1" applyAlignment="1">
      <alignment horizontal="center" vertical="center"/>
    </xf>
    <xf numFmtId="1" fontId="1" fillId="0" borderId="0" xfId="0" applyNumberFormat="1" applyFont="1" applyAlignment="1">
      <alignment horizontal="center" vertical="center"/>
    </xf>
    <xf numFmtId="1" fontId="45" fillId="0" borderId="0" xfId="0" applyNumberFormat="1" applyFont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27" fillId="0" borderId="13" xfId="0" applyFont="1" applyBorder="1" applyAlignment="1">
      <alignment horizontal="center" vertical="center"/>
    </xf>
    <xf numFmtId="164" fontId="1" fillId="0" borderId="13" xfId="0" applyNumberFormat="1" applyFont="1" applyBorder="1" applyAlignment="1">
      <alignment horizontal="center" vertical="center"/>
    </xf>
    <xf numFmtId="2" fontId="27" fillId="0" borderId="13" xfId="0" applyNumberFormat="1" applyFont="1" applyBorder="1" applyAlignment="1">
      <alignment horizontal="center" vertical="center"/>
    </xf>
    <xf numFmtId="1" fontId="1" fillId="0" borderId="13" xfId="0" applyNumberFormat="1" applyFont="1" applyBorder="1" applyAlignment="1">
      <alignment horizontal="center" vertical="center"/>
    </xf>
    <xf numFmtId="164" fontId="27" fillId="0" borderId="13" xfId="0" applyNumberFormat="1" applyFont="1" applyBorder="1" applyAlignment="1">
      <alignment horizontal="center" vertical="center"/>
    </xf>
    <xf numFmtId="165" fontId="1" fillId="0" borderId="13" xfId="0" applyNumberFormat="1" applyFont="1" applyBorder="1" applyAlignment="1">
      <alignment horizontal="center" vertical="center"/>
    </xf>
    <xf numFmtId="1" fontId="27" fillId="0" borderId="13" xfId="0" applyNumberFormat="1" applyFont="1" applyBorder="1" applyAlignment="1">
      <alignment horizontal="center" vertical="center"/>
    </xf>
    <xf numFmtId="2" fontId="1" fillId="0" borderId="13" xfId="0" applyNumberFormat="1" applyFont="1" applyBorder="1" applyAlignment="1">
      <alignment horizontal="center" vertical="center"/>
    </xf>
    <xf numFmtId="171" fontId="27" fillId="0" borderId="13" xfId="0" applyNumberFormat="1" applyFont="1" applyBorder="1" applyAlignment="1">
      <alignment horizontal="center" vertical="center"/>
    </xf>
    <xf numFmtId="0" fontId="28" fillId="0" borderId="13" xfId="0" applyFont="1" applyBorder="1" applyAlignment="1">
      <alignment horizontal="center" vertical="center"/>
    </xf>
    <xf numFmtId="1" fontId="44" fillId="0" borderId="13" xfId="0" applyNumberFormat="1" applyFont="1" applyBorder="1" applyAlignment="1">
      <alignment horizontal="center" vertical="center"/>
    </xf>
    <xf numFmtId="0" fontId="45" fillId="0" borderId="13" xfId="0" applyFont="1" applyBorder="1" applyAlignment="1">
      <alignment horizontal="center" vertical="center"/>
    </xf>
    <xf numFmtId="1" fontId="45" fillId="0" borderId="13" xfId="1" applyNumberFormat="1" applyFont="1" applyFill="1" applyBorder="1" applyAlignment="1">
      <alignment horizontal="center" vertical="center" wrapText="1"/>
    </xf>
    <xf numFmtId="164" fontId="44" fillId="0" borderId="13" xfId="0" applyNumberFormat="1" applyFont="1" applyBorder="1" applyAlignment="1">
      <alignment horizontal="center" vertical="center"/>
    </xf>
    <xf numFmtId="0" fontId="2" fillId="0" borderId="13" xfId="0" applyFont="1" applyFill="1" applyBorder="1" applyAlignment="1">
      <alignment horizontal="center" vertical="center"/>
    </xf>
    <xf numFmtId="2" fontId="0" fillId="0" borderId="0" xfId="0" applyNumberFormat="1" applyAlignment="1">
      <alignment horizontal="center"/>
    </xf>
    <xf numFmtId="164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/>
    </xf>
    <xf numFmtId="0" fontId="0" fillId="12" borderId="13" xfId="0" applyFill="1" applyBorder="1" applyAlignment="1">
      <alignment horizontal="center"/>
    </xf>
    <xf numFmtId="3" fontId="1" fillId="0" borderId="0" xfId="0" applyNumberFormat="1" applyFont="1" applyAlignment="1">
      <alignment horizontal="center" vertical="center"/>
    </xf>
    <xf numFmtId="164" fontId="45" fillId="0" borderId="0" xfId="0" applyNumberFormat="1" applyFont="1" applyAlignment="1">
      <alignment horizontal="center" vertical="center"/>
    </xf>
    <xf numFmtId="164" fontId="45" fillId="0" borderId="13" xfId="0" applyNumberFormat="1" applyFont="1" applyBorder="1" applyAlignment="1">
      <alignment horizontal="center" vertical="center"/>
    </xf>
    <xf numFmtId="0" fontId="50" fillId="0" borderId="0" xfId="0" applyFont="1" applyAlignment="1">
      <alignment horizontal="left" vertical="center"/>
    </xf>
    <xf numFmtId="167" fontId="27" fillId="0" borderId="0" xfId="0" applyNumberFormat="1" applyFont="1" applyAlignment="1">
      <alignment horizontal="center" vertical="center"/>
    </xf>
    <xf numFmtId="3" fontId="1" fillId="0" borderId="13" xfId="0" applyNumberFormat="1" applyFont="1" applyBorder="1" applyAlignment="1">
      <alignment horizontal="center" vertical="center"/>
    </xf>
    <xf numFmtId="167" fontId="27" fillId="0" borderId="13" xfId="0" applyNumberFormat="1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5" fillId="0" borderId="0" xfId="0" applyFont="1" applyBorder="1" applyAlignment="1">
      <alignment horizontal="left" vertical="center"/>
    </xf>
    <xf numFmtId="0" fontId="23" fillId="0" borderId="40" xfId="0" applyFont="1" applyBorder="1" applyAlignment="1">
      <alignment horizontal="center"/>
    </xf>
    <xf numFmtId="0" fontId="1" fillId="0" borderId="40" xfId="0" applyFont="1" applyBorder="1" applyAlignment="1">
      <alignment horizontal="center"/>
    </xf>
    <xf numFmtId="3" fontId="1" fillId="0" borderId="40" xfId="0" applyNumberFormat="1" applyFont="1" applyBorder="1" applyAlignment="1">
      <alignment horizontal="center" vertical="center"/>
    </xf>
    <xf numFmtId="0" fontId="1" fillId="0" borderId="40" xfId="0" quotePrefix="1" applyNumberFormat="1" applyFont="1" applyBorder="1" applyAlignment="1">
      <alignment horizontal="center"/>
    </xf>
    <xf numFmtId="0" fontId="27" fillId="0" borderId="0" xfId="0" applyFont="1" applyBorder="1" applyAlignment="1">
      <alignment horizontal="center" vertical="center"/>
    </xf>
    <xf numFmtId="0" fontId="23" fillId="13" borderId="10" xfId="0" applyFont="1" applyFill="1" applyBorder="1" applyAlignment="1">
      <alignment horizontal="center" vertical="center" wrapText="1"/>
    </xf>
    <xf numFmtId="0" fontId="1" fillId="13" borderId="10" xfId="0" applyFont="1" applyFill="1" applyBorder="1" applyAlignment="1">
      <alignment horizontal="center" vertical="center" wrapText="1"/>
    </xf>
    <xf numFmtId="0" fontId="1" fillId="13" borderId="10" xfId="0" applyFont="1" applyFill="1" applyBorder="1" applyAlignment="1">
      <alignment horizontal="center"/>
    </xf>
    <xf numFmtId="0" fontId="1" fillId="13" borderId="0" xfId="0" applyFont="1" applyFill="1" applyBorder="1" applyAlignment="1">
      <alignment vertical="center" wrapText="1"/>
    </xf>
    <xf numFmtId="0" fontId="1" fillId="13" borderId="0" xfId="0" applyFont="1" applyFill="1" applyAlignment="1">
      <alignment horizontal="center"/>
    </xf>
    <xf numFmtId="0" fontId="1" fillId="13" borderId="0" xfId="0" applyFont="1" applyFill="1"/>
    <xf numFmtId="2" fontId="27" fillId="0" borderId="0" xfId="0" applyNumberFormat="1" applyFont="1" applyBorder="1" applyAlignment="1">
      <alignment horizontal="center" vertical="center"/>
    </xf>
    <xf numFmtId="1" fontId="22" fillId="0" borderId="0" xfId="0" applyNumberFormat="1" applyFont="1" applyAlignment="1">
      <alignment horizontal="center" vertical="center"/>
    </xf>
    <xf numFmtId="1" fontId="22" fillId="0" borderId="13" xfId="0" applyNumberFormat="1" applyFont="1" applyBorder="1" applyAlignment="1">
      <alignment horizontal="center" vertical="center"/>
    </xf>
    <xf numFmtId="0" fontId="50" fillId="0" borderId="0" xfId="0" applyFont="1" applyAlignment="1">
      <alignment horizontal="center" vertical="center"/>
    </xf>
    <xf numFmtId="0" fontId="50" fillId="0" borderId="13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26" fillId="0" borderId="13" xfId="0" applyFont="1" applyBorder="1" applyAlignment="1">
      <alignment horizontal="center" vertical="center"/>
    </xf>
    <xf numFmtId="0" fontId="25" fillId="11" borderId="0" xfId="0" applyFont="1" applyFill="1" applyAlignment="1">
      <alignment wrapText="1"/>
    </xf>
    <xf numFmtId="0" fontId="43" fillId="0" borderId="0" xfId="0" applyFont="1" applyAlignment="1">
      <alignment horizontal="center" vertical="center"/>
    </xf>
    <xf numFmtId="0" fontId="43" fillId="0" borderId="13" xfId="0" applyFont="1" applyBorder="1" applyAlignment="1">
      <alignment horizontal="center" vertical="center"/>
    </xf>
    <xf numFmtId="0" fontId="43" fillId="0" borderId="0" xfId="0" applyFont="1" applyBorder="1" applyAlignment="1">
      <alignment horizontal="center" vertical="center"/>
    </xf>
    <xf numFmtId="1" fontId="1" fillId="0" borderId="0" xfId="0" applyNumberFormat="1" applyFont="1" applyBorder="1" applyAlignment="1">
      <alignment horizontal="center" vertical="center"/>
    </xf>
    <xf numFmtId="1" fontId="27" fillId="0" borderId="0" xfId="0" applyNumberFormat="1" applyFont="1" applyBorder="1" applyAlignment="1">
      <alignment horizontal="center" vertical="center"/>
    </xf>
    <xf numFmtId="1" fontId="26" fillId="0" borderId="0" xfId="0" applyNumberFormat="1" applyFont="1" applyAlignment="1">
      <alignment horizontal="center" vertical="center"/>
    </xf>
    <xf numFmtId="164" fontId="22" fillId="0" borderId="0" xfId="0" applyNumberFormat="1" applyFont="1" applyAlignment="1">
      <alignment horizontal="center" vertical="center"/>
    </xf>
    <xf numFmtId="1" fontId="26" fillId="0" borderId="13" xfId="0" applyNumberFormat="1" applyFont="1" applyBorder="1" applyAlignment="1">
      <alignment horizontal="center" vertical="center"/>
    </xf>
    <xf numFmtId="164" fontId="22" fillId="0" borderId="13" xfId="0" applyNumberFormat="1" applyFont="1" applyBorder="1" applyAlignment="1">
      <alignment horizontal="center" vertical="center"/>
    </xf>
    <xf numFmtId="2" fontId="22" fillId="0" borderId="0" xfId="0" applyNumberFormat="1" applyFont="1" applyAlignment="1">
      <alignment horizontal="center" vertical="center"/>
    </xf>
    <xf numFmtId="2" fontId="22" fillId="0" borderId="13" xfId="0" applyNumberFormat="1" applyFont="1" applyBorder="1" applyAlignment="1">
      <alignment horizontal="center" vertical="center"/>
    </xf>
    <xf numFmtId="164" fontId="43" fillId="0" borderId="0" xfId="0" applyNumberFormat="1" applyFont="1" applyAlignment="1">
      <alignment horizontal="center" vertical="center"/>
    </xf>
    <xf numFmtId="164" fontId="43" fillId="0" borderId="13" xfId="0" applyNumberFormat="1" applyFont="1" applyBorder="1" applyAlignment="1">
      <alignment horizontal="center" vertical="center"/>
    </xf>
    <xf numFmtId="0" fontId="25" fillId="11" borderId="11" xfId="0" applyFont="1" applyFill="1" applyBorder="1" applyAlignment="1">
      <alignment horizontal="left" vertical="center"/>
    </xf>
    <xf numFmtId="0" fontId="1" fillId="0" borderId="11" xfId="0" applyFont="1" applyBorder="1" applyAlignment="1">
      <alignment horizontal="center" vertical="center"/>
    </xf>
    <xf numFmtId="0" fontId="2" fillId="0" borderId="33" xfId="0" applyFont="1" applyFill="1" applyBorder="1" applyAlignment="1">
      <alignment horizontal="center" vertical="center"/>
    </xf>
    <xf numFmtId="0" fontId="1" fillId="0" borderId="33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center" vertical="center"/>
    </xf>
    <xf numFmtId="0" fontId="26" fillId="10" borderId="10" xfId="0" applyFont="1" applyFill="1" applyBorder="1" applyAlignment="1">
      <alignment horizontal="center" vertical="center" wrapText="1"/>
    </xf>
    <xf numFmtId="164" fontId="27" fillId="0" borderId="0" xfId="0" applyNumberFormat="1" applyFont="1" applyBorder="1" applyAlignment="1">
      <alignment horizontal="center" vertical="center"/>
    </xf>
    <xf numFmtId="0" fontId="1" fillId="7" borderId="0" xfId="0" applyFont="1" applyFill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2" fontId="27" fillId="0" borderId="39" xfId="0" applyNumberFormat="1" applyFont="1" applyBorder="1" applyAlignment="1">
      <alignment horizontal="center" vertical="center"/>
    </xf>
    <xf numFmtId="0" fontId="1" fillId="15" borderId="0" xfId="0" applyFont="1" applyFill="1" applyAlignment="1">
      <alignment horizontal="center" vertical="center"/>
    </xf>
    <xf numFmtId="0" fontId="1" fillId="0" borderId="36" xfId="0" applyFont="1" applyBorder="1" applyAlignment="1">
      <alignment vertical="center"/>
    </xf>
    <xf numFmtId="0" fontId="1" fillId="0" borderId="0" xfId="0" applyFont="1" applyBorder="1" applyAlignment="1">
      <alignment vertical="center"/>
    </xf>
    <xf numFmtId="0" fontId="1" fillId="0" borderId="13" xfId="0" applyFont="1" applyBorder="1" applyAlignment="1">
      <alignment vertical="center"/>
    </xf>
    <xf numFmtId="0" fontId="1" fillId="15" borderId="13" xfId="0" applyFont="1" applyFill="1" applyBorder="1" applyAlignment="1">
      <alignment horizontal="center" vertical="center"/>
    </xf>
    <xf numFmtId="164" fontId="1" fillId="16" borderId="0" xfId="0" applyNumberFormat="1" applyFont="1" applyFill="1" applyAlignment="1">
      <alignment horizontal="center" vertical="center"/>
    </xf>
    <xf numFmtId="164" fontId="1" fillId="16" borderId="13" xfId="0" applyNumberFormat="1" applyFont="1" applyFill="1" applyBorder="1" applyAlignment="1">
      <alignment horizontal="center" vertical="center"/>
    </xf>
    <xf numFmtId="0" fontId="28" fillId="16" borderId="0" xfId="0" applyFont="1" applyFill="1" applyAlignment="1">
      <alignment horizontal="center" vertical="center"/>
    </xf>
    <xf numFmtId="0" fontId="28" fillId="16" borderId="13" xfId="0" applyFont="1" applyFill="1" applyBorder="1" applyAlignment="1">
      <alignment horizontal="center" vertical="center"/>
    </xf>
    <xf numFmtId="1" fontId="22" fillId="0" borderId="0" xfId="0" applyNumberFormat="1" applyFont="1" applyBorder="1" applyAlignment="1">
      <alignment horizontal="center" vertical="center"/>
    </xf>
    <xf numFmtId="0" fontId="26" fillId="16" borderId="0" xfId="0" applyFont="1" applyFill="1" applyAlignment="1">
      <alignment horizontal="center" vertical="center"/>
    </xf>
    <xf numFmtId="0" fontId="26" fillId="16" borderId="13" xfId="0" applyFont="1" applyFill="1" applyBorder="1" applyAlignment="1">
      <alignment horizontal="center" vertical="center"/>
    </xf>
    <xf numFmtId="0" fontId="1" fillId="16" borderId="0" xfId="0" applyFont="1" applyFill="1" applyAlignment="1">
      <alignment horizontal="center" vertical="center"/>
    </xf>
    <xf numFmtId="0" fontId="1" fillId="16" borderId="13" xfId="0" applyFont="1" applyFill="1" applyBorder="1" applyAlignment="1">
      <alignment horizontal="center" vertical="center"/>
    </xf>
    <xf numFmtId="0" fontId="22" fillId="17" borderId="10" xfId="0" applyFont="1" applyFill="1" applyBorder="1" applyAlignment="1">
      <alignment horizontal="center" vertical="center" wrapText="1"/>
    </xf>
    <xf numFmtId="0" fontId="1" fillId="17" borderId="10" xfId="0" applyFont="1" applyFill="1" applyBorder="1" applyAlignment="1">
      <alignment horizontal="center"/>
    </xf>
    <xf numFmtId="0" fontId="1" fillId="18" borderId="0" xfId="0" applyFont="1" applyFill="1" applyAlignment="1">
      <alignment horizontal="center" vertical="center"/>
    </xf>
    <xf numFmtId="0" fontId="4" fillId="18" borderId="13" xfId="0" applyFont="1" applyFill="1" applyBorder="1" applyAlignment="1">
      <alignment horizontal="center" vertical="center" wrapText="1"/>
    </xf>
    <xf numFmtId="0" fontId="28" fillId="19" borderId="0" xfId="0" applyFont="1" applyFill="1" applyAlignment="1">
      <alignment horizontal="center" vertical="center"/>
    </xf>
    <xf numFmtId="0" fontId="28" fillId="19" borderId="13" xfId="0" applyFont="1" applyFill="1" applyBorder="1" applyAlignment="1">
      <alignment horizontal="center" vertical="center"/>
    </xf>
    <xf numFmtId="0" fontId="22" fillId="18" borderId="0" xfId="0" applyFont="1" applyFill="1" applyAlignment="1">
      <alignment horizontal="center" vertical="center"/>
    </xf>
    <xf numFmtId="0" fontId="22" fillId="18" borderId="13" xfId="0" applyFont="1" applyFill="1" applyBorder="1" applyAlignment="1">
      <alignment horizontal="center" vertical="center"/>
    </xf>
    <xf numFmtId="0" fontId="1" fillId="18" borderId="13" xfId="0" applyFont="1" applyFill="1" applyBorder="1" applyAlignment="1">
      <alignment horizontal="center" vertical="center"/>
    </xf>
    <xf numFmtId="164" fontId="1" fillId="19" borderId="0" xfId="0" applyNumberFormat="1" applyFont="1" applyFill="1" applyAlignment="1">
      <alignment horizontal="center" vertical="center"/>
    </xf>
    <xf numFmtId="164" fontId="1" fillId="19" borderId="13" xfId="0" applyNumberFormat="1" applyFont="1" applyFill="1" applyBorder="1" applyAlignment="1">
      <alignment horizontal="center" vertical="center"/>
    </xf>
    <xf numFmtId="1" fontId="1" fillId="18" borderId="0" xfId="0" applyNumberFormat="1" applyFont="1" applyFill="1" applyAlignment="1">
      <alignment horizontal="center" vertical="center"/>
    </xf>
    <xf numFmtId="1" fontId="1" fillId="18" borderId="13" xfId="0" applyNumberFormat="1" applyFont="1" applyFill="1" applyBorder="1" applyAlignment="1">
      <alignment horizontal="center" vertical="center"/>
    </xf>
    <xf numFmtId="0" fontId="1" fillId="20" borderId="0" xfId="0" applyFont="1" applyFill="1" applyAlignment="1">
      <alignment horizontal="center" vertical="center"/>
    </xf>
    <xf numFmtId="0" fontId="1" fillId="20" borderId="13" xfId="0" applyFont="1" applyFill="1" applyBorder="1" applyAlignment="1">
      <alignment horizontal="center" vertical="center"/>
    </xf>
    <xf numFmtId="0" fontId="26" fillId="19" borderId="0" xfId="0" applyFont="1" applyFill="1" applyAlignment="1">
      <alignment horizontal="center" vertical="center"/>
    </xf>
    <xf numFmtId="0" fontId="26" fillId="19" borderId="13" xfId="0" applyFont="1" applyFill="1" applyBorder="1" applyAlignment="1">
      <alignment horizontal="center" vertical="center"/>
    </xf>
    <xf numFmtId="0" fontId="1" fillId="19" borderId="0" xfId="0" applyFont="1" applyFill="1" applyAlignment="1">
      <alignment horizontal="center" vertical="center"/>
    </xf>
    <xf numFmtId="0" fontId="1" fillId="19" borderId="13" xfId="0" applyFont="1" applyFill="1" applyBorder="1" applyAlignment="1">
      <alignment horizontal="center" vertical="center"/>
    </xf>
    <xf numFmtId="164" fontId="1" fillId="18" borderId="0" xfId="0" applyNumberFormat="1" applyFont="1" applyFill="1" applyAlignment="1">
      <alignment horizontal="center" vertical="center"/>
    </xf>
    <xf numFmtId="164" fontId="1" fillId="18" borderId="13" xfId="0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 wrapText="1"/>
    </xf>
    <xf numFmtId="0" fontId="1" fillId="0" borderId="40" xfId="0" applyFont="1" applyBorder="1" applyAlignment="1">
      <alignment horizontal="center" vertical="center"/>
    </xf>
    <xf numFmtId="0" fontId="1" fillId="13" borderId="10" xfId="0" applyFont="1" applyFill="1" applyBorder="1" applyAlignment="1">
      <alignment horizontal="center" vertical="center" wrapText="1"/>
    </xf>
    <xf numFmtId="0" fontId="1" fillId="0" borderId="40" xfId="0" applyFont="1" applyBorder="1" applyAlignment="1">
      <alignment horizontal="center"/>
    </xf>
    <xf numFmtId="0" fontId="1" fillId="0" borderId="15" xfId="0" applyFont="1" applyBorder="1" applyAlignment="1">
      <alignment horizontal="center"/>
    </xf>
    <xf numFmtId="0" fontId="1" fillId="0" borderId="41" xfId="0" applyFont="1" applyBorder="1" applyAlignment="1">
      <alignment horizontal="center"/>
    </xf>
    <xf numFmtId="0" fontId="1" fillId="14" borderId="11" xfId="0" applyFont="1" applyFill="1" applyBorder="1" applyAlignment="1">
      <alignment horizontal="center" vertical="center"/>
    </xf>
    <xf numFmtId="0" fontId="1" fillId="14" borderId="0" xfId="0" applyFont="1" applyFill="1" applyBorder="1" applyAlignment="1">
      <alignment horizontal="center" vertical="center"/>
    </xf>
    <xf numFmtId="0" fontId="1" fillId="10" borderId="0" xfId="0" applyFont="1" applyFill="1" applyAlignment="1">
      <alignment horizontal="center" vertical="center"/>
    </xf>
    <xf numFmtId="0" fontId="1" fillId="5" borderId="0" xfId="0" applyFont="1" applyFill="1" applyAlignment="1">
      <alignment horizontal="center" vertical="center"/>
    </xf>
    <xf numFmtId="0" fontId="1" fillId="4" borderId="0" xfId="0" applyFont="1" applyFill="1" applyAlignment="1">
      <alignment horizontal="center" vertical="center"/>
    </xf>
    <xf numFmtId="0" fontId="1" fillId="6" borderId="0" xfId="0" applyFont="1" applyFill="1" applyAlignment="1">
      <alignment horizontal="center" vertical="center"/>
    </xf>
    <xf numFmtId="0" fontId="1" fillId="9" borderId="0" xfId="0" applyFont="1" applyFill="1" applyAlignment="1">
      <alignment horizontal="center" vertical="center"/>
    </xf>
    <xf numFmtId="0" fontId="1" fillId="7" borderId="0" xfId="0" applyFont="1" applyFill="1" applyAlignment="1">
      <alignment horizontal="center" vertical="center"/>
    </xf>
    <xf numFmtId="0" fontId="1" fillId="8" borderId="0" xfId="0" applyFont="1" applyFill="1" applyAlignment="1">
      <alignment horizontal="center" vertical="center"/>
    </xf>
  </cellXfs>
  <cellStyles count="2">
    <cellStyle name="Normal" xfId="0" builtinId="0"/>
    <cellStyle name="Normal 2" xfId="1" xr:uid="{00000000-0005-0000-0000-000001000000}"/>
  </cellStyles>
  <dxfs count="85"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29.png"/><Relationship Id="rId26" Type="http://schemas.openxmlformats.org/officeDocument/2006/relationships/image" Target="../media/image37.png"/><Relationship Id="rId3" Type="http://schemas.openxmlformats.org/officeDocument/2006/relationships/image" Target="../media/image14.png"/><Relationship Id="rId21" Type="http://schemas.openxmlformats.org/officeDocument/2006/relationships/image" Target="../media/image32.png"/><Relationship Id="rId7" Type="http://schemas.openxmlformats.org/officeDocument/2006/relationships/image" Target="../media/image18.png"/><Relationship Id="rId12" Type="http://schemas.openxmlformats.org/officeDocument/2006/relationships/image" Target="../media/image23.png"/><Relationship Id="rId17" Type="http://schemas.openxmlformats.org/officeDocument/2006/relationships/image" Target="../media/image28.png"/><Relationship Id="rId25" Type="http://schemas.openxmlformats.org/officeDocument/2006/relationships/image" Target="../media/image36.png"/><Relationship Id="rId2" Type="http://schemas.openxmlformats.org/officeDocument/2006/relationships/image" Target="../media/image13.png"/><Relationship Id="rId16" Type="http://schemas.openxmlformats.org/officeDocument/2006/relationships/image" Target="../media/image27.png"/><Relationship Id="rId20" Type="http://schemas.openxmlformats.org/officeDocument/2006/relationships/image" Target="../media/image31.png"/><Relationship Id="rId29" Type="http://schemas.openxmlformats.org/officeDocument/2006/relationships/image" Target="../media/image40.png"/><Relationship Id="rId1" Type="http://schemas.openxmlformats.org/officeDocument/2006/relationships/image" Target="../media/image12.png"/><Relationship Id="rId6" Type="http://schemas.openxmlformats.org/officeDocument/2006/relationships/image" Target="../media/image17.png"/><Relationship Id="rId11" Type="http://schemas.openxmlformats.org/officeDocument/2006/relationships/image" Target="../media/image22.png"/><Relationship Id="rId24" Type="http://schemas.openxmlformats.org/officeDocument/2006/relationships/image" Target="../media/image35.png"/><Relationship Id="rId32" Type="http://schemas.openxmlformats.org/officeDocument/2006/relationships/image" Target="../media/image43.png"/><Relationship Id="rId5" Type="http://schemas.openxmlformats.org/officeDocument/2006/relationships/image" Target="../media/image16.png"/><Relationship Id="rId15" Type="http://schemas.openxmlformats.org/officeDocument/2006/relationships/image" Target="../media/image26.png"/><Relationship Id="rId23" Type="http://schemas.openxmlformats.org/officeDocument/2006/relationships/image" Target="../media/image34.png"/><Relationship Id="rId28" Type="http://schemas.openxmlformats.org/officeDocument/2006/relationships/image" Target="../media/image39.png"/><Relationship Id="rId10" Type="http://schemas.openxmlformats.org/officeDocument/2006/relationships/image" Target="../media/image21.png"/><Relationship Id="rId19" Type="http://schemas.openxmlformats.org/officeDocument/2006/relationships/image" Target="../media/image30.png"/><Relationship Id="rId31" Type="http://schemas.openxmlformats.org/officeDocument/2006/relationships/image" Target="../media/image42.png"/><Relationship Id="rId4" Type="http://schemas.openxmlformats.org/officeDocument/2006/relationships/image" Target="../media/image15.png"/><Relationship Id="rId9" Type="http://schemas.openxmlformats.org/officeDocument/2006/relationships/image" Target="../media/image20.png"/><Relationship Id="rId14" Type="http://schemas.openxmlformats.org/officeDocument/2006/relationships/image" Target="../media/image25.png"/><Relationship Id="rId22" Type="http://schemas.openxmlformats.org/officeDocument/2006/relationships/image" Target="../media/image33.png"/><Relationship Id="rId27" Type="http://schemas.openxmlformats.org/officeDocument/2006/relationships/image" Target="../media/image38.png"/><Relationship Id="rId30" Type="http://schemas.openxmlformats.org/officeDocument/2006/relationships/image" Target="../media/image41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5" Type="http://schemas.openxmlformats.org/officeDocument/2006/relationships/image" Target="../media/image48.png"/><Relationship Id="rId4" Type="http://schemas.openxmlformats.org/officeDocument/2006/relationships/image" Target="../media/image4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Relationship Id="rId6" Type="http://schemas.openxmlformats.org/officeDocument/2006/relationships/image" Target="../media/image54.png"/><Relationship Id="rId5" Type="http://schemas.openxmlformats.org/officeDocument/2006/relationships/image" Target="../media/image53.png"/><Relationship Id="rId4" Type="http://schemas.openxmlformats.org/officeDocument/2006/relationships/image" Target="../media/image52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png"/><Relationship Id="rId3" Type="http://schemas.openxmlformats.org/officeDocument/2006/relationships/image" Target="../media/image57.png"/><Relationship Id="rId7" Type="http://schemas.openxmlformats.org/officeDocument/2006/relationships/image" Target="../media/image61.png"/><Relationship Id="rId12" Type="http://schemas.openxmlformats.org/officeDocument/2006/relationships/image" Target="../media/image66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Relationship Id="rId6" Type="http://schemas.openxmlformats.org/officeDocument/2006/relationships/image" Target="../media/image60.png"/><Relationship Id="rId11" Type="http://schemas.openxmlformats.org/officeDocument/2006/relationships/image" Target="../media/image65.png"/><Relationship Id="rId5" Type="http://schemas.openxmlformats.org/officeDocument/2006/relationships/image" Target="../media/image59.png"/><Relationship Id="rId10" Type="http://schemas.openxmlformats.org/officeDocument/2006/relationships/image" Target="../media/image64.png"/><Relationship Id="rId4" Type="http://schemas.openxmlformats.org/officeDocument/2006/relationships/image" Target="../media/image58.png"/><Relationship Id="rId9" Type="http://schemas.openxmlformats.org/officeDocument/2006/relationships/image" Target="../media/image63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png"/><Relationship Id="rId3" Type="http://schemas.openxmlformats.org/officeDocument/2006/relationships/image" Target="../media/image69.png"/><Relationship Id="rId7" Type="http://schemas.openxmlformats.org/officeDocument/2006/relationships/image" Target="../media/image73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72.png"/><Relationship Id="rId5" Type="http://schemas.openxmlformats.org/officeDocument/2006/relationships/image" Target="../media/image71.png"/><Relationship Id="rId10" Type="http://schemas.openxmlformats.org/officeDocument/2006/relationships/image" Target="../media/image76.png"/><Relationship Id="rId4" Type="http://schemas.openxmlformats.org/officeDocument/2006/relationships/image" Target="../media/image70.png"/><Relationship Id="rId9" Type="http://schemas.openxmlformats.org/officeDocument/2006/relationships/image" Target="../media/image75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3" Type="http://schemas.openxmlformats.org/officeDocument/2006/relationships/image" Target="../media/image79.png"/><Relationship Id="rId7" Type="http://schemas.openxmlformats.org/officeDocument/2006/relationships/image" Target="../media/image83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6" Type="http://schemas.openxmlformats.org/officeDocument/2006/relationships/image" Target="../media/image82.png"/><Relationship Id="rId5" Type="http://schemas.openxmlformats.org/officeDocument/2006/relationships/image" Target="../media/image81.png"/><Relationship Id="rId4" Type="http://schemas.openxmlformats.org/officeDocument/2006/relationships/image" Target="../media/image80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7" Type="http://schemas.openxmlformats.org/officeDocument/2006/relationships/image" Target="../media/image91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6" Type="http://schemas.openxmlformats.org/officeDocument/2006/relationships/image" Target="../media/image90.png"/><Relationship Id="rId5" Type="http://schemas.openxmlformats.org/officeDocument/2006/relationships/image" Target="../media/image89.png"/><Relationship Id="rId4" Type="http://schemas.openxmlformats.org/officeDocument/2006/relationships/image" Target="../media/image88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9.png"/><Relationship Id="rId3" Type="http://schemas.openxmlformats.org/officeDocument/2006/relationships/image" Target="../media/image94.png"/><Relationship Id="rId7" Type="http://schemas.openxmlformats.org/officeDocument/2006/relationships/image" Target="../media/image98.png"/><Relationship Id="rId12" Type="http://schemas.openxmlformats.org/officeDocument/2006/relationships/image" Target="../media/image103.png"/><Relationship Id="rId2" Type="http://schemas.openxmlformats.org/officeDocument/2006/relationships/image" Target="../media/image93.png"/><Relationship Id="rId1" Type="http://schemas.openxmlformats.org/officeDocument/2006/relationships/image" Target="../media/image92.png"/><Relationship Id="rId6" Type="http://schemas.openxmlformats.org/officeDocument/2006/relationships/image" Target="../media/image97.png"/><Relationship Id="rId11" Type="http://schemas.openxmlformats.org/officeDocument/2006/relationships/image" Target="../media/image102.png"/><Relationship Id="rId5" Type="http://schemas.openxmlformats.org/officeDocument/2006/relationships/image" Target="../media/image96.png"/><Relationship Id="rId10" Type="http://schemas.openxmlformats.org/officeDocument/2006/relationships/image" Target="../media/image101.png"/><Relationship Id="rId4" Type="http://schemas.openxmlformats.org/officeDocument/2006/relationships/image" Target="../media/image95.png"/><Relationship Id="rId9" Type="http://schemas.openxmlformats.org/officeDocument/2006/relationships/image" Target="../media/image100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.png"/><Relationship Id="rId3" Type="http://schemas.openxmlformats.org/officeDocument/2006/relationships/image" Target="../media/image106.png"/><Relationship Id="rId7" Type="http://schemas.openxmlformats.org/officeDocument/2006/relationships/image" Target="../media/image110.png"/><Relationship Id="rId12" Type="http://schemas.openxmlformats.org/officeDocument/2006/relationships/image" Target="../media/image115.png"/><Relationship Id="rId2" Type="http://schemas.openxmlformats.org/officeDocument/2006/relationships/image" Target="../media/image105.png"/><Relationship Id="rId1" Type="http://schemas.openxmlformats.org/officeDocument/2006/relationships/image" Target="../media/image104.png"/><Relationship Id="rId6" Type="http://schemas.openxmlformats.org/officeDocument/2006/relationships/image" Target="../media/image109.png"/><Relationship Id="rId11" Type="http://schemas.openxmlformats.org/officeDocument/2006/relationships/image" Target="../media/image114.png"/><Relationship Id="rId5" Type="http://schemas.openxmlformats.org/officeDocument/2006/relationships/image" Target="../media/image108.png"/><Relationship Id="rId10" Type="http://schemas.openxmlformats.org/officeDocument/2006/relationships/image" Target="../media/image113.png"/><Relationship Id="rId4" Type="http://schemas.openxmlformats.org/officeDocument/2006/relationships/image" Target="../media/image107.png"/><Relationship Id="rId9" Type="http://schemas.openxmlformats.org/officeDocument/2006/relationships/image" Target="../media/image112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3.png"/><Relationship Id="rId13" Type="http://schemas.openxmlformats.org/officeDocument/2006/relationships/image" Target="../media/image128.png"/><Relationship Id="rId3" Type="http://schemas.openxmlformats.org/officeDocument/2006/relationships/image" Target="../media/image118.png"/><Relationship Id="rId7" Type="http://schemas.openxmlformats.org/officeDocument/2006/relationships/image" Target="../media/image122.png"/><Relationship Id="rId12" Type="http://schemas.openxmlformats.org/officeDocument/2006/relationships/image" Target="../media/image127.png"/><Relationship Id="rId2" Type="http://schemas.openxmlformats.org/officeDocument/2006/relationships/image" Target="../media/image117.png"/><Relationship Id="rId1" Type="http://schemas.openxmlformats.org/officeDocument/2006/relationships/image" Target="../media/image116.png"/><Relationship Id="rId6" Type="http://schemas.openxmlformats.org/officeDocument/2006/relationships/image" Target="../media/image121.png"/><Relationship Id="rId11" Type="http://schemas.openxmlformats.org/officeDocument/2006/relationships/image" Target="../media/image126.png"/><Relationship Id="rId5" Type="http://schemas.openxmlformats.org/officeDocument/2006/relationships/image" Target="../media/image120.png"/><Relationship Id="rId10" Type="http://schemas.openxmlformats.org/officeDocument/2006/relationships/image" Target="../media/image125.png"/><Relationship Id="rId4" Type="http://schemas.openxmlformats.org/officeDocument/2006/relationships/image" Target="../media/image119.png"/><Relationship Id="rId9" Type="http://schemas.openxmlformats.org/officeDocument/2006/relationships/image" Target="../media/image124.png"/><Relationship Id="rId14" Type="http://schemas.openxmlformats.org/officeDocument/2006/relationships/image" Target="../media/image12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7.png"/><Relationship Id="rId3" Type="http://schemas.openxmlformats.org/officeDocument/2006/relationships/image" Target="../media/image132.png"/><Relationship Id="rId7" Type="http://schemas.openxmlformats.org/officeDocument/2006/relationships/image" Target="../media/image136.png"/><Relationship Id="rId2" Type="http://schemas.openxmlformats.org/officeDocument/2006/relationships/image" Target="../media/image131.png"/><Relationship Id="rId1" Type="http://schemas.openxmlformats.org/officeDocument/2006/relationships/image" Target="../media/image130.png"/><Relationship Id="rId6" Type="http://schemas.openxmlformats.org/officeDocument/2006/relationships/image" Target="../media/image135.png"/><Relationship Id="rId5" Type="http://schemas.openxmlformats.org/officeDocument/2006/relationships/image" Target="../media/image134.png"/><Relationship Id="rId10" Type="http://schemas.openxmlformats.org/officeDocument/2006/relationships/image" Target="../media/image139.png"/><Relationship Id="rId4" Type="http://schemas.openxmlformats.org/officeDocument/2006/relationships/image" Target="../media/image133.png"/><Relationship Id="rId9" Type="http://schemas.openxmlformats.org/officeDocument/2006/relationships/image" Target="../media/image138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png"/><Relationship Id="rId13" Type="http://schemas.openxmlformats.org/officeDocument/2006/relationships/image" Target="../media/image152.png"/><Relationship Id="rId18" Type="http://schemas.openxmlformats.org/officeDocument/2006/relationships/image" Target="../media/image157.png"/><Relationship Id="rId3" Type="http://schemas.openxmlformats.org/officeDocument/2006/relationships/image" Target="../media/image142.png"/><Relationship Id="rId7" Type="http://schemas.openxmlformats.org/officeDocument/2006/relationships/image" Target="../media/image146.png"/><Relationship Id="rId12" Type="http://schemas.openxmlformats.org/officeDocument/2006/relationships/image" Target="../media/image151.png"/><Relationship Id="rId17" Type="http://schemas.openxmlformats.org/officeDocument/2006/relationships/image" Target="../media/image156.png"/><Relationship Id="rId2" Type="http://schemas.openxmlformats.org/officeDocument/2006/relationships/image" Target="../media/image141.png"/><Relationship Id="rId16" Type="http://schemas.openxmlformats.org/officeDocument/2006/relationships/image" Target="../media/image155.png"/><Relationship Id="rId20" Type="http://schemas.openxmlformats.org/officeDocument/2006/relationships/image" Target="../media/image11.png"/><Relationship Id="rId1" Type="http://schemas.openxmlformats.org/officeDocument/2006/relationships/image" Target="../media/image140.png"/><Relationship Id="rId6" Type="http://schemas.openxmlformats.org/officeDocument/2006/relationships/image" Target="../media/image145.png"/><Relationship Id="rId11" Type="http://schemas.openxmlformats.org/officeDocument/2006/relationships/image" Target="../media/image150.png"/><Relationship Id="rId5" Type="http://schemas.openxmlformats.org/officeDocument/2006/relationships/image" Target="../media/image144.png"/><Relationship Id="rId15" Type="http://schemas.openxmlformats.org/officeDocument/2006/relationships/image" Target="../media/image154.png"/><Relationship Id="rId10" Type="http://schemas.openxmlformats.org/officeDocument/2006/relationships/image" Target="../media/image149.png"/><Relationship Id="rId19" Type="http://schemas.openxmlformats.org/officeDocument/2006/relationships/image" Target="../media/image158.png"/><Relationship Id="rId4" Type="http://schemas.openxmlformats.org/officeDocument/2006/relationships/image" Target="../media/image143.png"/><Relationship Id="rId9" Type="http://schemas.openxmlformats.org/officeDocument/2006/relationships/image" Target="../media/image148.png"/><Relationship Id="rId14" Type="http://schemas.openxmlformats.org/officeDocument/2006/relationships/image" Target="../media/image153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png"/><Relationship Id="rId3" Type="http://schemas.openxmlformats.org/officeDocument/2006/relationships/image" Target="../media/image161.png"/><Relationship Id="rId7" Type="http://schemas.openxmlformats.org/officeDocument/2006/relationships/image" Target="../media/image165.png"/><Relationship Id="rId12" Type="http://schemas.openxmlformats.org/officeDocument/2006/relationships/image" Target="../media/image170.png"/><Relationship Id="rId2" Type="http://schemas.openxmlformats.org/officeDocument/2006/relationships/image" Target="../media/image160.png"/><Relationship Id="rId1" Type="http://schemas.openxmlformats.org/officeDocument/2006/relationships/image" Target="../media/image159.png"/><Relationship Id="rId6" Type="http://schemas.openxmlformats.org/officeDocument/2006/relationships/image" Target="../media/image164.png"/><Relationship Id="rId11" Type="http://schemas.openxmlformats.org/officeDocument/2006/relationships/image" Target="../media/image169.png"/><Relationship Id="rId5" Type="http://schemas.openxmlformats.org/officeDocument/2006/relationships/image" Target="../media/image163.png"/><Relationship Id="rId10" Type="http://schemas.openxmlformats.org/officeDocument/2006/relationships/image" Target="../media/image168.png"/><Relationship Id="rId4" Type="http://schemas.openxmlformats.org/officeDocument/2006/relationships/image" Target="../media/image162.png"/><Relationship Id="rId9" Type="http://schemas.openxmlformats.org/officeDocument/2006/relationships/image" Target="../media/image167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8.png"/><Relationship Id="rId13" Type="http://schemas.openxmlformats.org/officeDocument/2006/relationships/image" Target="../media/image183.png"/><Relationship Id="rId3" Type="http://schemas.openxmlformats.org/officeDocument/2006/relationships/image" Target="../media/image173.png"/><Relationship Id="rId7" Type="http://schemas.openxmlformats.org/officeDocument/2006/relationships/image" Target="../media/image177.png"/><Relationship Id="rId12" Type="http://schemas.openxmlformats.org/officeDocument/2006/relationships/image" Target="../media/image182.png"/><Relationship Id="rId2" Type="http://schemas.openxmlformats.org/officeDocument/2006/relationships/image" Target="../media/image172.png"/><Relationship Id="rId1" Type="http://schemas.openxmlformats.org/officeDocument/2006/relationships/image" Target="../media/image171.png"/><Relationship Id="rId6" Type="http://schemas.openxmlformats.org/officeDocument/2006/relationships/image" Target="../media/image176.png"/><Relationship Id="rId11" Type="http://schemas.openxmlformats.org/officeDocument/2006/relationships/image" Target="../media/image181.png"/><Relationship Id="rId5" Type="http://schemas.openxmlformats.org/officeDocument/2006/relationships/image" Target="../media/image175.png"/><Relationship Id="rId10" Type="http://schemas.openxmlformats.org/officeDocument/2006/relationships/image" Target="../media/image180.png"/><Relationship Id="rId4" Type="http://schemas.openxmlformats.org/officeDocument/2006/relationships/image" Target="../media/image174.png"/><Relationship Id="rId9" Type="http://schemas.openxmlformats.org/officeDocument/2006/relationships/image" Target="../media/image179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1.png"/><Relationship Id="rId3" Type="http://schemas.openxmlformats.org/officeDocument/2006/relationships/image" Target="../media/image186.png"/><Relationship Id="rId7" Type="http://schemas.openxmlformats.org/officeDocument/2006/relationships/image" Target="../media/image190.png"/><Relationship Id="rId2" Type="http://schemas.openxmlformats.org/officeDocument/2006/relationships/image" Target="../media/image185.png"/><Relationship Id="rId1" Type="http://schemas.openxmlformats.org/officeDocument/2006/relationships/image" Target="../media/image184.png"/><Relationship Id="rId6" Type="http://schemas.openxmlformats.org/officeDocument/2006/relationships/image" Target="../media/image189.png"/><Relationship Id="rId5" Type="http://schemas.openxmlformats.org/officeDocument/2006/relationships/image" Target="../media/image188.png"/><Relationship Id="rId10" Type="http://schemas.openxmlformats.org/officeDocument/2006/relationships/image" Target="../media/image193.png"/><Relationship Id="rId4" Type="http://schemas.openxmlformats.org/officeDocument/2006/relationships/image" Target="../media/image187.png"/><Relationship Id="rId9" Type="http://schemas.openxmlformats.org/officeDocument/2006/relationships/image" Target="../media/image192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png"/><Relationship Id="rId3" Type="http://schemas.openxmlformats.org/officeDocument/2006/relationships/image" Target="../media/image196.png"/><Relationship Id="rId7" Type="http://schemas.openxmlformats.org/officeDocument/2006/relationships/image" Target="../media/image200.png"/><Relationship Id="rId12" Type="http://schemas.openxmlformats.org/officeDocument/2006/relationships/image" Target="../media/image205.png"/><Relationship Id="rId2" Type="http://schemas.openxmlformats.org/officeDocument/2006/relationships/image" Target="../media/image195.png"/><Relationship Id="rId1" Type="http://schemas.openxmlformats.org/officeDocument/2006/relationships/image" Target="../media/image194.png"/><Relationship Id="rId6" Type="http://schemas.openxmlformats.org/officeDocument/2006/relationships/image" Target="../media/image199.png"/><Relationship Id="rId11" Type="http://schemas.openxmlformats.org/officeDocument/2006/relationships/image" Target="../media/image204.png"/><Relationship Id="rId5" Type="http://schemas.openxmlformats.org/officeDocument/2006/relationships/image" Target="../media/image198.png"/><Relationship Id="rId10" Type="http://schemas.openxmlformats.org/officeDocument/2006/relationships/image" Target="../media/image203.png"/><Relationship Id="rId4" Type="http://schemas.openxmlformats.org/officeDocument/2006/relationships/image" Target="../media/image197.png"/><Relationship Id="rId9" Type="http://schemas.openxmlformats.org/officeDocument/2006/relationships/image" Target="../media/image20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291512</xdr:colOff>
      <xdr:row>150</xdr:row>
      <xdr:rowOff>136871</xdr:rowOff>
    </xdr:from>
    <xdr:to>
      <xdr:col>23</xdr:col>
      <xdr:colOff>441190</xdr:colOff>
      <xdr:row>161</xdr:row>
      <xdr:rowOff>33618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5420" t="33430" r="27794" b="19733"/>
        <a:stretch/>
      </xdr:blipFill>
      <xdr:spPr>
        <a:xfrm>
          <a:off x="6936600" y="5112283"/>
          <a:ext cx="6066384" cy="322489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26</xdr:col>
      <xdr:colOff>276409</xdr:colOff>
      <xdr:row>0</xdr:row>
      <xdr:rowOff>45758</xdr:rowOff>
    </xdr:from>
    <xdr:to>
      <xdr:col>36</xdr:col>
      <xdr:colOff>149167</xdr:colOff>
      <xdr:row>4</xdr:row>
      <xdr:rowOff>48458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44759" y="45758"/>
          <a:ext cx="6080819" cy="726600"/>
        </a:xfrm>
        <a:prstGeom prst="rect">
          <a:avLst/>
        </a:prstGeom>
      </xdr:spPr>
    </xdr:pic>
    <xdr:clientData/>
  </xdr:twoCellAnchor>
  <xdr:twoCellAnchor editAs="oneCell">
    <xdr:from>
      <xdr:col>28</xdr:col>
      <xdr:colOff>399675</xdr:colOff>
      <xdr:row>0</xdr:row>
      <xdr:rowOff>134470</xdr:rowOff>
    </xdr:from>
    <xdr:to>
      <xdr:col>37</xdr:col>
      <xdr:colOff>457763</xdr:colOff>
      <xdr:row>1</xdr:row>
      <xdr:rowOff>113716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12146" y="134470"/>
          <a:ext cx="5616204" cy="158540"/>
        </a:xfrm>
        <a:prstGeom prst="rect">
          <a:avLst/>
        </a:prstGeom>
      </xdr:spPr>
    </xdr:pic>
    <xdr:clientData/>
  </xdr:twoCellAnchor>
  <xdr:twoCellAnchor editAs="oneCell">
    <xdr:from>
      <xdr:col>28</xdr:col>
      <xdr:colOff>373528</xdr:colOff>
      <xdr:row>2</xdr:row>
      <xdr:rowOff>26147</xdr:rowOff>
    </xdr:from>
    <xdr:to>
      <xdr:col>33</xdr:col>
      <xdr:colOff>124565</xdr:colOff>
      <xdr:row>3</xdr:row>
      <xdr:rowOff>43489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985999" y="384735"/>
          <a:ext cx="2888683" cy="196636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1</xdr:row>
      <xdr:rowOff>95250</xdr:rowOff>
    </xdr:from>
    <xdr:to>
      <xdr:col>22</xdr:col>
      <xdr:colOff>112760</xdr:colOff>
      <xdr:row>2</xdr:row>
      <xdr:rowOff>123799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34650" y="276225"/>
          <a:ext cx="3371429" cy="209524"/>
        </a:xfrm>
        <a:prstGeom prst="rect">
          <a:avLst/>
        </a:prstGeom>
      </xdr:spPr>
    </xdr:pic>
    <xdr:clientData/>
  </xdr:twoCellAnchor>
  <xdr:twoCellAnchor editAs="oneCell">
    <xdr:from>
      <xdr:col>38</xdr:col>
      <xdr:colOff>390525</xdr:colOff>
      <xdr:row>2</xdr:row>
      <xdr:rowOff>19050</xdr:rowOff>
    </xdr:from>
    <xdr:to>
      <xdr:col>39</xdr:col>
      <xdr:colOff>456566</xdr:colOff>
      <xdr:row>4</xdr:row>
      <xdr:rowOff>46990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954875" y="381000"/>
          <a:ext cx="675640" cy="3898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409575</xdr:colOff>
      <xdr:row>22</xdr:row>
      <xdr:rowOff>38100</xdr:rowOff>
    </xdr:from>
    <xdr:to>
      <xdr:col>11</xdr:col>
      <xdr:colOff>589765</xdr:colOff>
      <xdr:row>36</xdr:row>
      <xdr:rowOff>133005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75" y="4229100"/>
          <a:ext cx="6276190" cy="276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76200</xdr:colOff>
      <xdr:row>22</xdr:row>
      <xdr:rowOff>57150</xdr:rowOff>
    </xdr:from>
    <xdr:to>
      <xdr:col>22</xdr:col>
      <xdr:colOff>65914</xdr:colOff>
      <xdr:row>32</xdr:row>
      <xdr:rowOff>37864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1400" y="4248150"/>
          <a:ext cx="6085714" cy="1885714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</xdr:colOff>
      <xdr:row>32</xdr:row>
      <xdr:rowOff>19050</xdr:rowOff>
    </xdr:from>
    <xdr:to>
      <xdr:col>22</xdr:col>
      <xdr:colOff>113529</xdr:colOff>
      <xdr:row>45</xdr:row>
      <xdr:rowOff>113979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53300" y="6115050"/>
          <a:ext cx="6171429" cy="2571429"/>
        </a:xfrm>
        <a:prstGeom prst="rect">
          <a:avLst/>
        </a:prstGeom>
      </xdr:spPr>
    </xdr:pic>
    <xdr:clientData/>
  </xdr:twoCellAnchor>
  <xdr:twoCellAnchor editAs="oneCell">
    <xdr:from>
      <xdr:col>23</xdr:col>
      <xdr:colOff>66675</xdr:colOff>
      <xdr:row>22</xdr:row>
      <xdr:rowOff>66675</xdr:rowOff>
    </xdr:from>
    <xdr:to>
      <xdr:col>27</xdr:col>
      <xdr:colOff>504465</xdr:colOff>
      <xdr:row>47</xdr:row>
      <xdr:rowOff>18461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087475" y="4257675"/>
          <a:ext cx="2876190" cy="4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38</xdr:row>
      <xdr:rowOff>152400</xdr:rowOff>
    </xdr:from>
    <xdr:to>
      <xdr:col>11</xdr:col>
      <xdr:colOff>367312</xdr:colOff>
      <xdr:row>46</xdr:row>
      <xdr:rowOff>97971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0125" y="7391400"/>
          <a:ext cx="6072787" cy="146957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108858</xdr:colOff>
      <xdr:row>20</xdr:row>
      <xdr:rowOff>111259</xdr:rowOff>
    </xdr:from>
    <xdr:to>
      <xdr:col>7</xdr:col>
      <xdr:colOff>222610</xdr:colOff>
      <xdr:row>40</xdr:row>
      <xdr:rowOff>15545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858" y="3921259"/>
          <a:ext cx="4349576" cy="3714286"/>
        </a:xfrm>
        <a:prstGeom prst="rect">
          <a:avLst/>
        </a:prstGeom>
      </xdr:spPr>
    </xdr:pic>
    <xdr:clientData/>
  </xdr:twoCellAnchor>
  <xdr:twoCellAnchor editAs="oneCell">
    <xdr:from>
      <xdr:col>7</xdr:col>
      <xdr:colOff>306457</xdr:colOff>
      <xdr:row>14</xdr:row>
      <xdr:rowOff>124240</xdr:rowOff>
    </xdr:from>
    <xdr:to>
      <xdr:col>14</xdr:col>
      <xdr:colOff>549398</xdr:colOff>
      <xdr:row>34</xdr:row>
      <xdr:rowOff>171383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96848" y="2791240"/>
          <a:ext cx="4533333" cy="38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588065</xdr:colOff>
      <xdr:row>14</xdr:row>
      <xdr:rowOff>115957</xdr:rowOff>
    </xdr:from>
    <xdr:to>
      <xdr:col>22</xdr:col>
      <xdr:colOff>503809</xdr:colOff>
      <xdr:row>36</xdr:row>
      <xdr:rowOff>86862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8848" y="2782957"/>
          <a:ext cx="4819048" cy="4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165652</xdr:colOff>
      <xdr:row>37</xdr:row>
      <xdr:rowOff>16564</xdr:rowOff>
    </xdr:from>
    <xdr:to>
      <xdr:col>8</xdr:col>
      <xdr:colOff>414729</xdr:colOff>
      <xdr:row>56</xdr:row>
      <xdr:rowOff>101826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5652" y="7065064"/>
          <a:ext cx="5152381" cy="3704762"/>
        </a:xfrm>
        <a:prstGeom prst="rect">
          <a:avLst/>
        </a:prstGeom>
      </xdr:spPr>
    </xdr:pic>
    <xdr:clientData/>
  </xdr:twoCellAnchor>
  <xdr:twoCellAnchor editAs="oneCell">
    <xdr:from>
      <xdr:col>8</xdr:col>
      <xdr:colOff>397566</xdr:colOff>
      <xdr:row>36</xdr:row>
      <xdr:rowOff>182216</xdr:rowOff>
    </xdr:from>
    <xdr:to>
      <xdr:col>18</xdr:col>
      <xdr:colOff>344625</xdr:colOff>
      <xdr:row>58</xdr:row>
      <xdr:rowOff>67406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00870" y="7040216"/>
          <a:ext cx="6076190" cy="4076190"/>
        </a:xfrm>
        <a:prstGeom prst="rect">
          <a:avLst/>
        </a:prstGeom>
      </xdr:spPr>
    </xdr:pic>
    <xdr:clientData/>
  </xdr:twoCellAnchor>
  <xdr:twoCellAnchor editAs="oneCell">
    <xdr:from>
      <xdr:col>18</xdr:col>
      <xdr:colOff>326371</xdr:colOff>
      <xdr:row>36</xdr:row>
      <xdr:rowOff>134471</xdr:rowOff>
    </xdr:from>
    <xdr:to>
      <xdr:col>27</xdr:col>
      <xdr:colOff>125676</xdr:colOff>
      <xdr:row>68</xdr:row>
      <xdr:rowOff>143233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18489" y="6992471"/>
          <a:ext cx="5245363" cy="61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13</xdr:row>
      <xdr:rowOff>67235</xdr:rowOff>
    </xdr:from>
    <xdr:to>
      <xdr:col>10</xdr:col>
      <xdr:colOff>329800</xdr:colOff>
      <xdr:row>20</xdr:row>
      <xdr:rowOff>38497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0500" y="2543735"/>
          <a:ext cx="6190476" cy="130476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582707</xdr:colOff>
      <xdr:row>2</xdr:row>
      <xdr:rowOff>168088</xdr:rowOff>
    </xdr:from>
    <xdr:to>
      <xdr:col>18</xdr:col>
      <xdr:colOff>408432</xdr:colOff>
      <xdr:row>3</xdr:row>
      <xdr:rowOff>187112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33883" y="549088"/>
          <a:ext cx="4666667" cy="209524"/>
        </a:xfrm>
        <a:prstGeom prst="rect">
          <a:avLst/>
        </a:prstGeom>
      </xdr:spPr>
    </xdr:pic>
    <xdr:clientData/>
  </xdr:twoCellAnchor>
  <xdr:twoCellAnchor editAs="oneCell">
    <xdr:from>
      <xdr:col>10</xdr:col>
      <xdr:colOff>526677</xdr:colOff>
      <xdr:row>4</xdr:row>
      <xdr:rowOff>156881</xdr:rowOff>
    </xdr:from>
    <xdr:to>
      <xdr:col>21</xdr:col>
      <xdr:colOff>41811</xdr:colOff>
      <xdr:row>12</xdr:row>
      <xdr:rowOff>166214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77853" y="918881"/>
          <a:ext cx="6171429" cy="1533333"/>
        </a:xfrm>
        <a:prstGeom prst="rect">
          <a:avLst/>
        </a:prstGeom>
      </xdr:spPr>
    </xdr:pic>
    <xdr:clientData/>
  </xdr:twoCellAnchor>
  <xdr:twoCellAnchor editAs="oneCell">
    <xdr:from>
      <xdr:col>21</xdr:col>
      <xdr:colOff>112058</xdr:colOff>
      <xdr:row>2</xdr:row>
      <xdr:rowOff>145677</xdr:rowOff>
    </xdr:from>
    <xdr:to>
      <xdr:col>31</xdr:col>
      <xdr:colOff>213263</xdr:colOff>
      <xdr:row>12</xdr:row>
      <xdr:rowOff>78772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819529" y="526677"/>
          <a:ext cx="6152381" cy="1838095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15</xdr:row>
      <xdr:rowOff>0</xdr:rowOff>
    </xdr:from>
    <xdr:to>
      <xdr:col>32</xdr:col>
      <xdr:colOff>306322</xdr:colOff>
      <xdr:row>31</xdr:row>
      <xdr:rowOff>152000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917706" y="2857500"/>
          <a:ext cx="5752381" cy="3200000"/>
        </a:xfrm>
        <a:prstGeom prst="rect">
          <a:avLst/>
        </a:prstGeom>
      </xdr:spPr>
    </xdr:pic>
    <xdr:clientData/>
  </xdr:twoCellAnchor>
  <xdr:twoCellAnchor editAs="oneCell">
    <xdr:from>
      <xdr:col>27</xdr:col>
      <xdr:colOff>257736</xdr:colOff>
      <xdr:row>36</xdr:row>
      <xdr:rowOff>33618</xdr:rowOff>
    </xdr:from>
    <xdr:to>
      <xdr:col>35</xdr:col>
      <xdr:colOff>235842</xdr:colOff>
      <xdr:row>53</xdr:row>
      <xdr:rowOff>118927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595912" y="6891618"/>
          <a:ext cx="4819048" cy="33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58</xdr:row>
      <xdr:rowOff>67236</xdr:rowOff>
    </xdr:from>
    <xdr:to>
      <xdr:col>9</xdr:col>
      <xdr:colOff>402128</xdr:colOff>
      <xdr:row>82</xdr:row>
      <xdr:rowOff>66665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1116236"/>
          <a:ext cx="5780952" cy="45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11206</xdr:rowOff>
    </xdr:from>
    <xdr:to>
      <xdr:col>9</xdr:col>
      <xdr:colOff>515846</xdr:colOff>
      <xdr:row>111</xdr:row>
      <xdr:rowOff>115301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15822706"/>
          <a:ext cx="5961905" cy="5438095"/>
        </a:xfrm>
        <a:prstGeom prst="rect">
          <a:avLst/>
        </a:prstGeom>
      </xdr:spPr>
    </xdr:pic>
    <xdr:clientData/>
  </xdr:twoCellAnchor>
  <xdr:twoCellAnchor editAs="oneCell">
    <xdr:from>
      <xdr:col>10</xdr:col>
      <xdr:colOff>246530</xdr:colOff>
      <xdr:row>69</xdr:row>
      <xdr:rowOff>123264</xdr:rowOff>
    </xdr:from>
    <xdr:to>
      <xdr:col>18</xdr:col>
      <xdr:colOff>291302</xdr:colOff>
      <xdr:row>90</xdr:row>
      <xdr:rowOff>46573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297706" y="13267764"/>
          <a:ext cx="4885714" cy="3923809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90</xdr:row>
      <xdr:rowOff>134471</xdr:rowOff>
    </xdr:from>
    <xdr:to>
      <xdr:col>18</xdr:col>
      <xdr:colOff>167540</xdr:colOff>
      <xdr:row>107</xdr:row>
      <xdr:rowOff>19780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678706" y="17279471"/>
          <a:ext cx="4380952" cy="312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425825</xdr:colOff>
      <xdr:row>108</xdr:row>
      <xdr:rowOff>33617</xdr:rowOff>
    </xdr:from>
    <xdr:to>
      <xdr:col>18</xdr:col>
      <xdr:colOff>232502</xdr:colOff>
      <xdr:row>127</xdr:row>
      <xdr:rowOff>52212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477001" y="20607617"/>
          <a:ext cx="4647619" cy="3638095"/>
        </a:xfrm>
        <a:prstGeom prst="rect">
          <a:avLst/>
        </a:prstGeom>
      </xdr:spPr>
    </xdr:pic>
    <xdr:clientData/>
  </xdr:twoCellAnchor>
  <xdr:twoCellAnchor editAs="oneCell">
    <xdr:from>
      <xdr:col>10</xdr:col>
      <xdr:colOff>493059</xdr:colOff>
      <xdr:row>127</xdr:row>
      <xdr:rowOff>179294</xdr:rowOff>
    </xdr:from>
    <xdr:to>
      <xdr:col>18</xdr:col>
      <xdr:colOff>223546</xdr:colOff>
      <xdr:row>145</xdr:row>
      <xdr:rowOff>16961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544235" y="24372794"/>
          <a:ext cx="4571429" cy="3266667"/>
        </a:xfrm>
        <a:prstGeom prst="rect">
          <a:avLst/>
        </a:prstGeom>
      </xdr:spPr>
    </xdr:pic>
    <xdr:clientData/>
  </xdr:twoCellAnchor>
  <xdr:twoCellAnchor editAs="oneCell">
    <xdr:from>
      <xdr:col>18</xdr:col>
      <xdr:colOff>268940</xdr:colOff>
      <xdr:row>70</xdr:row>
      <xdr:rowOff>134471</xdr:rowOff>
    </xdr:from>
    <xdr:to>
      <xdr:col>28</xdr:col>
      <xdr:colOff>46335</xdr:colOff>
      <xdr:row>88</xdr:row>
      <xdr:rowOff>48328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161058" y="13469471"/>
          <a:ext cx="5828571" cy="3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369793</xdr:colOff>
      <xdr:row>88</xdr:row>
      <xdr:rowOff>156882</xdr:rowOff>
    </xdr:from>
    <xdr:to>
      <xdr:col>29</xdr:col>
      <xdr:colOff>218261</xdr:colOff>
      <xdr:row>100</xdr:row>
      <xdr:rowOff>70882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61911" y="16920882"/>
          <a:ext cx="6504762" cy="220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392206</xdr:colOff>
      <xdr:row>100</xdr:row>
      <xdr:rowOff>168088</xdr:rowOff>
    </xdr:from>
    <xdr:to>
      <xdr:col>28</xdr:col>
      <xdr:colOff>436268</xdr:colOff>
      <xdr:row>111</xdr:row>
      <xdr:rowOff>63064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284324" y="19218088"/>
          <a:ext cx="6095238" cy="1990476"/>
        </a:xfrm>
        <a:prstGeom prst="rect">
          <a:avLst/>
        </a:prstGeom>
      </xdr:spPr>
    </xdr:pic>
    <xdr:clientData/>
  </xdr:twoCellAnchor>
  <xdr:twoCellAnchor editAs="oneCell">
    <xdr:from>
      <xdr:col>18</xdr:col>
      <xdr:colOff>470647</xdr:colOff>
      <xdr:row>111</xdr:row>
      <xdr:rowOff>179294</xdr:rowOff>
    </xdr:from>
    <xdr:to>
      <xdr:col>29</xdr:col>
      <xdr:colOff>214353</xdr:colOff>
      <xdr:row>130</xdr:row>
      <xdr:rowOff>83603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362765" y="21324794"/>
          <a:ext cx="6400000" cy="35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</xdr:colOff>
      <xdr:row>1</xdr:row>
      <xdr:rowOff>179294</xdr:rowOff>
    </xdr:from>
    <xdr:to>
      <xdr:col>10</xdr:col>
      <xdr:colOff>259201</xdr:colOff>
      <xdr:row>12</xdr:row>
      <xdr:rowOff>150461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0853" y="369794"/>
          <a:ext cx="6209524" cy="2066667"/>
        </a:xfrm>
        <a:prstGeom prst="rect">
          <a:avLst/>
        </a:prstGeom>
      </xdr:spPr>
    </xdr:pic>
    <xdr:clientData/>
  </xdr:twoCellAnchor>
  <xdr:twoCellAnchor editAs="oneCell">
    <xdr:from>
      <xdr:col>9</xdr:col>
      <xdr:colOff>205749</xdr:colOff>
      <xdr:row>59</xdr:row>
      <xdr:rowOff>28063</xdr:rowOff>
    </xdr:from>
    <xdr:to>
      <xdr:col>19</xdr:col>
      <xdr:colOff>314749</xdr:colOff>
      <xdr:row>70</xdr:row>
      <xdr:rowOff>84944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692149" y="11267563"/>
          <a:ext cx="6205000" cy="2152381"/>
        </a:xfrm>
        <a:prstGeom prst="rect">
          <a:avLst/>
        </a:prstGeom>
      </xdr:spPr>
    </xdr:pic>
    <xdr:clientData/>
  </xdr:twoCellAnchor>
  <xdr:twoCellAnchor editAs="oneCell">
    <xdr:from>
      <xdr:col>33</xdr:col>
      <xdr:colOff>260537</xdr:colOff>
      <xdr:row>3</xdr:row>
      <xdr:rowOff>57430</xdr:rowOff>
    </xdr:from>
    <xdr:to>
      <xdr:col>43</xdr:col>
      <xdr:colOff>221668</xdr:colOff>
      <xdr:row>26</xdr:row>
      <xdr:rowOff>104501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691662" y="628930"/>
          <a:ext cx="6152381" cy="4428571"/>
        </a:xfrm>
        <a:prstGeom prst="rect">
          <a:avLst/>
        </a:prstGeom>
      </xdr:spPr>
    </xdr:pic>
    <xdr:clientData/>
  </xdr:twoCellAnchor>
  <xdr:twoCellAnchor editAs="oneCell">
    <xdr:from>
      <xdr:col>35</xdr:col>
      <xdr:colOff>595313</xdr:colOff>
      <xdr:row>29</xdr:row>
      <xdr:rowOff>95250</xdr:rowOff>
    </xdr:from>
    <xdr:to>
      <xdr:col>45</xdr:col>
      <xdr:colOff>108825</xdr:colOff>
      <xdr:row>44</xdr:row>
      <xdr:rowOff>180607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264688" y="5619750"/>
          <a:ext cx="5704762" cy="2942857"/>
        </a:xfrm>
        <a:prstGeom prst="rect">
          <a:avLst/>
        </a:prstGeom>
      </xdr:spPr>
    </xdr:pic>
    <xdr:clientData/>
  </xdr:twoCellAnchor>
  <xdr:twoCellAnchor editAs="oneCell">
    <xdr:from>
      <xdr:col>36</xdr:col>
      <xdr:colOff>95251</xdr:colOff>
      <xdr:row>44</xdr:row>
      <xdr:rowOff>166688</xdr:rowOff>
    </xdr:from>
    <xdr:to>
      <xdr:col>46</xdr:col>
      <xdr:colOff>265906</xdr:colOff>
      <xdr:row>57</xdr:row>
      <xdr:rowOff>4474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383751" y="8548688"/>
          <a:ext cx="6361905" cy="2314286"/>
        </a:xfrm>
        <a:prstGeom prst="rect">
          <a:avLst/>
        </a:prstGeom>
      </xdr:spPr>
    </xdr:pic>
    <xdr:clientData/>
  </xdr:twoCellAnchor>
  <xdr:twoCellAnchor editAs="oneCell">
    <xdr:from>
      <xdr:col>10</xdr:col>
      <xdr:colOff>528845</xdr:colOff>
      <xdr:row>13</xdr:row>
      <xdr:rowOff>58391</xdr:rowOff>
    </xdr:from>
    <xdr:to>
      <xdr:col>21</xdr:col>
      <xdr:colOff>51816</xdr:colOff>
      <xdr:row>23</xdr:row>
      <xdr:rowOff>115296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624845" y="2534891"/>
          <a:ext cx="6228571" cy="19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165</xdr:row>
      <xdr:rowOff>38100</xdr:rowOff>
    </xdr:from>
    <xdr:to>
      <xdr:col>27</xdr:col>
      <xdr:colOff>55190</xdr:colOff>
      <xdr:row>190</xdr:row>
      <xdr:rowOff>104171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38200" y="31470600"/>
          <a:ext cx="15676190" cy="48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197</xdr:row>
      <xdr:rowOff>57150</xdr:rowOff>
    </xdr:from>
    <xdr:to>
      <xdr:col>18</xdr:col>
      <xdr:colOff>189231</xdr:colOff>
      <xdr:row>235</xdr:row>
      <xdr:rowOff>141959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09650" y="37585650"/>
          <a:ext cx="10152381" cy="7323809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243</xdr:row>
      <xdr:rowOff>0</xdr:rowOff>
    </xdr:from>
    <xdr:to>
      <xdr:col>13</xdr:col>
      <xdr:colOff>199158</xdr:colOff>
      <xdr:row>253</xdr:row>
      <xdr:rowOff>47381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90625" y="46291500"/>
          <a:ext cx="6933333" cy="19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257</xdr:row>
      <xdr:rowOff>133350</xdr:rowOff>
    </xdr:from>
    <xdr:to>
      <xdr:col>12</xdr:col>
      <xdr:colOff>503975</xdr:colOff>
      <xdr:row>294</xdr:row>
      <xdr:rowOff>180088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19175" y="49091850"/>
          <a:ext cx="6800000" cy="709523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2339803</xdr:colOff>
      <xdr:row>32</xdr:row>
      <xdr:rowOff>62120</xdr:rowOff>
    </xdr:from>
    <xdr:to>
      <xdr:col>1</xdr:col>
      <xdr:colOff>4280294</xdr:colOff>
      <xdr:row>35</xdr:row>
      <xdr:rowOff>141313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91332" y="4992708"/>
          <a:ext cx="1940491" cy="650693"/>
        </a:xfrm>
        <a:prstGeom prst="rect">
          <a:avLst/>
        </a:prstGeom>
      </xdr:spPr>
    </xdr:pic>
    <xdr:clientData/>
  </xdr:twoCellAnchor>
  <xdr:twoCellAnchor editAs="oneCell">
    <xdr:from>
      <xdr:col>2</xdr:col>
      <xdr:colOff>336107</xdr:colOff>
      <xdr:row>32</xdr:row>
      <xdr:rowOff>52446</xdr:rowOff>
    </xdr:from>
    <xdr:to>
      <xdr:col>9</xdr:col>
      <xdr:colOff>439000</xdr:colOff>
      <xdr:row>42</xdr:row>
      <xdr:rowOff>165066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75725" y="4983034"/>
          <a:ext cx="4338716" cy="2017620"/>
        </a:xfrm>
        <a:prstGeom prst="rect">
          <a:avLst/>
        </a:prstGeom>
      </xdr:spPr>
    </xdr:pic>
    <xdr:clientData/>
  </xdr:twoCellAnchor>
  <xdr:twoCellAnchor editAs="oneCell">
    <xdr:from>
      <xdr:col>2</xdr:col>
      <xdr:colOff>360955</xdr:colOff>
      <xdr:row>43</xdr:row>
      <xdr:rowOff>18724</xdr:rowOff>
    </xdr:from>
    <xdr:to>
      <xdr:col>12</xdr:col>
      <xdr:colOff>361598</xdr:colOff>
      <xdr:row>52</xdr:row>
      <xdr:rowOff>3360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00573" y="7044812"/>
          <a:ext cx="6051819" cy="169913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336108</xdr:colOff>
      <xdr:row>52</xdr:row>
      <xdr:rowOff>40023</xdr:rowOff>
    </xdr:from>
    <xdr:to>
      <xdr:col>8</xdr:col>
      <xdr:colOff>578043</xdr:colOff>
      <xdr:row>61</xdr:row>
      <xdr:rowOff>10934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5726" y="8780611"/>
          <a:ext cx="3872641" cy="1685411"/>
        </a:xfrm>
        <a:prstGeom prst="rect">
          <a:avLst/>
        </a:prstGeom>
      </xdr:spPr>
    </xdr:pic>
    <xdr:clientData/>
  </xdr:twoCellAnchor>
  <xdr:twoCellAnchor editAs="oneCell">
    <xdr:from>
      <xdr:col>2</xdr:col>
      <xdr:colOff>148478</xdr:colOff>
      <xdr:row>2</xdr:row>
      <xdr:rowOff>30815</xdr:rowOff>
    </xdr:from>
    <xdr:to>
      <xdr:col>13</xdr:col>
      <xdr:colOff>487143</xdr:colOff>
      <xdr:row>17</xdr:row>
      <xdr:rowOff>182817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92578" y="440390"/>
          <a:ext cx="7044265" cy="318095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1</xdr:row>
      <xdr:rowOff>0</xdr:rowOff>
    </xdr:from>
    <xdr:to>
      <xdr:col>11</xdr:col>
      <xdr:colOff>503945</xdr:colOff>
      <xdr:row>13</xdr:row>
      <xdr:rowOff>37809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1450" y="190500"/>
          <a:ext cx="7038095" cy="23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198783</xdr:colOff>
      <xdr:row>14</xdr:row>
      <xdr:rowOff>33130</xdr:rowOff>
    </xdr:from>
    <xdr:to>
      <xdr:col>11</xdr:col>
      <xdr:colOff>513883</xdr:colOff>
      <xdr:row>29</xdr:row>
      <xdr:rowOff>156582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783" y="2700130"/>
          <a:ext cx="7057143" cy="2980952"/>
        </a:xfrm>
        <a:prstGeom prst="rect">
          <a:avLst/>
        </a:prstGeom>
      </xdr:spPr>
    </xdr:pic>
    <xdr:clientData/>
  </xdr:twoCellAnchor>
  <xdr:twoCellAnchor editAs="oneCell">
    <xdr:from>
      <xdr:col>13</xdr:col>
      <xdr:colOff>74544</xdr:colOff>
      <xdr:row>7</xdr:row>
      <xdr:rowOff>124239</xdr:rowOff>
    </xdr:from>
    <xdr:to>
      <xdr:col>18</xdr:col>
      <xdr:colOff>429027</xdr:colOff>
      <xdr:row>9</xdr:row>
      <xdr:rowOff>114668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42414" y="1457739"/>
          <a:ext cx="3419048" cy="371429"/>
        </a:xfrm>
        <a:prstGeom prst="rect">
          <a:avLst/>
        </a:prstGeom>
      </xdr:spPr>
    </xdr:pic>
    <xdr:clientData/>
  </xdr:twoCellAnchor>
  <xdr:twoCellAnchor editAs="oneCell">
    <xdr:from>
      <xdr:col>12</xdr:col>
      <xdr:colOff>389283</xdr:colOff>
      <xdr:row>11</xdr:row>
      <xdr:rowOff>57978</xdr:rowOff>
    </xdr:from>
    <xdr:to>
      <xdr:col>17</xdr:col>
      <xdr:colOff>553289</xdr:colOff>
      <xdr:row>26</xdr:row>
      <xdr:rowOff>478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44240" y="2153478"/>
          <a:ext cx="3228571" cy="280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207066</xdr:colOff>
      <xdr:row>10</xdr:row>
      <xdr:rowOff>124239</xdr:rowOff>
    </xdr:from>
    <xdr:to>
      <xdr:col>23</xdr:col>
      <xdr:colOff>409168</xdr:colOff>
      <xdr:row>22</xdr:row>
      <xdr:rowOff>181096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39501" y="2029239"/>
          <a:ext cx="3266667" cy="2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364435</xdr:colOff>
      <xdr:row>23</xdr:row>
      <xdr:rowOff>115956</xdr:rowOff>
    </xdr:from>
    <xdr:to>
      <xdr:col>23</xdr:col>
      <xdr:colOff>566537</xdr:colOff>
      <xdr:row>31</xdr:row>
      <xdr:rowOff>49099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396870" y="4497456"/>
          <a:ext cx="3266667" cy="145714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7711</xdr:colOff>
      <xdr:row>0</xdr:row>
      <xdr:rowOff>117098</xdr:rowOff>
    </xdr:from>
    <xdr:to>
      <xdr:col>19</xdr:col>
      <xdr:colOff>488062</xdr:colOff>
      <xdr:row>27</xdr:row>
      <xdr:rowOff>59312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11" y="117098"/>
          <a:ext cx="12125699" cy="50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157370</xdr:colOff>
      <xdr:row>27</xdr:row>
      <xdr:rowOff>149087</xdr:rowOff>
    </xdr:from>
    <xdr:to>
      <xdr:col>18</xdr:col>
      <xdr:colOff>286840</xdr:colOff>
      <xdr:row>54</xdr:row>
      <xdr:rowOff>177016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370" y="5292587"/>
          <a:ext cx="11161905" cy="5171429"/>
        </a:xfrm>
        <a:prstGeom prst="rect">
          <a:avLst/>
        </a:prstGeom>
      </xdr:spPr>
    </xdr:pic>
    <xdr:clientData/>
  </xdr:twoCellAnchor>
  <xdr:twoCellAnchor editAs="oneCell">
    <xdr:from>
      <xdr:col>20</xdr:col>
      <xdr:colOff>307068</xdr:colOff>
      <xdr:row>1</xdr:row>
      <xdr:rowOff>185133</xdr:rowOff>
    </xdr:from>
    <xdr:to>
      <xdr:col>29</xdr:col>
      <xdr:colOff>428947</xdr:colOff>
      <xdr:row>16</xdr:row>
      <xdr:rowOff>89538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553497" y="375633"/>
          <a:ext cx="5632771" cy="2761905"/>
        </a:xfrm>
        <a:prstGeom prst="rect">
          <a:avLst/>
        </a:prstGeom>
      </xdr:spPr>
    </xdr:pic>
    <xdr:clientData/>
  </xdr:twoCellAnchor>
  <xdr:twoCellAnchor editAs="oneCell">
    <xdr:from>
      <xdr:col>20</xdr:col>
      <xdr:colOff>312964</xdr:colOff>
      <xdr:row>17</xdr:row>
      <xdr:rowOff>122464</xdr:rowOff>
    </xdr:from>
    <xdr:to>
      <xdr:col>30</xdr:col>
      <xdr:colOff>446893</xdr:colOff>
      <xdr:row>53</xdr:row>
      <xdr:rowOff>188273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559393" y="3360964"/>
          <a:ext cx="6257143" cy="6923809"/>
        </a:xfrm>
        <a:prstGeom prst="rect">
          <a:avLst/>
        </a:prstGeom>
      </xdr:spPr>
    </xdr:pic>
    <xdr:clientData/>
  </xdr:twoCellAnchor>
  <xdr:twoCellAnchor editAs="oneCell">
    <xdr:from>
      <xdr:col>19</xdr:col>
      <xdr:colOff>340178</xdr:colOff>
      <xdr:row>52</xdr:row>
      <xdr:rowOff>149678</xdr:rowOff>
    </xdr:from>
    <xdr:to>
      <xdr:col>28</xdr:col>
      <xdr:colOff>219761</xdr:colOff>
      <xdr:row>75</xdr:row>
      <xdr:rowOff>187226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974285" y="10055678"/>
          <a:ext cx="5390476" cy="44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530679</xdr:colOff>
      <xdr:row>56</xdr:row>
      <xdr:rowOff>108857</xdr:rowOff>
    </xdr:from>
    <xdr:to>
      <xdr:col>15</xdr:col>
      <xdr:colOff>22048</xdr:colOff>
      <xdr:row>85</xdr:row>
      <xdr:rowOff>79595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0679" y="10776857"/>
          <a:ext cx="8676190" cy="54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258535</xdr:colOff>
      <xdr:row>88</xdr:row>
      <xdr:rowOff>68035</xdr:rowOff>
    </xdr:from>
    <xdr:to>
      <xdr:col>9</xdr:col>
      <xdr:colOff>595261</xdr:colOff>
      <xdr:row>93</xdr:row>
      <xdr:rowOff>58392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8535" y="16832035"/>
          <a:ext cx="5847619" cy="94285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89</xdr:row>
      <xdr:rowOff>0</xdr:rowOff>
    </xdr:from>
    <xdr:to>
      <xdr:col>22</xdr:col>
      <xdr:colOff>460537</xdr:colOff>
      <xdr:row>107</xdr:row>
      <xdr:rowOff>151952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960179" y="16954500"/>
          <a:ext cx="5971429" cy="35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394607</xdr:colOff>
      <xdr:row>96</xdr:row>
      <xdr:rowOff>0</xdr:rowOff>
    </xdr:from>
    <xdr:to>
      <xdr:col>9</xdr:col>
      <xdr:colOff>407523</xdr:colOff>
      <xdr:row>99</xdr:row>
      <xdr:rowOff>18976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4607" y="18288000"/>
          <a:ext cx="5523809" cy="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258536</xdr:colOff>
      <xdr:row>100</xdr:row>
      <xdr:rowOff>122465</xdr:rowOff>
    </xdr:from>
    <xdr:to>
      <xdr:col>9</xdr:col>
      <xdr:colOff>461929</xdr:colOff>
      <xdr:row>109</xdr:row>
      <xdr:rowOff>112727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8536" y="19172465"/>
          <a:ext cx="5714286" cy="17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109</xdr:row>
      <xdr:rowOff>136072</xdr:rowOff>
    </xdr:from>
    <xdr:to>
      <xdr:col>9</xdr:col>
      <xdr:colOff>374858</xdr:colOff>
      <xdr:row>155</xdr:row>
      <xdr:rowOff>134977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1" y="20900572"/>
          <a:ext cx="5600000" cy="87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367394</xdr:colOff>
      <xdr:row>109</xdr:row>
      <xdr:rowOff>136071</xdr:rowOff>
    </xdr:from>
    <xdr:to>
      <xdr:col>19</xdr:col>
      <xdr:colOff>380310</xdr:colOff>
      <xdr:row>132</xdr:row>
      <xdr:rowOff>59333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490608" y="20900571"/>
          <a:ext cx="5523809" cy="430476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235194</xdr:colOff>
      <xdr:row>1</xdr:row>
      <xdr:rowOff>54219</xdr:rowOff>
    </xdr:from>
    <xdr:to>
      <xdr:col>11</xdr:col>
      <xdr:colOff>415308</xdr:colOff>
      <xdr:row>9</xdr:row>
      <xdr:rowOff>25457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194" y="244719"/>
          <a:ext cx="6869595" cy="14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107868</xdr:colOff>
      <xdr:row>10</xdr:row>
      <xdr:rowOff>13024</xdr:rowOff>
    </xdr:from>
    <xdr:to>
      <xdr:col>16</xdr:col>
      <xdr:colOff>33468</xdr:colOff>
      <xdr:row>43</xdr:row>
      <xdr:rowOff>145572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2030289" y="603738"/>
          <a:ext cx="6419048" cy="904761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13</xdr:row>
      <xdr:rowOff>0</xdr:rowOff>
    </xdr:from>
    <xdr:to>
      <xdr:col>25</xdr:col>
      <xdr:colOff>269646</xdr:colOff>
      <xdr:row>16</xdr:row>
      <xdr:rowOff>133262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30154" y="2476500"/>
          <a:ext cx="5742857" cy="704762"/>
        </a:xfrm>
        <a:prstGeom prst="rect">
          <a:avLst/>
        </a:prstGeom>
      </xdr:spPr>
    </xdr:pic>
    <xdr:clientData/>
  </xdr:twoCellAnchor>
  <xdr:twoCellAnchor editAs="oneCell">
    <xdr:from>
      <xdr:col>16</xdr:col>
      <xdr:colOff>48272</xdr:colOff>
      <xdr:row>17</xdr:row>
      <xdr:rowOff>123265</xdr:rowOff>
    </xdr:from>
    <xdr:to>
      <xdr:col>25</xdr:col>
      <xdr:colOff>259356</xdr:colOff>
      <xdr:row>22</xdr:row>
      <xdr:rowOff>161241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30154" y="3361765"/>
          <a:ext cx="5657143" cy="990476"/>
        </a:xfrm>
        <a:prstGeom prst="rect">
          <a:avLst/>
        </a:prstGeom>
      </xdr:spPr>
    </xdr:pic>
    <xdr:clientData/>
  </xdr:twoCellAnchor>
  <xdr:twoCellAnchor editAs="oneCell">
    <xdr:from>
      <xdr:col>15</xdr:col>
      <xdr:colOff>526676</xdr:colOff>
      <xdr:row>23</xdr:row>
      <xdr:rowOff>78442</xdr:rowOff>
    </xdr:from>
    <xdr:to>
      <xdr:col>25</xdr:col>
      <xdr:colOff>75500</xdr:colOff>
      <xdr:row>26</xdr:row>
      <xdr:rowOff>78371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603441" y="4459942"/>
          <a:ext cx="5600000" cy="571429"/>
        </a:xfrm>
        <a:prstGeom prst="rect">
          <a:avLst/>
        </a:prstGeom>
      </xdr:spPr>
    </xdr:pic>
    <xdr:clientData/>
  </xdr:twoCellAnchor>
  <xdr:twoCellAnchor editAs="oneCell">
    <xdr:from>
      <xdr:col>15</xdr:col>
      <xdr:colOff>403411</xdr:colOff>
      <xdr:row>27</xdr:row>
      <xdr:rowOff>179294</xdr:rowOff>
    </xdr:from>
    <xdr:to>
      <xdr:col>30</xdr:col>
      <xdr:colOff>21885</xdr:colOff>
      <xdr:row>53</xdr:row>
      <xdr:rowOff>131056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80176" y="5322794"/>
          <a:ext cx="8695238" cy="49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369794</xdr:colOff>
      <xdr:row>42</xdr:row>
      <xdr:rowOff>33617</xdr:rowOff>
    </xdr:from>
    <xdr:to>
      <xdr:col>14</xdr:col>
      <xdr:colOff>455646</xdr:colOff>
      <xdr:row>55</xdr:row>
      <xdr:rowOff>176165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74912" y="8034617"/>
          <a:ext cx="7952381" cy="2619048"/>
        </a:xfrm>
        <a:prstGeom prst="rect">
          <a:avLst/>
        </a:prstGeom>
      </xdr:spPr>
    </xdr:pic>
    <xdr:clientData/>
  </xdr:twoCellAnchor>
  <xdr:twoCellAnchor editAs="oneCell">
    <xdr:from>
      <xdr:col>15</xdr:col>
      <xdr:colOff>349967</xdr:colOff>
      <xdr:row>53</xdr:row>
      <xdr:rowOff>152261</xdr:rowOff>
    </xdr:from>
    <xdr:to>
      <xdr:col>28</xdr:col>
      <xdr:colOff>546384</xdr:colOff>
      <xdr:row>84</xdr:row>
      <xdr:rowOff>113428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6200000">
          <a:off x="10546773" y="9144000"/>
          <a:ext cx="5866667" cy="8076190"/>
        </a:xfrm>
        <a:prstGeom prst="rect">
          <a:avLst/>
        </a:prstGeom>
      </xdr:spPr>
    </xdr:pic>
    <xdr:clientData/>
  </xdr:twoCellAnchor>
  <xdr:twoCellAnchor editAs="oneCell">
    <xdr:from>
      <xdr:col>25</xdr:col>
      <xdr:colOff>367392</xdr:colOff>
      <xdr:row>10</xdr:row>
      <xdr:rowOff>108857</xdr:rowOff>
    </xdr:from>
    <xdr:to>
      <xdr:col>31</xdr:col>
      <xdr:colOff>131559</xdr:colOff>
      <xdr:row>16</xdr:row>
      <xdr:rowOff>165857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675428" y="2013857"/>
          <a:ext cx="3438095" cy="1200000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12</xdr:row>
      <xdr:rowOff>81643</xdr:rowOff>
    </xdr:from>
    <xdr:to>
      <xdr:col>39</xdr:col>
      <xdr:colOff>224107</xdr:colOff>
      <xdr:row>13</xdr:row>
      <xdr:rowOff>176857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818929" y="2367643"/>
          <a:ext cx="3285714" cy="28571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390525</xdr:colOff>
      <xdr:row>6</xdr:row>
      <xdr:rowOff>123825</xdr:rowOff>
    </xdr:from>
    <xdr:to>
      <xdr:col>7</xdr:col>
      <xdr:colOff>390068</xdr:colOff>
      <xdr:row>18</xdr:row>
      <xdr:rowOff>28301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0125" y="1266825"/>
          <a:ext cx="3657143" cy="2190476"/>
        </a:xfrm>
        <a:prstGeom prst="rect">
          <a:avLst/>
        </a:prstGeom>
      </xdr:spPr>
    </xdr:pic>
    <xdr:clientData/>
  </xdr:twoCellAnchor>
  <xdr:twoCellAnchor editAs="oneCell">
    <xdr:from>
      <xdr:col>7</xdr:col>
      <xdr:colOff>428625</xdr:colOff>
      <xdr:row>3</xdr:row>
      <xdr:rowOff>171450</xdr:rowOff>
    </xdr:from>
    <xdr:to>
      <xdr:col>14</xdr:col>
      <xdr:colOff>532854</xdr:colOff>
      <xdr:row>10</xdr:row>
      <xdr:rowOff>85569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5825" y="742950"/>
          <a:ext cx="4371429" cy="1247619"/>
        </a:xfrm>
        <a:prstGeom prst="rect">
          <a:avLst/>
        </a:prstGeom>
      </xdr:spPr>
    </xdr:pic>
    <xdr:clientData/>
  </xdr:twoCellAnchor>
  <xdr:twoCellAnchor editAs="oneCell">
    <xdr:from>
      <xdr:col>7</xdr:col>
      <xdr:colOff>485775</xdr:colOff>
      <xdr:row>13</xdr:row>
      <xdr:rowOff>85725</xdr:rowOff>
    </xdr:from>
    <xdr:to>
      <xdr:col>15</xdr:col>
      <xdr:colOff>123261</xdr:colOff>
      <xdr:row>25</xdr:row>
      <xdr:rowOff>133058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52975" y="2562225"/>
          <a:ext cx="4514286" cy="2333333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57150</xdr:colOff>
      <xdr:row>12</xdr:row>
      <xdr:rowOff>95250</xdr:rowOff>
    </xdr:from>
    <xdr:to>
      <xdr:col>22</xdr:col>
      <xdr:colOff>247169</xdr:colOff>
      <xdr:row>36</xdr:row>
      <xdr:rowOff>151821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10750" y="2381250"/>
          <a:ext cx="3847619" cy="4628571"/>
        </a:xfrm>
        <a:prstGeom prst="rect">
          <a:avLst/>
        </a:prstGeom>
      </xdr:spPr>
    </xdr:pic>
    <xdr:clientData/>
  </xdr:twoCellAnchor>
  <xdr:twoCellAnchor editAs="oneCell">
    <xdr:from>
      <xdr:col>7</xdr:col>
      <xdr:colOff>504825</xdr:colOff>
      <xdr:row>25</xdr:row>
      <xdr:rowOff>114300</xdr:rowOff>
    </xdr:from>
    <xdr:to>
      <xdr:col>13</xdr:col>
      <xdr:colOff>332939</xdr:colOff>
      <xdr:row>41</xdr:row>
      <xdr:rowOff>37729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72025" y="4876800"/>
          <a:ext cx="3485714" cy="2971429"/>
        </a:xfrm>
        <a:prstGeom prst="rect">
          <a:avLst/>
        </a:prstGeom>
      </xdr:spPr>
    </xdr:pic>
    <xdr:clientData/>
  </xdr:twoCellAnchor>
  <xdr:twoCellAnchor editAs="oneCell">
    <xdr:from>
      <xdr:col>15</xdr:col>
      <xdr:colOff>257175</xdr:colOff>
      <xdr:row>3</xdr:row>
      <xdr:rowOff>66675</xdr:rowOff>
    </xdr:from>
    <xdr:to>
      <xdr:col>30</xdr:col>
      <xdr:colOff>408413</xdr:colOff>
      <xdr:row>10</xdr:row>
      <xdr:rowOff>104604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01175" y="638175"/>
          <a:ext cx="9295238" cy="13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</xdr:row>
      <xdr:rowOff>123825</xdr:rowOff>
    </xdr:from>
    <xdr:to>
      <xdr:col>7</xdr:col>
      <xdr:colOff>437605</xdr:colOff>
      <xdr:row>4</xdr:row>
      <xdr:rowOff>9492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2900" y="504825"/>
          <a:ext cx="4361905" cy="266667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0</xdr:row>
      <xdr:rowOff>123825</xdr:rowOff>
    </xdr:from>
    <xdr:to>
      <xdr:col>15</xdr:col>
      <xdr:colOff>199471</xdr:colOff>
      <xdr:row>2</xdr:row>
      <xdr:rowOff>114254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14900" y="123825"/>
          <a:ext cx="4428571" cy="37142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8914</xdr:colOff>
      <xdr:row>18</xdr:row>
      <xdr:rowOff>151952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885714" cy="35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14</xdr:row>
      <xdr:rowOff>133350</xdr:rowOff>
    </xdr:from>
    <xdr:to>
      <xdr:col>19</xdr:col>
      <xdr:colOff>189723</xdr:colOff>
      <xdr:row>28</xdr:row>
      <xdr:rowOff>133017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53075" y="2800350"/>
          <a:ext cx="6219048" cy="2666667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1</xdr:row>
      <xdr:rowOff>114300</xdr:rowOff>
    </xdr:from>
    <xdr:to>
      <xdr:col>19</xdr:col>
      <xdr:colOff>437356</xdr:colOff>
      <xdr:row>14</xdr:row>
      <xdr:rowOff>94943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67375" y="304800"/>
          <a:ext cx="6352381" cy="2457143"/>
        </a:xfrm>
        <a:prstGeom prst="rect">
          <a:avLst/>
        </a:prstGeom>
      </xdr:spPr>
    </xdr:pic>
    <xdr:clientData/>
  </xdr:twoCellAnchor>
  <xdr:twoCellAnchor editAs="oneCell">
    <xdr:from>
      <xdr:col>8</xdr:col>
      <xdr:colOff>552450</xdr:colOff>
      <xdr:row>37</xdr:row>
      <xdr:rowOff>9525</xdr:rowOff>
    </xdr:from>
    <xdr:to>
      <xdr:col>19</xdr:col>
      <xdr:colOff>180183</xdr:colOff>
      <xdr:row>48</xdr:row>
      <xdr:rowOff>85454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29250" y="7058025"/>
          <a:ext cx="6333333" cy="2171429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49</xdr:row>
      <xdr:rowOff>95250</xdr:rowOff>
    </xdr:from>
    <xdr:to>
      <xdr:col>19</xdr:col>
      <xdr:colOff>161114</xdr:colOff>
      <xdr:row>52</xdr:row>
      <xdr:rowOff>104702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57800" y="9429750"/>
          <a:ext cx="6485714" cy="580952"/>
        </a:xfrm>
        <a:prstGeom prst="rect">
          <a:avLst/>
        </a:prstGeom>
      </xdr:spPr>
    </xdr:pic>
    <xdr:clientData/>
  </xdr:twoCellAnchor>
  <xdr:twoCellAnchor editAs="oneCell">
    <xdr:from>
      <xdr:col>8</xdr:col>
      <xdr:colOff>533400</xdr:colOff>
      <xdr:row>30</xdr:row>
      <xdr:rowOff>133350</xdr:rowOff>
    </xdr:from>
    <xdr:to>
      <xdr:col>19</xdr:col>
      <xdr:colOff>94467</xdr:colOff>
      <xdr:row>32</xdr:row>
      <xdr:rowOff>47588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10200" y="5848350"/>
          <a:ext cx="6266667" cy="295238"/>
        </a:xfrm>
        <a:prstGeom prst="rect">
          <a:avLst/>
        </a:prstGeom>
      </xdr:spPr>
    </xdr:pic>
    <xdr:clientData/>
  </xdr:twoCellAnchor>
  <xdr:twoCellAnchor editAs="oneCell">
    <xdr:from>
      <xdr:col>8</xdr:col>
      <xdr:colOff>514350</xdr:colOff>
      <xdr:row>54</xdr:row>
      <xdr:rowOff>171450</xdr:rowOff>
    </xdr:from>
    <xdr:to>
      <xdr:col>19</xdr:col>
      <xdr:colOff>142083</xdr:colOff>
      <xdr:row>57</xdr:row>
      <xdr:rowOff>133283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391150" y="10458450"/>
          <a:ext cx="6333333" cy="53333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3</xdr:row>
      <xdr:rowOff>180975</xdr:rowOff>
    </xdr:from>
    <xdr:to>
      <xdr:col>12</xdr:col>
      <xdr:colOff>56300</xdr:colOff>
      <xdr:row>21</xdr:row>
      <xdr:rowOff>85308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0" y="752475"/>
          <a:ext cx="6800000" cy="33333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11</xdr:col>
      <xdr:colOff>427809</xdr:colOff>
      <xdr:row>26</xdr:row>
      <xdr:rowOff>9452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0" y="4381500"/>
          <a:ext cx="6523809" cy="58095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27</xdr:row>
      <xdr:rowOff>19050</xdr:rowOff>
    </xdr:from>
    <xdr:to>
      <xdr:col>11</xdr:col>
      <xdr:colOff>437643</xdr:colOff>
      <xdr:row>27</xdr:row>
      <xdr:rowOff>180955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86100" y="5162550"/>
          <a:ext cx="4057143" cy="16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</xdr:colOff>
      <xdr:row>3</xdr:row>
      <xdr:rowOff>76200</xdr:rowOff>
    </xdr:from>
    <xdr:to>
      <xdr:col>22</xdr:col>
      <xdr:colOff>551624</xdr:colOff>
      <xdr:row>20</xdr:row>
      <xdr:rowOff>85319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53300" y="647700"/>
          <a:ext cx="6609524" cy="3247619"/>
        </a:xfrm>
        <a:prstGeom prst="rect">
          <a:avLst/>
        </a:prstGeom>
      </xdr:spPr>
    </xdr:pic>
    <xdr:clientData/>
  </xdr:twoCellAnchor>
  <xdr:twoCellAnchor editAs="oneCell">
    <xdr:from>
      <xdr:col>23</xdr:col>
      <xdr:colOff>323850</xdr:colOff>
      <xdr:row>19</xdr:row>
      <xdr:rowOff>76200</xdr:rowOff>
    </xdr:from>
    <xdr:to>
      <xdr:col>34</xdr:col>
      <xdr:colOff>113488</xdr:colOff>
      <xdr:row>21</xdr:row>
      <xdr:rowOff>47581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344650" y="3695700"/>
          <a:ext cx="6495238" cy="352381"/>
        </a:xfrm>
        <a:prstGeom prst="rect">
          <a:avLst/>
        </a:prstGeom>
      </xdr:spPr>
    </xdr:pic>
    <xdr:clientData/>
  </xdr:twoCellAnchor>
  <xdr:twoCellAnchor editAs="oneCell">
    <xdr:from>
      <xdr:col>23</xdr:col>
      <xdr:colOff>266700</xdr:colOff>
      <xdr:row>22</xdr:row>
      <xdr:rowOff>28575</xdr:rowOff>
    </xdr:from>
    <xdr:to>
      <xdr:col>34</xdr:col>
      <xdr:colOff>84909</xdr:colOff>
      <xdr:row>23</xdr:row>
      <xdr:rowOff>152361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287500" y="4219575"/>
          <a:ext cx="6523809" cy="314286"/>
        </a:xfrm>
        <a:prstGeom prst="rect">
          <a:avLst/>
        </a:prstGeom>
      </xdr:spPr>
    </xdr:pic>
    <xdr:clientData/>
  </xdr:twoCellAnchor>
  <xdr:twoCellAnchor editAs="oneCell">
    <xdr:from>
      <xdr:col>12</xdr:col>
      <xdr:colOff>295275</xdr:colOff>
      <xdr:row>26</xdr:row>
      <xdr:rowOff>76200</xdr:rowOff>
    </xdr:from>
    <xdr:to>
      <xdr:col>23</xdr:col>
      <xdr:colOff>151580</xdr:colOff>
      <xdr:row>29</xdr:row>
      <xdr:rowOff>104700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10475" y="5029200"/>
          <a:ext cx="6561905" cy="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295275</xdr:colOff>
      <xdr:row>30</xdr:row>
      <xdr:rowOff>76200</xdr:rowOff>
    </xdr:from>
    <xdr:to>
      <xdr:col>23</xdr:col>
      <xdr:colOff>46818</xdr:colOff>
      <xdr:row>34</xdr:row>
      <xdr:rowOff>57057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10475" y="5791200"/>
          <a:ext cx="6457143" cy="742857"/>
        </a:xfrm>
        <a:prstGeom prst="rect">
          <a:avLst/>
        </a:prstGeom>
      </xdr:spPr>
    </xdr:pic>
    <xdr:clientData/>
  </xdr:twoCellAnchor>
  <xdr:twoCellAnchor editAs="oneCell">
    <xdr:from>
      <xdr:col>12</xdr:col>
      <xdr:colOff>523875</xdr:colOff>
      <xdr:row>19</xdr:row>
      <xdr:rowOff>104775</xdr:rowOff>
    </xdr:from>
    <xdr:to>
      <xdr:col>23</xdr:col>
      <xdr:colOff>351608</xdr:colOff>
      <xdr:row>21</xdr:row>
      <xdr:rowOff>104727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39075" y="3724275"/>
          <a:ext cx="6533333" cy="380952"/>
        </a:xfrm>
        <a:prstGeom prst="rect">
          <a:avLst/>
        </a:prstGeom>
      </xdr:spPr>
    </xdr:pic>
    <xdr:clientData/>
  </xdr:twoCellAnchor>
  <xdr:twoCellAnchor editAs="oneCell">
    <xdr:from>
      <xdr:col>12</xdr:col>
      <xdr:colOff>314325</xdr:colOff>
      <xdr:row>22</xdr:row>
      <xdr:rowOff>133350</xdr:rowOff>
    </xdr:from>
    <xdr:to>
      <xdr:col>23</xdr:col>
      <xdr:colOff>27773</xdr:colOff>
      <xdr:row>24</xdr:row>
      <xdr:rowOff>95207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629525" y="4324350"/>
          <a:ext cx="6419048" cy="3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0</xdr:row>
      <xdr:rowOff>0</xdr:rowOff>
    </xdr:from>
    <xdr:to>
      <xdr:col>11</xdr:col>
      <xdr:colOff>475433</xdr:colOff>
      <xdr:row>4</xdr:row>
      <xdr:rowOff>95143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7700" y="0"/>
          <a:ext cx="6533333" cy="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30</xdr:row>
      <xdr:rowOff>114300</xdr:rowOff>
    </xdr:from>
    <xdr:to>
      <xdr:col>4</xdr:col>
      <xdr:colOff>104571</xdr:colOff>
      <xdr:row>38</xdr:row>
      <xdr:rowOff>95062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4400" y="5829300"/>
          <a:ext cx="1628571" cy="150476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2</xdr:row>
      <xdr:rowOff>38100</xdr:rowOff>
    </xdr:from>
    <xdr:to>
      <xdr:col>10</xdr:col>
      <xdr:colOff>513607</xdr:colOff>
      <xdr:row>19</xdr:row>
      <xdr:rowOff>132933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0" y="419100"/>
          <a:ext cx="5942857" cy="3333333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1</xdr:row>
      <xdr:rowOff>114300</xdr:rowOff>
    </xdr:from>
    <xdr:to>
      <xdr:col>20</xdr:col>
      <xdr:colOff>265943</xdr:colOff>
      <xdr:row>38</xdr:row>
      <xdr:rowOff>151514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00800" y="304800"/>
          <a:ext cx="6057143" cy="7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21</xdr:row>
      <xdr:rowOff>95250</xdr:rowOff>
    </xdr:from>
    <xdr:to>
      <xdr:col>10</xdr:col>
      <xdr:colOff>389800</xdr:colOff>
      <xdr:row>41</xdr:row>
      <xdr:rowOff>47155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5800" y="4095750"/>
          <a:ext cx="5800000" cy="3761905"/>
        </a:xfrm>
        <a:prstGeom prst="rect">
          <a:avLst/>
        </a:prstGeom>
      </xdr:spPr>
    </xdr:pic>
    <xdr:clientData/>
  </xdr:twoCellAnchor>
  <xdr:twoCellAnchor editAs="oneCell">
    <xdr:from>
      <xdr:col>20</xdr:col>
      <xdr:colOff>571500</xdr:colOff>
      <xdr:row>1</xdr:row>
      <xdr:rowOff>180975</xdr:rowOff>
    </xdr:from>
    <xdr:to>
      <xdr:col>30</xdr:col>
      <xdr:colOff>589786</xdr:colOff>
      <xdr:row>21</xdr:row>
      <xdr:rowOff>28118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763500" y="371475"/>
          <a:ext cx="6114286" cy="3657143"/>
        </a:xfrm>
        <a:prstGeom prst="rect">
          <a:avLst/>
        </a:prstGeom>
      </xdr:spPr>
    </xdr:pic>
    <xdr:clientData/>
  </xdr:twoCellAnchor>
  <xdr:twoCellAnchor editAs="oneCell">
    <xdr:from>
      <xdr:col>20</xdr:col>
      <xdr:colOff>600075</xdr:colOff>
      <xdr:row>21</xdr:row>
      <xdr:rowOff>19050</xdr:rowOff>
    </xdr:from>
    <xdr:to>
      <xdr:col>30</xdr:col>
      <xdr:colOff>485027</xdr:colOff>
      <xdr:row>28</xdr:row>
      <xdr:rowOff>152217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792075" y="4019550"/>
          <a:ext cx="5980952" cy="1466667"/>
        </a:xfrm>
        <a:prstGeom prst="rect">
          <a:avLst/>
        </a:prstGeom>
      </xdr:spPr>
    </xdr:pic>
    <xdr:clientData/>
  </xdr:twoCellAnchor>
  <xdr:twoCellAnchor editAs="oneCell">
    <xdr:from>
      <xdr:col>21</xdr:col>
      <xdr:colOff>95250</xdr:colOff>
      <xdr:row>29</xdr:row>
      <xdr:rowOff>19050</xdr:rowOff>
    </xdr:from>
    <xdr:to>
      <xdr:col>30</xdr:col>
      <xdr:colOff>456469</xdr:colOff>
      <xdr:row>37</xdr:row>
      <xdr:rowOff>123621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896850" y="5543550"/>
          <a:ext cx="5847619" cy="1628571"/>
        </a:xfrm>
        <a:prstGeom prst="rect">
          <a:avLst/>
        </a:prstGeom>
      </xdr:spPr>
    </xdr:pic>
    <xdr:clientData/>
  </xdr:twoCellAnchor>
  <xdr:twoCellAnchor editAs="oneCell">
    <xdr:from>
      <xdr:col>21</xdr:col>
      <xdr:colOff>76200</xdr:colOff>
      <xdr:row>39</xdr:row>
      <xdr:rowOff>0</xdr:rowOff>
    </xdr:from>
    <xdr:to>
      <xdr:col>30</xdr:col>
      <xdr:colOff>542181</xdr:colOff>
      <xdr:row>48</xdr:row>
      <xdr:rowOff>171214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77800" y="7429500"/>
          <a:ext cx="5952381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42</xdr:row>
      <xdr:rowOff>66675</xdr:rowOff>
    </xdr:from>
    <xdr:to>
      <xdr:col>10</xdr:col>
      <xdr:colOff>218332</xdr:colOff>
      <xdr:row>53</xdr:row>
      <xdr:rowOff>123556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71475" y="8067675"/>
          <a:ext cx="5942857" cy="2152381"/>
        </a:xfrm>
        <a:prstGeom prst="rect">
          <a:avLst/>
        </a:prstGeom>
      </xdr:spPr>
    </xdr:pic>
    <xdr:clientData/>
  </xdr:twoCellAnchor>
  <xdr:twoCellAnchor editAs="oneCell">
    <xdr:from>
      <xdr:col>10</xdr:col>
      <xdr:colOff>523875</xdr:colOff>
      <xdr:row>39</xdr:row>
      <xdr:rowOff>57150</xdr:rowOff>
    </xdr:from>
    <xdr:to>
      <xdr:col>20</xdr:col>
      <xdr:colOff>408827</xdr:colOff>
      <xdr:row>56</xdr:row>
      <xdr:rowOff>123412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619875" y="7486650"/>
          <a:ext cx="5980952" cy="33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57</xdr:row>
      <xdr:rowOff>152400</xdr:rowOff>
    </xdr:from>
    <xdr:to>
      <xdr:col>11</xdr:col>
      <xdr:colOff>475492</xdr:colOff>
      <xdr:row>66</xdr:row>
      <xdr:rowOff>85519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4425" y="11010900"/>
          <a:ext cx="6066667" cy="16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467591</xdr:colOff>
      <xdr:row>68</xdr:row>
      <xdr:rowOff>69273</xdr:rowOff>
    </xdr:from>
    <xdr:to>
      <xdr:col>10</xdr:col>
      <xdr:colOff>317911</xdr:colOff>
      <xdr:row>106</xdr:row>
      <xdr:rowOff>135035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7591" y="13023273"/>
          <a:ext cx="5911684" cy="7304762"/>
        </a:xfrm>
        <a:prstGeom prst="rect">
          <a:avLst/>
        </a:prstGeom>
      </xdr:spPr>
    </xdr:pic>
    <xdr:clientData/>
  </xdr:twoCellAnchor>
  <xdr:twoCellAnchor editAs="oneCell">
    <xdr:from>
      <xdr:col>10</xdr:col>
      <xdr:colOff>514350</xdr:colOff>
      <xdr:row>68</xdr:row>
      <xdr:rowOff>142875</xdr:rowOff>
    </xdr:from>
    <xdr:to>
      <xdr:col>17</xdr:col>
      <xdr:colOff>561436</xdr:colOff>
      <xdr:row>83</xdr:row>
      <xdr:rowOff>85375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10350" y="13096875"/>
          <a:ext cx="4314286" cy="2800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304800</xdr:colOff>
      <xdr:row>3</xdr:row>
      <xdr:rowOff>142875</xdr:rowOff>
    </xdr:from>
    <xdr:to>
      <xdr:col>7</xdr:col>
      <xdr:colOff>218705</xdr:colOff>
      <xdr:row>24</xdr:row>
      <xdr:rowOff>56661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0" y="714375"/>
          <a:ext cx="2961905" cy="3914286"/>
        </a:xfrm>
        <a:prstGeom prst="rect">
          <a:avLst/>
        </a:prstGeom>
      </xdr:spPr>
    </xdr:pic>
    <xdr:clientData/>
  </xdr:twoCellAnchor>
  <xdr:twoCellAnchor editAs="oneCell">
    <xdr:from>
      <xdr:col>22</xdr:col>
      <xdr:colOff>52584</xdr:colOff>
      <xdr:row>4</xdr:row>
      <xdr:rowOff>185546</xdr:rowOff>
    </xdr:from>
    <xdr:to>
      <xdr:col>36</xdr:col>
      <xdr:colOff>270565</xdr:colOff>
      <xdr:row>34</xdr:row>
      <xdr:rowOff>146736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5001880" y="-590550"/>
          <a:ext cx="5676190" cy="8752381"/>
        </a:xfrm>
        <a:prstGeom prst="rect">
          <a:avLst/>
        </a:prstGeom>
      </xdr:spPr>
    </xdr:pic>
    <xdr:clientData/>
  </xdr:twoCellAnchor>
  <xdr:twoCellAnchor editAs="oneCell">
    <xdr:from>
      <xdr:col>7</xdr:col>
      <xdr:colOff>238125</xdr:colOff>
      <xdr:row>4</xdr:row>
      <xdr:rowOff>19050</xdr:rowOff>
    </xdr:from>
    <xdr:to>
      <xdr:col>15</xdr:col>
      <xdr:colOff>580373</xdr:colOff>
      <xdr:row>24</xdr:row>
      <xdr:rowOff>28098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05325" y="781050"/>
          <a:ext cx="5219048" cy="3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25</xdr:row>
      <xdr:rowOff>123825</xdr:rowOff>
    </xdr:from>
    <xdr:to>
      <xdr:col>14</xdr:col>
      <xdr:colOff>484777</xdr:colOff>
      <xdr:row>54</xdr:row>
      <xdr:rowOff>151706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8225" y="4886325"/>
          <a:ext cx="7980952" cy="5552381"/>
        </a:xfrm>
        <a:prstGeom prst="rect">
          <a:avLst/>
        </a:prstGeom>
      </xdr:spPr>
    </xdr:pic>
    <xdr:clientData/>
  </xdr:twoCellAnchor>
  <xdr:twoCellAnchor editAs="oneCell">
    <xdr:from>
      <xdr:col>15</xdr:col>
      <xdr:colOff>219075</xdr:colOff>
      <xdr:row>34</xdr:row>
      <xdr:rowOff>85725</xdr:rowOff>
    </xdr:from>
    <xdr:to>
      <xdr:col>24</xdr:col>
      <xdr:colOff>208865</xdr:colOff>
      <xdr:row>50</xdr:row>
      <xdr:rowOff>18677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63075" y="6562725"/>
          <a:ext cx="5476190" cy="2980952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357187</xdr:colOff>
      <xdr:row>59</xdr:row>
      <xdr:rowOff>23812</xdr:rowOff>
    </xdr:from>
    <xdr:to>
      <xdr:col>12</xdr:col>
      <xdr:colOff>118405</xdr:colOff>
      <xdr:row>67</xdr:row>
      <xdr:rowOff>99812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14562" y="11263312"/>
          <a:ext cx="5333343" cy="1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100013</xdr:colOff>
      <xdr:row>55</xdr:row>
      <xdr:rowOff>123825</xdr:rowOff>
    </xdr:from>
    <xdr:to>
      <xdr:col>22</xdr:col>
      <xdr:colOff>223061</xdr:colOff>
      <xdr:row>71</xdr:row>
      <xdr:rowOff>75825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5213" y="10601325"/>
          <a:ext cx="6219048" cy="3000000"/>
        </a:xfrm>
        <a:prstGeom prst="rect">
          <a:avLst/>
        </a:prstGeom>
      </xdr:spPr>
    </xdr:pic>
    <xdr:clientData/>
  </xdr:twoCellAnchor>
  <xdr:twoCellAnchor editAs="oneCell">
    <xdr:from>
      <xdr:col>36</xdr:col>
      <xdr:colOff>391206</xdr:colOff>
      <xdr:row>8</xdr:row>
      <xdr:rowOff>88447</xdr:rowOff>
    </xdr:from>
    <xdr:to>
      <xdr:col>43</xdr:col>
      <xdr:colOff>35570</xdr:colOff>
      <xdr:row>27</xdr:row>
      <xdr:rowOff>126090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434777" y="1612447"/>
          <a:ext cx="3930614" cy="3657143"/>
        </a:xfrm>
        <a:prstGeom prst="rect">
          <a:avLst/>
        </a:prstGeom>
      </xdr:spPr>
    </xdr:pic>
    <xdr:clientData/>
  </xdr:twoCellAnchor>
  <xdr:twoCellAnchor editAs="oneCell">
    <xdr:from>
      <xdr:col>15</xdr:col>
      <xdr:colOff>595505</xdr:colOff>
      <xdr:row>4</xdr:row>
      <xdr:rowOff>166496</xdr:rowOff>
    </xdr:from>
    <xdr:to>
      <xdr:col>22</xdr:col>
      <xdr:colOff>80686</xdr:colOff>
      <xdr:row>24</xdr:row>
      <xdr:rowOff>4115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739505" y="928496"/>
          <a:ext cx="3752381" cy="3647619"/>
        </a:xfrm>
        <a:prstGeom prst="rect">
          <a:avLst/>
        </a:prstGeom>
      </xdr:spPr>
    </xdr:pic>
    <xdr:clientData/>
  </xdr:twoCellAnchor>
  <xdr:twoCellAnchor editAs="oneCell">
    <xdr:from>
      <xdr:col>24</xdr:col>
      <xdr:colOff>561975</xdr:colOff>
      <xdr:row>36</xdr:row>
      <xdr:rowOff>28575</xdr:rowOff>
    </xdr:from>
    <xdr:to>
      <xdr:col>32</xdr:col>
      <xdr:colOff>494699</xdr:colOff>
      <xdr:row>59</xdr:row>
      <xdr:rowOff>47075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192375" y="6886575"/>
          <a:ext cx="4809524" cy="440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219075</xdr:colOff>
      <xdr:row>59</xdr:row>
      <xdr:rowOff>0</xdr:rowOff>
    </xdr:from>
    <xdr:to>
      <xdr:col>33</xdr:col>
      <xdr:colOff>608942</xdr:colOff>
      <xdr:row>65</xdr:row>
      <xdr:rowOff>190333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459075" y="11239500"/>
          <a:ext cx="5266667" cy="1333333"/>
        </a:xfrm>
        <a:prstGeom prst="rect">
          <a:avLst/>
        </a:prstGeom>
      </xdr:spPr>
    </xdr:pic>
    <xdr:clientData/>
  </xdr:twoCellAnchor>
  <xdr:twoCellAnchor editAs="oneCell">
    <xdr:from>
      <xdr:col>26</xdr:col>
      <xdr:colOff>142875</xdr:colOff>
      <xdr:row>67</xdr:row>
      <xdr:rowOff>142875</xdr:rowOff>
    </xdr:from>
    <xdr:to>
      <xdr:col>31</xdr:col>
      <xdr:colOff>37732</xdr:colOff>
      <xdr:row>80</xdr:row>
      <xdr:rowOff>28280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992475" y="12906375"/>
          <a:ext cx="2942857" cy="2361905"/>
        </a:xfrm>
        <a:prstGeom prst="rect">
          <a:avLst/>
        </a:prstGeom>
      </xdr:spPr>
    </xdr:pic>
    <xdr:clientData/>
  </xdr:twoCellAnchor>
  <xdr:twoCellAnchor editAs="oneCell">
    <xdr:from>
      <xdr:col>31</xdr:col>
      <xdr:colOff>100853</xdr:colOff>
      <xdr:row>67</xdr:row>
      <xdr:rowOff>134471</xdr:rowOff>
    </xdr:from>
    <xdr:to>
      <xdr:col>37</xdr:col>
      <xdr:colOff>241576</xdr:colOff>
      <xdr:row>84</xdr:row>
      <xdr:rowOff>733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859500" y="12897971"/>
          <a:ext cx="3771429" cy="3104762"/>
        </a:xfrm>
        <a:prstGeom prst="rect">
          <a:avLst/>
        </a:prstGeom>
      </xdr:spPr>
    </xdr:pic>
    <xdr:clientData/>
  </xdr:twoCellAnchor>
  <xdr:twoCellAnchor editAs="oneCell">
    <xdr:from>
      <xdr:col>34</xdr:col>
      <xdr:colOff>347382</xdr:colOff>
      <xdr:row>61</xdr:row>
      <xdr:rowOff>22412</xdr:rowOff>
    </xdr:from>
    <xdr:to>
      <xdr:col>43</xdr:col>
      <xdr:colOff>120371</xdr:colOff>
      <xdr:row>66</xdr:row>
      <xdr:rowOff>50864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921382" y="11642912"/>
          <a:ext cx="5219048" cy="98095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285617</xdr:colOff>
      <xdr:row>0</xdr:row>
      <xdr:rowOff>152370</xdr:rowOff>
    </xdr:from>
    <xdr:to>
      <xdr:col>15</xdr:col>
      <xdr:colOff>587357</xdr:colOff>
      <xdr:row>3</xdr:row>
      <xdr:rowOff>44821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1146" y="152370"/>
          <a:ext cx="5815035" cy="452745"/>
        </a:xfrm>
        <a:prstGeom prst="rect">
          <a:avLst/>
        </a:prstGeom>
      </xdr:spPr>
    </xdr:pic>
    <xdr:clientData/>
  </xdr:twoCellAnchor>
  <xdr:twoCellAnchor editAs="oneCell">
    <xdr:from>
      <xdr:col>6</xdr:col>
      <xdr:colOff>293900</xdr:colOff>
      <xdr:row>4</xdr:row>
      <xdr:rowOff>35417</xdr:rowOff>
    </xdr:from>
    <xdr:to>
      <xdr:col>14</xdr:col>
      <xdr:colOff>355225</xdr:colOff>
      <xdr:row>5</xdr:row>
      <xdr:rowOff>163865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69429" y="782476"/>
          <a:ext cx="4962031" cy="315213"/>
        </a:xfrm>
        <a:prstGeom prst="rect">
          <a:avLst/>
        </a:prstGeom>
      </xdr:spPr>
    </xdr:pic>
    <xdr:clientData/>
  </xdr:twoCellAnchor>
  <xdr:twoCellAnchor editAs="oneCell">
    <xdr:from>
      <xdr:col>6</xdr:col>
      <xdr:colOff>271487</xdr:colOff>
      <xdr:row>6</xdr:row>
      <xdr:rowOff>23281</xdr:rowOff>
    </xdr:from>
    <xdr:to>
      <xdr:col>14</xdr:col>
      <xdr:colOff>583420</xdr:colOff>
      <xdr:row>13</xdr:row>
      <xdr:rowOff>113852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47016" y="1143869"/>
          <a:ext cx="5212639" cy="1397924"/>
        </a:xfrm>
        <a:prstGeom prst="rect">
          <a:avLst/>
        </a:prstGeom>
      </xdr:spPr>
    </xdr:pic>
    <xdr:clientData/>
  </xdr:twoCellAnchor>
  <xdr:twoCellAnchor editAs="oneCell">
    <xdr:from>
      <xdr:col>0</xdr:col>
      <xdr:colOff>40231</xdr:colOff>
      <xdr:row>0</xdr:row>
      <xdr:rowOff>0</xdr:rowOff>
    </xdr:from>
    <xdr:to>
      <xdr:col>6</xdr:col>
      <xdr:colOff>156785</xdr:colOff>
      <xdr:row>28</xdr:row>
      <xdr:rowOff>55612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231" y="0"/>
          <a:ext cx="3768578" cy="5389612"/>
        </a:xfrm>
        <a:prstGeom prst="rect">
          <a:avLst/>
        </a:prstGeom>
      </xdr:spPr>
    </xdr:pic>
    <xdr:clientData/>
  </xdr:twoCellAnchor>
  <xdr:twoCellAnchor editAs="oneCell">
    <xdr:from>
      <xdr:col>0</xdr:col>
      <xdr:colOff>95700</xdr:colOff>
      <xdr:row>28</xdr:row>
      <xdr:rowOff>47626</xdr:rowOff>
    </xdr:from>
    <xdr:to>
      <xdr:col>6</xdr:col>
      <xdr:colOff>218100</xdr:colOff>
      <xdr:row>29</xdr:row>
      <xdr:rowOff>72390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7214" t="1384"/>
        <a:stretch/>
      </xdr:blipFill>
      <xdr:spPr>
        <a:xfrm>
          <a:off x="95700" y="5229226"/>
          <a:ext cx="3780000" cy="209821"/>
        </a:xfrm>
        <a:prstGeom prst="rect">
          <a:avLst/>
        </a:prstGeom>
      </xdr:spPr>
    </xdr:pic>
    <xdr:clientData/>
  </xdr:twoCellAnchor>
  <xdr:twoCellAnchor editAs="oneCell">
    <xdr:from>
      <xdr:col>6</xdr:col>
      <xdr:colOff>352690</xdr:colOff>
      <xdr:row>14</xdr:row>
      <xdr:rowOff>88070</xdr:rowOff>
    </xdr:from>
    <xdr:to>
      <xdr:col>14</xdr:col>
      <xdr:colOff>309253</xdr:colOff>
      <xdr:row>17</xdr:row>
      <xdr:rowOff>146064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28219" y="2702776"/>
          <a:ext cx="4857269" cy="618288"/>
        </a:xfrm>
        <a:prstGeom prst="rect">
          <a:avLst/>
        </a:prstGeom>
      </xdr:spPr>
    </xdr:pic>
    <xdr:clientData/>
  </xdr:twoCellAnchor>
  <xdr:twoCellAnchor editAs="oneCell">
    <xdr:from>
      <xdr:col>6</xdr:col>
      <xdr:colOff>331304</xdr:colOff>
      <xdr:row>18</xdr:row>
      <xdr:rowOff>132521</xdr:rowOff>
    </xdr:from>
    <xdr:to>
      <xdr:col>19</xdr:col>
      <xdr:colOff>322104</xdr:colOff>
      <xdr:row>20</xdr:row>
      <xdr:rowOff>140804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08782" y="3561521"/>
          <a:ext cx="7958670" cy="389283"/>
        </a:xfrm>
        <a:prstGeom prst="rect">
          <a:avLst/>
        </a:prstGeom>
      </xdr:spPr>
    </xdr:pic>
    <xdr:clientData/>
  </xdr:twoCellAnchor>
  <xdr:twoCellAnchor editAs="oneCell">
    <xdr:from>
      <xdr:col>6</xdr:col>
      <xdr:colOff>298174</xdr:colOff>
      <xdr:row>22</xdr:row>
      <xdr:rowOff>74544</xdr:rowOff>
    </xdr:from>
    <xdr:to>
      <xdr:col>15</xdr:col>
      <xdr:colOff>610527</xdr:colOff>
      <xdr:row>26</xdr:row>
      <xdr:rowOff>160163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975652" y="4265544"/>
          <a:ext cx="5828571" cy="847619"/>
        </a:xfrm>
        <a:prstGeom prst="rect">
          <a:avLst/>
        </a:prstGeom>
      </xdr:spPr>
    </xdr:pic>
    <xdr:clientData/>
  </xdr:twoCellAnchor>
  <xdr:twoCellAnchor editAs="oneCell">
    <xdr:from>
      <xdr:col>6</xdr:col>
      <xdr:colOff>414130</xdr:colOff>
      <xdr:row>27</xdr:row>
      <xdr:rowOff>91109</xdr:rowOff>
    </xdr:from>
    <xdr:to>
      <xdr:col>15</xdr:col>
      <xdr:colOff>221721</xdr:colOff>
      <xdr:row>47</xdr:row>
      <xdr:rowOff>62061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91608" y="5234609"/>
          <a:ext cx="5323809" cy="3780952"/>
        </a:xfrm>
        <a:prstGeom prst="rect">
          <a:avLst/>
        </a:prstGeom>
      </xdr:spPr>
    </xdr:pic>
    <xdr:clientData/>
  </xdr:twoCellAnchor>
  <xdr:twoCellAnchor editAs="oneCell">
    <xdr:from>
      <xdr:col>15</xdr:col>
      <xdr:colOff>596348</xdr:colOff>
      <xdr:row>22</xdr:row>
      <xdr:rowOff>33130</xdr:rowOff>
    </xdr:from>
    <xdr:to>
      <xdr:col>25</xdr:col>
      <xdr:colOff>276742</xdr:colOff>
      <xdr:row>28</xdr:row>
      <xdr:rowOff>23463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90044" y="4224130"/>
          <a:ext cx="5809524" cy="11333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415822</xdr:colOff>
      <xdr:row>6</xdr:row>
      <xdr:rowOff>45995</xdr:rowOff>
    </xdr:from>
    <xdr:to>
      <xdr:col>14</xdr:col>
      <xdr:colOff>26876</xdr:colOff>
      <xdr:row>34</xdr:row>
      <xdr:rowOff>73057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905000" y="-334819"/>
          <a:ext cx="5199425" cy="8177781"/>
        </a:xfrm>
        <a:prstGeom prst="rect">
          <a:avLst/>
        </a:prstGeom>
      </xdr:spPr>
    </xdr:pic>
    <xdr:clientData/>
  </xdr:twoCellAnchor>
  <xdr:twoCellAnchor editAs="oneCell">
    <xdr:from>
      <xdr:col>13</xdr:col>
      <xdr:colOff>500530</xdr:colOff>
      <xdr:row>9</xdr:row>
      <xdr:rowOff>44824</xdr:rowOff>
    </xdr:from>
    <xdr:to>
      <xdr:col>23</xdr:col>
      <xdr:colOff>79410</xdr:colOff>
      <xdr:row>30</xdr:row>
      <xdr:rowOff>132289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64177" y="1725706"/>
          <a:ext cx="5704762" cy="4009524"/>
        </a:xfrm>
        <a:prstGeom prst="rect">
          <a:avLst/>
        </a:prstGeom>
      </xdr:spPr>
    </xdr:pic>
    <xdr:clientData/>
  </xdr:twoCellAnchor>
  <xdr:twoCellAnchor editAs="oneCell">
    <xdr:from>
      <xdr:col>22</xdr:col>
      <xdr:colOff>381000</xdr:colOff>
      <xdr:row>9</xdr:row>
      <xdr:rowOff>36286</xdr:rowOff>
    </xdr:from>
    <xdr:to>
      <xdr:col>29</xdr:col>
      <xdr:colOff>145548</xdr:colOff>
      <xdr:row>28</xdr:row>
      <xdr:rowOff>132000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52286" y="1669143"/>
          <a:ext cx="4019048" cy="3542857"/>
        </a:xfrm>
        <a:prstGeom prst="rect">
          <a:avLst/>
        </a:prstGeom>
      </xdr:spPr>
    </xdr:pic>
    <xdr:clientData/>
  </xdr:twoCellAnchor>
  <xdr:twoCellAnchor editAs="oneCell">
    <xdr:from>
      <xdr:col>22</xdr:col>
      <xdr:colOff>369455</xdr:colOff>
      <xdr:row>27</xdr:row>
      <xdr:rowOff>141432</xdr:rowOff>
    </xdr:from>
    <xdr:to>
      <xdr:col>33</xdr:col>
      <xdr:colOff>147260</xdr:colOff>
      <xdr:row>47</xdr:row>
      <xdr:rowOff>125098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31455" y="5129068"/>
          <a:ext cx="6508805" cy="3678212"/>
        </a:xfrm>
        <a:prstGeom prst="rect">
          <a:avLst/>
        </a:prstGeom>
      </xdr:spPr>
    </xdr:pic>
    <xdr:clientData/>
  </xdr:twoCellAnchor>
  <xdr:twoCellAnchor editAs="oneCell">
    <xdr:from>
      <xdr:col>33</xdr:col>
      <xdr:colOff>558800</xdr:colOff>
      <xdr:row>5</xdr:row>
      <xdr:rowOff>127000</xdr:rowOff>
    </xdr:from>
    <xdr:to>
      <xdr:col>44</xdr:col>
      <xdr:colOff>53200</xdr:colOff>
      <xdr:row>33</xdr:row>
      <xdr:rowOff>177171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75600" y="1016000"/>
          <a:ext cx="6200000" cy="5028571"/>
        </a:xfrm>
        <a:prstGeom prst="rect">
          <a:avLst/>
        </a:prstGeom>
      </xdr:spPr>
    </xdr:pic>
    <xdr:clientData/>
  </xdr:twoCellAnchor>
  <xdr:twoCellAnchor editAs="oneCell">
    <xdr:from>
      <xdr:col>28</xdr:col>
      <xdr:colOff>482600</xdr:colOff>
      <xdr:row>11</xdr:row>
      <xdr:rowOff>107950</xdr:rowOff>
    </xdr:from>
    <xdr:to>
      <xdr:col>35</xdr:col>
      <xdr:colOff>186829</xdr:colOff>
      <xdr:row>14</xdr:row>
      <xdr:rowOff>69786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51400" y="2133600"/>
          <a:ext cx="3971429" cy="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491937</xdr:colOff>
      <xdr:row>35</xdr:row>
      <xdr:rowOff>107799</xdr:rowOff>
    </xdr:from>
    <xdr:to>
      <xdr:col>10</xdr:col>
      <xdr:colOff>141833</xdr:colOff>
      <xdr:row>41</xdr:row>
      <xdr:rowOff>50080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1937" y="6573254"/>
          <a:ext cx="5768987" cy="1050644"/>
        </a:xfrm>
        <a:prstGeom prst="rect">
          <a:avLst/>
        </a:prstGeom>
      </xdr:spPr>
    </xdr:pic>
    <xdr:clientData/>
  </xdr:twoCellAnchor>
  <xdr:twoCellAnchor editAs="oneCell">
    <xdr:from>
      <xdr:col>11</xdr:col>
      <xdr:colOff>173181</xdr:colOff>
      <xdr:row>37</xdr:row>
      <xdr:rowOff>11546</xdr:rowOff>
    </xdr:from>
    <xdr:to>
      <xdr:col>20</xdr:col>
      <xdr:colOff>446951</xdr:colOff>
      <xdr:row>48</xdr:row>
      <xdr:rowOff>8117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04181" y="6846455"/>
          <a:ext cx="5780952" cy="20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294409</xdr:colOff>
      <xdr:row>42</xdr:row>
      <xdr:rowOff>86591</xdr:rowOff>
    </xdr:from>
    <xdr:to>
      <xdr:col>10</xdr:col>
      <xdr:colOff>147331</xdr:colOff>
      <xdr:row>59</xdr:row>
      <xdr:rowOff>38567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4409" y="8087591"/>
          <a:ext cx="5914286" cy="3190476"/>
        </a:xfrm>
        <a:prstGeom prst="rect">
          <a:avLst/>
        </a:prstGeom>
      </xdr:spPr>
    </xdr:pic>
    <xdr:clientData/>
  </xdr:twoCellAnchor>
  <xdr:twoCellAnchor editAs="oneCell">
    <xdr:from>
      <xdr:col>11</xdr:col>
      <xdr:colOff>272142</xdr:colOff>
      <xdr:row>52</xdr:row>
      <xdr:rowOff>54428</xdr:rowOff>
    </xdr:from>
    <xdr:to>
      <xdr:col>20</xdr:col>
      <xdr:colOff>513630</xdr:colOff>
      <xdr:row>57</xdr:row>
      <xdr:rowOff>101928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07678" y="9960428"/>
          <a:ext cx="5752381" cy="10000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122464</xdr:colOff>
      <xdr:row>50</xdr:row>
      <xdr:rowOff>149679</xdr:rowOff>
    </xdr:from>
    <xdr:to>
      <xdr:col>31</xdr:col>
      <xdr:colOff>430619</xdr:colOff>
      <xdr:row>65</xdr:row>
      <xdr:rowOff>92179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593535" y="9674679"/>
          <a:ext cx="5819048" cy="2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353786</xdr:colOff>
      <xdr:row>60</xdr:row>
      <xdr:rowOff>81643</xdr:rowOff>
    </xdr:from>
    <xdr:to>
      <xdr:col>13</xdr:col>
      <xdr:colOff>174559</xdr:colOff>
      <xdr:row>89</xdr:row>
      <xdr:rowOff>33333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3786" y="11511643"/>
          <a:ext cx="7780952" cy="54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89</xdr:row>
      <xdr:rowOff>122464</xdr:rowOff>
    </xdr:from>
    <xdr:to>
      <xdr:col>13</xdr:col>
      <xdr:colOff>471131</xdr:colOff>
      <xdr:row>117</xdr:row>
      <xdr:rowOff>7512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6072" y="17076964"/>
          <a:ext cx="8295238" cy="52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117</xdr:row>
      <xdr:rowOff>40821</xdr:rowOff>
    </xdr:from>
    <xdr:to>
      <xdr:col>13</xdr:col>
      <xdr:colOff>514654</xdr:colOff>
      <xdr:row>144</xdr:row>
      <xdr:rowOff>116369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214" y="22329321"/>
          <a:ext cx="8447619" cy="52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163286</xdr:rowOff>
    </xdr:from>
    <xdr:to>
      <xdr:col>13</xdr:col>
      <xdr:colOff>563630</xdr:colOff>
      <xdr:row>154</xdr:row>
      <xdr:rowOff>20191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7595286"/>
          <a:ext cx="8523809" cy="1761905"/>
        </a:xfrm>
        <a:prstGeom prst="rect">
          <a:avLst/>
        </a:prstGeom>
      </xdr:spPr>
    </xdr:pic>
    <xdr:clientData/>
  </xdr:twoCellAnchor>
  <xdr:twoCellAnchor editAs="oneCell">
    <xdr:from>
      <xdr:col>13</xdr:col>
      <xdr:colOff>557892</xdr:colOff>
      <xdr:row>68</xdr:row>
      <xdr:rowOff>81643</xdr:rowOff>
    </xdr:from>
    <xdr:to>
      <xdr:col>24</xdr:col>
      <xdr:colOff>41405</xdr:colOff>
      <xdr:row>72</xdr:row>
      <xdr:rowOff>138691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518071" y="13035643"/>
          <a:ext cx="6219048" cy="819048"/>
        </a:xfrm>
        <a:prstGeom prst="rect">
          <a:avLst/>
        </a:prstGeom>
      </xdr:spPr>
    </xdr:pic>
    <xdr:clientData/>
  </xdr:twoCellAnchor>
  <xdr:twoCellAnchor editAs="oneCell">
    <xdr:from>
      <xdr:col>14</xdr:col>
      <xdr:colOff>40821</xdr:colOff>
      <xdr:row>73</xdr:row>
      <xdr:rowOff>136071</xdr:rowOff>
    </xdr:from>
    <xdr:to>
      <xdr:col>23</xdr:col>
      <xdr:colOff>377547</xdr:colOff>
      <xdr:row>78</xdr:row>
      <xdr:rowOff>145476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13321" y="14042571"/>
          <a:ext cx="5847619" cy="961905"/>
        </a:xfrm>
        <a:prstGeom prst="rect">
          <a:avLst/>
        </a:prstGeom>
      </xdr:spPr>
    </xdr:pic>
    <xdr:clientData/>
  </xdr:twoCellAnchor>
  <xdr:twoCellAnchor editAs="oneCell">
    <xdr:from>
      <xdr:col>24</xdr:col>
      <xdr:colOff>476251</xdr:colOff>
      <xdr:row>67</xdr:row>
      <xdr:rowOff>163285</xdr:rowOff>
    </xdr:from>
    <xdr:to>
      <xdr:col>32</xdr:col>
      <xdr:colOff>187203</xdr:colOff>
      <xdr:row>91</xdr:row>
      <xdr:rowOff>143666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171965" y="12926785"/>
          <a:ext cx="4609524" cy="4552381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95251</xdr:colOff>
      <xdr:row>79</xdr:row>
      <xdr:rowOff>136071</xdr:rowOff>
    </xdr:from>
    <xdr:to>
      <xdr:col>21</xdr:col>
      <xdr:colOff>313763</xdr:colOff>
      <xdr:row>100</xdr:row>
      <xdr:rowOff>11761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667751" y="15185571"/>
          <a:ext cx="4504762" cy="38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217714</xdr:colOff>
      <xdr:row>58</xdr:row>
      <xdr:rowOff>81642</xdr:rowOff>
    </xdr:from>
    <xdr:to>
      <xdr:col>21</xdr:col>
      <xdr:colOff>167287</xdr:colOff>
      <xdr:row>66</xdr:row>
      <xdr:rowOff>27213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953250" y="11130642"/>
          <a:ext cx="6072787" cy="146957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590550</xdr:colOff>
      <xdr:row>2</xdr:row>
      <xdr:rowOff>101600</xdr:rowOff>
    </xdr:from>
    <xdr:to>
      <xdr:col>12</xdr:col>
      <xdr:colOff>313445</xdr:colOff>
      <xdr:row>19</xdr:row>
      <xdr:rowOff>123431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550" y="469900"/>
          <a:ext cx="7038095" cy="31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20</xdr:row>
      <xdr:rowOff>27214</xdr:rowOff>
    </xdr:from>
    <xdr:to>
      <xdr:col>12</xdr:col>
      <xdr:colOff>253590</xdr:colOff>
      <xdr:row>30</xdr:row>
      <xdr:rowOff>128571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2214" y="3655785"/>
          <a:ext cx="6884805" cy="1915643"/>
        </a:xfrm>
        <a:prstGeom prst="rect">
          <a:avLst/>
        </a:prstGeom>
      </xdr:spPr>
    </xdr:pic>
    <xdr:clientData/>
  </xdr:twoCellAnchor>
  <xdr:twoCellAnchor editAs="oneCell">
    <xdr:from>
      <xdr:col>12</xdr:col>
      <xdr:colOff>342900</xdr:colOff>
      <xdr:row>3</xdr:row>
      <xdr:rowOff>139700</xdr:rowOff>
    </xdr:from>
    <xdr:to>
      <xdr:col>18</xdr:col>
      <xdr:colOff>123395</xdr:colOff>
      <xdr:row>11</xdr:row>
      <xdr:rowOff>104595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58100" y="692150"/>
          <a:ext cx="3438095" cy="1438095"/>
        </a:xfrm>
        <a:prstGeom prst="rect">
          <a:avLst/>
        </a:prstGeom>
      </xdr:spPr>
    </xdr:pic>
    <xdr:clientData/>
  </xdr:twoCellAnchor>
  <xdr:twoCellAnchor editAs="oneCell">
    <xdr:from>
      <xdr:col>12</xdr:col>
      <xdr:colOff>438150</xdr:colOff>
      <xdr:row>11</xdr:row>
      <xdr:rowOff>146050</xdr:rowOff>
    </xdr:from>
    <xdr:to>
      <xdr:col>23</xdr:col>
      <xdr:colOff>256359</xdr:colOff>
      <xdr:row>21</xdr:row>
      <xdr:rowOff>66455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53350" y="2171700"/>
          <a:ext cx="6523809" cy="176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428625</xdr:colOff>
      <xdr:row>21</xdr:row>
      <xdr:rowOff>174625</xdr:rowOff>
    </xdr:from>
    <xdr:to>
      <xdr:col>23</xdr:col>
      <xdr:colOff>535732</xdr:colOff>
      <xdr:row>48</xdr:row>
      <xdr:rowOff>12077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67625" y="4175125"/>
          <a:ext cx="6742857" cy="49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517552</xdr:colOff>
      <xdr:row>31</xdr:row>
      <xdr:rowOff>108857</xdr:rowOff>
    </xdr:from>
    <xdr:to>
      <xdr:col>6</xdr:col>
      <xdr:colOff>291056</xdr:colOff>
      <xdr:row>38</xdr:row>
      <xdr:rowOff>71511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552" y="6014357"/>
          <a:ext cx="3447433" cy="1296154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50</xdr:row>
      <xdr:rowOff>45010</xdr:rowOff>
    </xdr:from>
    <xdr:to>
      <xdr:col>13</xdr:col>
      <xdr:colOff>298405</xdr:colOff>
      <xdr:row>65</xdr:row>
      <xdr:rowOff>120843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857" y="9570010"/>
          <a:ext cx="8149727" cy="2933333"/>
        </a:xfrm>
        <a:prstGeom prst="rect">
          <a:avLst/>
        </a:prstGeom>
      </xdr:spPr>
    </xdr:pic>
    <xdr:clientData/>
  </xdr:twoCellAnchor>
  <xdr:twoCellAnchor editAs="oneCell">
    <xdr:from>
      <xdr:col>13</xdr:col>
      <xdr:colOff>393005</xdr:colOff>
      <xdr:row>49</xdr:row>
      <xdr:rowOff>45811</xdr:rowOff>
    </xdr:from>
    <xdr:to>
      <xdr:col>27</xdr:col>
      <xdr:colOff>306641</xdr:colOff>
      <xdr:row>67</xdr:row>
      <xdr:rowOff>153342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3184" y="9380311"/>
          <a:ext cx="8486136" cy="3536531"/>
        </a:xfrm>
        <a:prstGeom prst="rect">
          <a:avLst/>
        </a:prstGeom>
      </xdr:spPr>
    </xdr:pic>
    <xdr:clientData/>
  </xdr:twoCellAnchor>
  <xdr:twoCellAnchor editAs="oneCell">
    <xdr:from>
      <xdr:col>0</xdr:col>
      <xdr:colOff>497061</xdr:colOff>
      <xdr:row>68</xdr:row>
      <xdr:rowOff>49814</xdr:rowOff>
    </xdr:from>
    <xdr:to>
      <xdr:col>19</xdr:col>
      <xdr:colOff>331073</xdr:colOff>
      <xdr:row>84</xdr:row>
      <xdr:rowOff>20862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7061" y="13003814"/>
          <a:ext cx="11468119" cy="30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544285</xdr:colOff>
      <xdr:row>84</xdr:row>
      <xdr:rowOff>40821</xdr:rowOff>
    </xdr:from>
    <xdr:to>
      <xdr:col>10</xdr:col>
      <xdr:colOff>525833</xdr:colOff>
      <xdr:row>106</xdr:row>
      <xdr:rowOff>164107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4285" y="16042821"/>
          <a:ext cx="6104762" cy="4314286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544285</xdr:colOff>
      <xdr:row>90</xdr:row>
      <xdr:rowOff>13607</xdr:rowOff>
    </xdr:from>
    <xdr:to>
      <xdr:col>22</xdr:col>
      <xdr:colOff>24999</xdr:colOff>
      <xdr:row>114</xdr:row>
      <xdr:rowOff>127321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67499" y="17158607"/>
          <a:ext cx="6828571" cy="4685714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544285</xdr:colOff>
      <xdr:row>84</xdr:row>
      <xdr:rowOff>95250</xdr:rowOff>
    </xdr:from>
    <xdr:to>
      <xdr:col>21</xdr:col>
      <xdr:colOff>27797</xdr:colOff>
      <xdr:row>90</xdr:row>
      <xdr:rowOff>114155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67499" y="16097250"/>
          <a:ext cx="6219048" cy="1161905"/>
        </a:xfrm>
        <a:prstGeom prst="rect">
          <a:avLst/>
        </a:prstGeom>
      </xdr:spPr>
    </xdr:pic>
    <xdr:clientData/>
  </xdr:twoCellAnchor>
  <xdr:twoCellAnchor editAs="oneCell">
    <xdr:from>
      <xdr:col>23</xdr:col>
      <xdr:colOff>585107</xdr:colOff>
      <xdr:row>15</xdr:row>
      <xdr:rowOff>136072</xdr:rowOff>
    </xdr:from>
    <xdr:to>
      <xdr:col>32</xdr:col>
      <xdr:colOff>131357</xdr:colOff>
      <xdr:row>32</xdr:row>
      <xdr:rowOff>69001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668500" y="2993572"/>
          <a:ext cx="5057143" cy="317142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2</xdr:row>
      <xdr:rowOff>104775</xdr:rowOff>
    </xdr:from>
    <xdr:to>
      <xdr:col>10</xdr:col>
      <xdr:colOff>8793</xdr:colOff>
      <xdr:row>8</xdr:row>
      <xdr:rowOff>161775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" y="485775"/>
          <a:ext cx="5857143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236764</xdr:colOff>
      <xdr:row>9</xdr:row>
      <xdr:rowOff>164646</xdr:rowOff>
    </xdr:from>
    <xdr:to>
      <xdr:col>10</xdr:col>
      <xdr:colOff>93145</xdr:colOff>
      <xdr:row>11</xdr:row>
      <xdr:rowOff>116979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6764" y="1879146"/>
          <a:ext cx="5979595" cy="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273504</xdr:colOff>
      <xdr:row>12</xdr:row>
      <xdr:rowOff>63954</xdr:rowOff>
    </xdr:from>
    <xdr:to>
      <xdr:col>10</xdr:col>
      <xdr:colOff>91790</xdr:colOff>
      <xdr:row>14</xdr:row>
      <xdr:rowOff>111525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3504" y="2349954"/>
          <a:ext cx="5941500" cy="428571"/>
        </a:xfrm>
        <a:prstGeom prst="rect">
          <a:avLst/>
        </a:prstGeom>
      </xdr:spPr>
    </xdr:pic>
    <xdr:clientData/>
  </xdr:twoCellAnchor>
  <xdr:twoCellAnchor editAs="oneCell">
    <xdr:from>
      <xdr:col>10</xdr:col>
      <xdr:colOff>179615</xdr:colOff>
      <xdr:row>18</xdr:row>
      <xdr:rowOff>54430</xdr:rowOff>
    </xdr:from>
    <xdr:to>
      <xdr:col>20</xdr:col>
      <xdr:colOff>438717</xdr:colOff>
      <xdr:row>57</xdr:row>
      <xdr:rowOff>101120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02829" y="3483430"/>
          <a:ext cx="6382317" cy="7476190"/>
        </a:xfrm>
        <a:prstGeom prst="rect">
          <a:avLst/>
        </a:prstGeom>
      </xdr:spPr>
    </xdr:pic>
    <xdr:clientData/>
  </xdr:twoCellAnchor>
  <xdr:twoCellAnchor editAs="oneCell">
    <xdr:from>
      <xdr:col>20</xdr:col>
      <xdr:colOff>571499</xdr:colOff>
      <xdr:row>37</xdr:row>
      <xdr:rowOff>127908</xdr:rowOff>
    </xdr:from>
    <xdr:to>
      <xdr:col>35</xdr:col>
      <xdr:colOff>5730</xdr:colOff>
      <xdr:row>72</xdr:row>
      <xdr:rowOff>41360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7928" y="7176408"/>
          <a:ext cx="8619052" cy="65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170089</xdr:colOff>
      <xdr:row>14</xdr:row>
      <xdr:rowOff>106135</xdr:rowOff>
    </xdr:from>
    <xdr:to>
      <xdr:col>10</xdr:col>
      <xdr:colOff>55041</xdr:colOff>
      <xdr:row>20</xdr:row>
      <xdr:rowOff>134564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0089" y="2773135"/>
          <a:ext cx="6008166" cy="1171429"/>
        </a:xfrm>
        <a:prstGeom prst="rect">
          <a:avLst/>
        </a:prstGeom>
      </xdr:spPr>
    </xdr:pic>
    <xdr:clientData/>
  </xdr:twoCellAnchor>
  <xdr:twoCellAnchor editAs="oneCell">
    <xdr:from>
      <xdr:col>10</xdr:col>
      <xdr:colOff>258537</xdr:colOff>
      <xdr:row>2</xdr:row>
      <xdr:rowOff>95250</xdr:rowOff>
    </xdr:from>
    <xdr:to>
      <xdr:col>20</xdr:col>
      <xdr:colOff>26481</xdr:colOff>
      <xdr:row>6</xdr:row>
      <xdr:rowOff>38012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81751" y="476250"/>
          <a:ext cx="5891159" cy="704762"/>
        </a:xfrm>
        <a:prstGeom prst="rect">
          <a:avLst/>
        </a:prstGeom>
      </xdr:spPr>
    </xdr:pic>
    <xdr:clientData/>
  </xdr:twoCellAnchor>
  <xdr:twoCellAnchor editAs="oneCell">
    <xdr:from>
      <xdr:col>20</xdr:col>
      <xdr:colOff>557892</xdr:colOff>
      <xdr:row>2</xdr:row>
      <xdr:rowOff>40822</xdr:rowOff>
    </xdr:from>
    <xdr:to>
      <xdr:col>30</xdr:col>
      <xdr:colOff>129916</xdr:colOff>
      <xdr:row>36</xdr:row>
      <xdr:rowOff>182870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804321" y="421822"/>
          <a:ext cx="5695238" cy="66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244928</xdr:colOff>
      <xdr:row>20</xdr:row>
      <xdr:rowOff>163286</xdr:rowOff>
    </xdr:from>
    <xdr:to>
      <xdr:col>9</xdr:col>
      <xdr:colOff>429273</xdr:colOff>
      <xdr:row>26</xdr:row>
      <xdr:rowOff>163143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4928" y="3973286"/>
          <a:ext cx="5695238" cy="11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27</xdr:row>
      <xdr:rowOff>27214</xdr:rowOff>
    </xdr:from>
    <xdr:to>
      <xdr:col>9</xdr:col>
      <xdr:colOff>334036</xdr:colOff>
      <xdr:row>49</xdr:row>
      <xdr:rowOff>36214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4929" y="5170714"/>
          <a:ext cx="5600000" cy="420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85725</xdr:colOff>
      <xdr:row>7</xdr:row>
      <xdr:rowOff>28575</xdr:rowOff>
    </xdr:from>
    <xdr:to>
      <xdr:col>19</xdr:col>
      <xdr:colOff>485039</xdr:colOff>
      <xdr:row>15</xdr:row>
      <xdr:rowOff>161718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81725" y="1362075"/>
          <a:ext cx="5885714" cy="16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57</xdr:row>
      <xdr:rowOff>47625</xdr:rowOff>
    </xdr:from>
    <xdr:to>
      <xdr:col>12</xdr:col>
      <xdr:colOff>303908</xdr:colOff>
      <xdr:row>84</xdr:row>
      <xdr:rowOff>189839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85775" y="10906125"/>
          <a:ext cx="7133333" cy="5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86</xdr:row>
      <xdr:rowOff>133350</xdr:rowOff>
    </xdr:from>
    <xdr:to>
      <xdr:col>10</xdr:col>
      <xdr:colOff>170720</xdr:colOff>
      <xdr:row>96</xdr:row>
      <xdr:rowOff>114064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8625" y="16516350"/>
          <a:ext cx="5838095" cy="188571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57977</xdr:colOff>
      <xdr:row>0</xdr:row>
      <xdr:rowOff>91108</xdr:rowOff>
    </xdr:from>
    <xdr:to>
      <xdr:col>11</xdr:col>
      <xdr:colOff>239743</xdr:colOff>
      <xdr:row>29</xdr:row>
      <xdr:rowOff>17950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77" y="91108"/>
          <a:ext cx="6887366" cy="5479917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571501</xdr:colOff>
      <xdr:row>6</xdr:row>
      <xdr:rowOff>107674</xdr:rowOff>
    </xdr:from>
    <xdr:to>
      <xdr:col>15</xdr:col>
      <xdr:colOff>470869</xdr:colOff>
      <xdr:row>8</xdr:row>
      <xdr:rowOff>12388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13544" y="1250674"/>
          <a:ext cx="3295238" cy="285714"/>
        </a:xfrm>
        <a:prstGeom prst="rect">
          <a:avLst/>
        </a:prstGeom>
      </xdr:spPr>
    </xdr:pic>
    <xdr:clientData/>
  </xdr:twoCellAnchor>
  <xdr:twoCellAnchor editAs="oneCell">
    <xdr:from>
      <xdr:col>11</xdr:col>
      <xdr:colOff>538370</xdr:colOff>
      <xdr:row>3</xdr:row>
      <xdr:rowOff>49696</xdr:rowOff>
    </xdr:from>
    <xdr:to>
      <xdr:col>15</xdr:col>
      <xdr:colOff>561548</xdr:colOff>
      <xdr:row>4</xdr:row>
      <xdr:rowOff>144910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0413" y="621196"/>
          <a:ext cx="3419048" cy="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43</xdr:row>
      <xdr:rowOff>63776</xdr:rowOff>
    </xdr:from>
    <xdr:to>
      <xdr:col>5</xdr:col>
      <xdr:colOff>402109</xdr:colOff>
      <xdr:row>63</xdr:row>
      <xdr:rowOff>6157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150" y="8283851"/>
          <a:ext cx="3392959" cy="3752381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347871</xdr:colOff>
      <xdr:row>21</xdr:row>
      <xdr:rowOff>124239</xdr:rowOff>
    </xdr:from>
    <xdr:to>
      <xdr:col>16</xdr:col>
      <xdr:colOff>552264</xdr:colOff>
      <xdr:row>40</xdr:row>
      <xdr:rowOff>161882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89914" y="4124739"/>
          <a:ext cx="4809524" cy="3657143"/>
        </a:xfrm>
        <a:prstGeom prst="rect">
          <a:avLst/>
        </a:prstGeom>
      </xdr:spPr>
    </xdr:pic>
    <xdr:clientData/>
  </xdr:twoCellAnchor>
  <xdr:twoCellAnchor editAs="oneCell">
    <xdr:from>
      <xdr:col>12</xdr:col>
      <xdr:colOff>33132</xdr:colOff>
      <xdr:row>8</xdr:row>
      <xdr:rowOff>132521</xdr:rowOff>
    </xdr:from>
    <xdr:to>
      <xdr:col>15</xdr:col>
      <xdr:colOff>535890</xdr:colOff>
      <xdr:row>12</xdr:row>
      <xdr:rowOff>113378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88089" y="1656521"/>
          <a:ext cx="3285714" cy="7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16565</xdr:colOff>
      <xdr:row>1</xdr:row>
      <xdr:rowOff>57979</xdr:rowOff>
    </xdr:from>
    <xdr:to>
      <xdr:col>23</xdr:col>
      <xdr:colOff>237714</xdr:colOff>
      <xdr:row>3</xdr:row>
      <xdr:rowOff>124598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49000" y="248479"/>
          <a:ext cx="3285714" cy="4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11</xdr:col>
      <xdr:colOff>303924</xdr:colOff>
      <xdr:row>42</xdr:row>
      <xdr:rowOff>152167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6315075"/>
          <a:ext cx="7009524" cy="1866667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42</xdr:row>
      <xdr:rowOff>38100</xdr:rowOff>
    </xdr:from>
    <xdr:to>
      <xdr:col>18</xdr:col>
      <xdr:colOff>456038</xdr:colOff>
      <xdr:row>79</xdr:row>
      <xdr:rowOff>94362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76650" y="8067675"/>
          <a:ext cx="9295238" cy="7104762"/>
        </a:xfrm>
        <a:prstGeom prst="rect">
          <a:avLst/>
        </a:prstGeom>
      </xdr:spPr>
    </xdr:pic>
    <xdr:clientData/>
  </xdr:twoCellAnchor>
  <xdr:twoCellAnchor editAs="oneCell">
    <xdr:from>
      <xdr:col>19</xdr:col>
      <xdr:colOff>200025</xdr:colOff>
      <xdr:row>14</xdr:row>
      <xdr:rowOff>95250</xdr:rowOff>
    </xdr:from>
    <xdr:to>
      <xdr:col>24</xdr:col>
      <xdr:colOff>456787</xdr:colOff>
      <xdr:row>20</xdr:row>
      <xdr:rowOff>9389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325475" y="2762250"/>
          <a:ext cx="3304762" cy="108571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581025</xdr:colOff>
      <xdr:row>2</xdr:row>
      <xdr:rowOff>95250</xdr:rowOff>
    </xdr:from>
    <xdr:to>
      <xdr:col>12</xdr:col>
      <xdr:colOff>8682</xdr:colOff>
      <xdr:row>13</xdr:row>
      <xdr:rowOff>190226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025" y="476250"/>
          <a:ext cx="6742857" cy="21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14</xdr:row>
      <xdr:rowOff>85725</xdr:rowOff>
    </xdr:from>
    <xdr:to>
      <xdr:col>6</xdr:col>
      <xdr:colOff>275815</xdr:colOff>
      <xdr:row>17</xdr:row>
      <xdr:rowOff>95177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7225" y="2752725"/>
          <a:ext cx="3276190" cy="5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19</xdr:row>
      <xdr:rowOff>161925</xdr:rowOff>
    </xdr:from>
    <xdr:to>
      <xdr:col>4</xdr:col>
      <xdr:colOff>437919</xdr:colOff>
      <xdr:row>20</xdr:row>
      <xdr:rowOff>114282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8700" y="3781425"/>
          <a:ext cx="1847619" cy="1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</xdr:row>
      <xdr:rowOff>95250</xdr:rowOff>
    </xdr:from>
    <xdr:to>
      <xdr:col>15</xdr:col>
      <xdr:colOff>437033</xdr:colOff>
      <xdr:row>25</xdr:row>
      <xdr:rowOff>123726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7700" y="4095750"/>
          <a:ext cx="8933333" cy="790476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1</xdr:row>
      <xdr:rowOff>57150</xdr:rowOff>
    </xdr:from>
    <xdr:to>
      <xdr:col>29</xdr:col>
      <xdr:colOff>27511</xdr:colOff>
      <xdr:row>33</xdr:row>
      <xdr:rowOff>123055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91625" y="247650"/>
          <a:ext cx="8514286" cy="61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26</xdr:row>
      <xdr:rowOff>161925</xdr:rowOff>
    </xdr:from>
    <xdr:to>
      <xdr:col>11</xdr:col>
      <xdr:colOff>589768</xdr:colOff>
      <xdr:row>58</xdr:row>
      <xdr:rowOff>37354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38225" y="5114925"/>
          <a:ext cx="6257143" cy="59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17</xdr:row>
      <xdr:rowOff>142875</xdr:rowOff>
    </xdr:from>
    <xdr:to>
      <xdr:col>11</xdr:col>
      <xdr:colOff>75462</xdr:colOff>
      <xdr:row>20</xdr:row>
      <xdr:rowOff>57089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6300" y="3381375"/>
          <a:ext cx="5904762" cy="485714"/>
        </a:xfrm>
        <a:prstGeom prst="rect">
          <a:avLst/>
        </a:prstGeom>
      </xdr:spPr>
    </xdr:pic>
    <xdr:clientData/>
  </xdr:twoCellAnchor>
  <xdr:twoCellAnchor editAs="oneCell">
    <xdr:from>
      <xdr:col>12</xdr:col>
      <xdr:colOff>409575</xdr:colOff>
      <xdr:row>37</xdr:row>
      <xdr:rowOff>142875</xdr:rowOff>
    </xdr:from>
    <xdr:to>
      <xdr:col>34</xdr:col>
      <xdr:colOff>548027</xdr:colOff>
      <xdr:row>67</xdr:row>
      <xdr:rowOff>151684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24775" y="7191375"/>
          <a:ext cx="13549652" cy="5723809"/>
        </a:xfrm>
        <a:prstGeom prst="rect">
          <a:avLst/>
        </a:prstGeom>
      </xdr:spPr>
    </xdr:pic>
    <xdr:clientData/>
  </xdr:twoCellAnchor>
  <xdr:twoCellAnchor editAs="oneCell">
    <xdr:from>
      <xdr:col>30</xdr:col>
      <xdr:colOff>311728</xdr:colOff>
      <xdr:row>4</xdr:row>
      <xdr:rowOff>86590</xdr:rowOff>
    </xdr:from>
    <xdr:to>
      <xdr:col>42</xdr:col>
      <xdr:colOff>319554</xdr:colOff>
      <xdr:row>7</xdr:row>
      <xdr:rowOff>173181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495819" y="848590"/>
          <a:ext cx="7281462" cy="658091"/>
        </a:xfrm>
        <a:prstGeom prst="rect">
          <a:avLst/>
        </a:prstGeom>
      </xdr:spPr>
    </xdr:pic>
    <xdr:clientData/>
  </xdr:twoCellAnchor>
  <xdr:twoCellAnchor editAs="oneCell">
    <xdr:from>
      <xdr:col>30</xdr:col>
      <xdr:colOff>173181</xdr:colOff>
      <xdr:row>8</xdr:row>
      <xdr:rowOff>138545</xdr:rowOff>
    </xdr:from>
    <xdr:to>
      <xdr:col>44</xdr:col>
      <xdr:colOff>597469</xdr:colOff>
      <xdr:row>11</xdr:row>
      <xdr:rowOff>138545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357272" y="1662545"/>
          <a:ext cx="8910197" cy="571500"/>
        </a:xfrm>
        <a:prstGeom prst="rect">
          <a:avLst/>
        </a:prstGeom>
      </xdr:spPr>
    </xdr:pic>
    <xdr:clientData/>
  </xdr:twoCellAnchor>
  <xdr:twoCellAnchor editAs="oneCell">
    <xdr:from>
      <xdr:col>30</xdr:col>
      <xdr:colOff>277091</xdr:colOff>
      <xdr:row>13</xdr:row>
      <xdr:rowOff>121227</xdr:rowOff>
    </xdr:from>
    <xdr:to>
      <xdr:col>45</xdr:col>
      <xdr:colOff>588819</xdr:colOff>
      <xdr:row>30</xdr:row>
      <xdr:rowOff>42395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461182" y="2597727"/>
          <a:ext cx="9403773" cy="3159668"/>
        </a:xfrm>
        <a:prstGeom prst="rect">
          <a:avLst/>
        </a:prstGeom>
      </xdr:spPr>
    </xdr:pic>
    <xdr:clientData/>
  </xdr:twoCellAnchor>
  <xdr:twoCellAnchor editAs="oneCell">
    <xdr:from>
      <xdr:col>35</xdr:col>
      <xdr:colOff>363681</xdr:colOff>
      <xdr:row>30</xdr:row>
      <xdr:rowOff>155864</xdr:rowOff>
    </xdr:from>
    <xdr:to>
      <xdr:col>45</xdr:col>
      <xdr:colOff>578508</xdr:colOff>
      <xdr:row>45</xdr:row>
      <xdr:rowOff>31697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578454" y="5870864"/>
          <a:ext cx="6276190" cy="27333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Slipstream">
      <a:dk1>
        <a:sysClr val="windowText" lastClr="000000"/>
      </a:dk1>
      <a:lt1>
        <a:sysClr val="window" lastClr="FFFFFF"/>
      </a:lt1>
      <a:dk2>
        <a:srgbClr val="212745"/>
      </a:dk2>
      <a:lt2>
        <a:srgbClr val="B4DCFA"/>
      </a:lt2>
      <a:accent1>
        <a:srgbClr val="4E67C8"/>
      </a:accent1>
      <a:accent2>
        <a:srgbClr val="5ECCF3"/>
      </a:accent2>
      <a:accent3>
        <a:srgbClr val="A7EA52"/>
      </a:accent3>
      <a:accent4>
        <a:srgbClr val="5DCEAF"/>
      </a:accent4>
      <a:accent5>
        <a:srgbClr val="FF8021"/>
      </a:accent5>
      <a:accent6>
        <a:srgbClr val="F14124"/>
      </a:accent6>
      <a:hlink>
        <a:srgbClr val="56C7AA"/>
      </a:hlink>
      <a:folHlink>
        <a:srgbClr val="59A8D1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6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5" filterMode="1">
    <tabColor theme="7"/>
  </sheetPr>
  <dimension ref="A1:Q198"/>
  <sheetViews>
    <sheetView zoomScale="130" zoomScaleNormal="130" workbookViewId="0">
      <pane ySplit="1" topLeftCell="A59" activePane="bottomLeft" state="frozen"/>
      <selection activeCell="G139" sqref="G139"/>
      <selection pane="bottomLeft" activeCell="C211" sqref="C211"/>
    </sheetView>
  </sheetViews>
  <sheetFormatPr defaultColWidth="8.7109375" defaultRowHeight="16.5" x14ac:dyDescent="0.3"/>
  <cols>
    <col min="1" max="1" width="8.7109375" style="1"/>
    <col min="2" max="2" width="22.140625" style="1" bestFit="1" customWidth="1"/>
    <col min="3" max="16384" width="8.7109375" style="1"/>
  </cols>
  <sheetData>
    <row r="1" spans="1:16" ht="17.25" x14ac:dyDescent="0.3">
      <c r="A1" s="6" t="s">
        <v>14</v>
      </c>
      <c r="B1" s="6" t="s">
        <v>1</v>
      </c>
      <c r="C1" s="6" t="s">
        <v>15</v>
      </c>
      <c r="D1" s="7" t="s">
        <v>16</v>
      </c>
      <c r="E1" s="6" t="s">
        <v>17</v>
      </c>
      <c r="F1" s="6" t="s">
        <v>18</v>
      </c>
      <c r="G1" s="6" t="s">
        <v>19</v>
      </c>
      <c r="H1" s="8" t="s">
        <v>20</v>
      </c>
      <c r="I1" s="9" t="s">
        <v>21</v>
      </c>
      <c r="J1" s="6" t="s">
        <v>25</v>
      </c>
      <c r="K1" s="6" t="s">
        <v>26</v>
      </c>
      <c r="L1" s="6" t="s">
        <v>27</v>
      </c>
      <c r="M1" s="6" t="s">
        <v>22</v>
      </c>
      <c r="N1" s="6" t="s">
        <v>37</v>
      </c>
      <c r="O1" s="6" t="s">
        <v>23</v>
      </c>
      <c r="P1" s="8" t="s">
        <v>24</v>
      </c>
    </row>
    <row r="2" spans="1:16" x14ac:dyDescent="0.3">
      <c r="A2" s="10">
        <v>1</v>
      </c>
      <c r="B2" s="4" t="s">
        <v>28</v>
      </c>
      <c r="C2" s="11">
        <v>12.4</v>
      </c>
      <c r="D2" s="12">
        <v>1590</v>
      </c>
      <c r="E2" s="10">
        <v>1200</v>
      </c>
      <c r="F2" s="13">
        <v>0.75</v>
      </c>
      <c r="G2" s="10">
        <v>190</v>
      </c>
      <c r="H2" s="10">
        <v>1272</v>
      </c>
      <c r="I2" s="10">
        <v>0</v>
      </c>
      <c r="J2" s="10">
        <v>0</v>
      </c>
      <c r="K2" s="10">
        <v>0</v>
      </c>
      <c r="L2" s="10">
        <v>0</v>
      </c>
      <c r="M2" s="10">
        <v>0</v>
      </c>
      <c r="N2" s="13">
        <v>0.5</v>
      </c>
      <c r="O2" s="11">
        <v>416</v>
      </c>
      <c r="P2" s="11">
        <v>297</v>
      </c>
    </row>
    <row r="3" spans="1:16" x14ac:dyDescent="0.3">
      <c r="A3" s="10">
        <v>2</v>
      </c>
      <c r="B3" s="4" t="s">
        <v>28</v>
      </c>
      <c r="C3" s="11">
        <v>12.4</v>
      </c>
      <c r="D3" s="12">
        <v>1590</v>
      </c>
      <c r="E3" s="10">
        <v>1200</v>
      </c>
      <c r="F3" s="13">
        <v>0.75</v>
      </c>
      <c r="G3" s="10">
        <v>190</v>
      </c>
      <c r="H3" s="10">
        <v>1272</v>
      </c>
      <c r="I3" s="10">
        <v>0</v>
      </c>
      <c r="J3" s="10">
        <v>0</v>
      </c>
      <c r="K3" s="10">
        <v>0</v>
      </c>
      <c r="L3" s="10">
        <v>0</v>
      </c>
      <c r="M3" s="10">
        <v>0</v>
      </c>
      <c r="N3" s="13">
        <v>0.5</v>
      </c>
      <c r="O3" s="11">
        <v>416</v>
      </c>
      <c r="P3" s="11">
        <v>278.10000000000002</v>
      </c>
    </row>
    <row r="4" spans="1:16" x14ac:dyDescent="0.3">
      <c r="A4" s="10">
        <v>3</v>
      </c>
      <c r="B4" s="4" t="s">
        <v>28</v>
      </c>
      <c r="C4" s="11">
        <v>12.4</v>
      </c>
      <c r="D4" s="12">
        <v>1590</v>
      </c>
      <c r="E4" s="10">
        <v>1200</v>
      </c>
      <c r="F4" s="13">
        <v>0.75</v>
      </c>
      <c r="G4" s="10">
        <v>190</v>
      </c>
      <c r="H4" s="10">
        <v>1272</v>
      </c>
      <c r="I4" s="10">
        <v>0</v>
      </c>
      <c r="J4" s="10">
        <v>0</v>
      </c>
      <c r="K4" s="10">
        <v>0</v>
      </c>
      <c r="L4" s="10">
        <v>0</v>
      </c>
      <c r="M4" s="10">
        <v>0</v>
      </c>
      <c r="N4" s="13">
        <v>0.5</v>
      </c>
      <c r="O4" s="11">
        <v>416</v>
      </c>
      <c r="P4" s="11">
        <v>275.89999999999998</v>
      </c>
    </row>
    <row r="5" spans="1:16" x14ac:dyDescent="0.3">
      <c r="A5" s="10">
        <v>4</v>
      </c>
      <c r="B5" s="4" t="s">
        <v>28</v>
      </c>
      <c r="C5" s="11">
        <v>12.4</v>
      </c>
      <c r="D5" s="12">
        <v>1590</v>
      </c>
      <c r="E5" s="10">
        <v>1200</v>
      </c>
      <c r="F5" s="13">
        <v>0.75</v>
      </c>
      <c r="G5" s="10">
        <v>190</v>
      </c>
      <c r="H5" s="10">
        <v>1272</v>
      </c>
      <c r="I5" s="10">
        <v>0</v>
      </c>
      <c r="J5" s="10">
        <v>0</v>
      </c>
      <c r="K5" s="11">
        <v>21.5</v>
      </c>
      <c r="L5" s="10">
        <v>530</v>
      </c>
      <c r="M5" s="10">
        <v>200</v>
      </c>
      <c r="N5" s="13">
        <v>0.5</v>
      </c>
      <c r="O5" s="11">
        <v>416</v>
      </c>
      <c r="P5" s="11">
        <v>270.10000000000002</v>
      </c>
    </row>
    <row r="6" spans="1:16" x14ac:dyDescent="0.3">
      <c r="A6" s="10">
        <v>5</v>
      </c>
      <c r="B6" s="4" t="s">
        <v>28</v>
      </c>
      <c r="C6" s="11">
        <v>12.4</v>
      </c>
      <c r="D6" s="12">
        <v>1590</v>
      </c>
      <c r="E6" s="10">
        <v>1200</v>
      </c>
      <c r="F6" s="13">
        <v>0.75</v>
      </c>
      <c r="G6" s="10">
        <v>190</v>
      </c>
      <c r="H6" s="10">
        <v>1272</v>
      </c>
      <c r="I6" s="10">
        <v>0</v>
      </c>
      <c r="J6" s="10">
        <v>0</v>
      </c>
      <c r="K6" s="11">
        <v>21.5</v>
      </c>
      <c r="L6" s="10">
        <v>530</v>
      </c>
      <c r="M6" s="10">
        <v>200</v>
      </c>
      <c r="N6" s="13">
        <v>0.5</v>
      </c>
      <c r="O6" s="11">
        <v>416</v>
      </c>
      <c r="P6" s="11">
        <v>261.10000000000002</v>
      </c>
    </row>
    <row r="7" spans="1:16" x14ac:dyDescent="0.3">
      <c r="A7" s="10">
        <v>6</v>
      </c>
      <c r="B7" s="4" t="s">
        <v>28</v>
      </c>
      <c r="C7" s="11">
        <v>12.4</v>
      </c>
      <c r="D7" s="12">
        <v>1590</v>
      </c>
      <c r="E7" s="10">
        <v>1200</v>
      </c>
      <c r="F7" s="13">
        <v>0.75</v>
      </c>
      <c r="G7" s="10">
        <v>190</v>
      </c>
      <c r="H7" s="10">
        <v>1272</v>
      </c>
      <c r="I7" s="10">
        <v>0</v>
      </c>
      <c r="J7" s="10">
        <v>0</v>
      </c>
      <c r="K7" s="11">
        <v>21.5</v>
      </c>
      <c r="L7" s="10">
        <v>530</v>
      </c>
      <c r="M7" s="10">
        <v>200</v>
      </c>
      <c r="N7" s="13">
        <v>0.5</v>
      </c>
      <c r="O7" s="11">
        <v>416</v>
      </c>
      <c r="P7" s="11">
        <v>272.2</v>
      </c>
    </row>
    <row r="8" spans="1:16" x14ac:dyDescent="0.3">
      <c r="A8" s="10">
        <v>7</v>
      </c>
      <c r="B8" s="4" t="s">
        <v>28</v>
      </c>
      <c r="C8" s="11">
        <v>12.4</v>
      </c>
      <c r="D8" s="12">
        <v>1590</v>
      </c>
      <c r="E8" s="10">
        <v>1200</v>
      </c>
      <c r="F8" s="13">
        <v>0.75</v>
      </c>
      <c r="G8" s="10">
        <v>190</v>
      </c>
      <c r="H8" s="10">
        <v>1272</v>
      </c>
      <c r="I8" s="10">
        <v>0</v>
      </c>
      <c r="J8" s="10">
        <v>0</v>
      </c>
      <c r="K8" s="11">
        <v>37.700000000000003</v>
      </c>
      <c r="L8" s="10">
        <v>560</v>
      </c>
      <c r="M8" s="10">
        <v>200</v>
      </c>
      <c r="N8" s="13">
        <v>0.5</v>
      </c>
      <c r="O8" s="11">
        <v>416</v>
      </c>
      <c r="P8" s="11">
        <v>257.39999999999998</v>
      </c>
    </row>
    <row r="9" spans="1:16" x14ac:dyDescent="0.3">
      <c r="A9" s="10">
        <v>8</v>
      </c>
      <c r="B9" s="4" t="s">
        <v>28</v>
      </c>
      <c r="C9" s="11">
        <v>12.4</v>
      </c>
      <c r="D9" s="12">
        <v>1590</v>
      </c>
      <c r="E9" s="10">
        <v>1200</v>
      </c>
      <c r="F9" s="13">
        <v>0.75</v>
      </c>
      <c r="G9" s="10">
        <v>190</v>
      </c>
      <c r="H9" s="10">
        <v>1272</v>
      </c>
      <c r="I9" s="10">
        <v>0</v>
      </c>
      <c r="J9" s="10">
        <v>0</v>
      </c>
      <c r="K9" s="11">
        <v>37.700000000000003</v>
      </c>
      <c r="L9" s="10">
        <v>560</v>
      </c>
      <c r="M9" s="10">
        <v>200</v>
      </c>
      <c r="N9" s="13">
        <v>0.5</v>
      </c>
      <c r="O9" s="11">
        <v>416</v>
      </c>
      <c r="P9" s="11">
        <v>265.89999999999998</v>
      </c>
    </row>
    <row r="10" spans="1:16" x14ac:dyDescent="0.3">
      <c r="A10" s="10">
        <v>9</v>
      </c>
      <c r="B10" s="4" t="s">
        <v>28</v>
      </c>
      <c r="C10" s="11">
        <v>12.4</v>
      </c>
      <c r="D10" s="12">
        <v>1590</v>
      </c>
      <c r="E10" s="10">
        <v>1200</v>
      </c>
      <c r="F10" s="13">
        <v>0.75</v>
      </c>
      <c r="G10" s="10">
        <v>190</v>
      </c>
      <c r="H10" s="10">
        <v>1272</v>
      </c>
      <c r="I10" s="10">
        <v>0</v>
      </c>
      <c r="J10" s="10">
        <v>0</v>
      </c>
      <c r="K10" s="11">
        <v>37.700000000000003</v>
      </c>
      <c r="L10" s="10">
        <v>560</v>
      </c>
      <c r="M10" s="10">
        <v>200</v>
      </c>
      <c r="N10" s="13">
        <v>0.5</v>
      </c>
      <c r="O10" s="11">
        <v>416</v>
      </c>
      <c r="P10" s="11">
        <v>259.39999999999998</v>
      </c>
    </row>
    <row r="11" spans="1:16" x14ac:dyDescent="0.3">
      <c r="A11" s="10">
        <v>10</v>
      </c>
      <c r="B11" s="4" t="s">
        <v>28</v>
      </c>
      <c r="C11" s="11">
        <v>12.4</v>
      </c>
      <c r="D11" s="12">
        <v>1590</v>
      </c>
      <c r="E11" s="10">
        <v>1200</v>
      </c>
      <c r="F11" s="13">
        <v>0.75</v>
      </c>
      <c r="G11" s="10">
        <v>190</v>
      </c>
      <c r="H11" s="10">
        <v>1272</v>
      </c>
      <c r="I11" s="10">
        <v>0</v>
      </c>
      <c r="J11" s="10">
        <v>0</v>
      </c>
      <c r="K11" s="10">
        <v>0</v>
      </c>
      <c r="L11" s="10">
        <v>0</v>
      </c>
      <c r="M11" s="10">
        <v>0</v>
      </c>
      <c r="N11" s="13">
        <v>0.5</v>
      </c>
      <c r="O11" s="11">
        <v>416</v>
      </c>
      <c r="P11" s="11">
        <v>275.10000000000002</v>
      </c>
    </row>
    <row r="12" spans="1:16" x14ac:dyDescent="0.3">
      <c r="A12" s="10">
        <v>11</v>
      </c>
      <c r="B12" s="4" t="s">
        <v>28</v>
      </c>
      <c r="C12" s="11">
        <v>12.4</v>
      </c>
      <c r="D12" s="12">
        <v>1590</v>
      </c>
      <c r="E12" s="10">
        <v>1200</v>
      </c>
      <c r="F12" s="13">
        <v>0.75</v>
      </c>
      <c r="G12" s="10">
        <v>190</v>
      </c>
      <c r="H12" s="10">
        <v>1272</v>
      </c>
      <c r="I12" s="10">
        <v>0</v>
      </c>
      <c r="J12" s="10">
        <v>0</v>
      </c>
      <c r="K12" s="10">
        <v>0</v>
      </c>
      <c r="L12" s="10">
        <v>0</v>
      </c>
      <c r="M12" s="10">
        <v>0</v>
      </c>
      <c r="N12" s="13">
        <v>0.5</v>
      </c>
      <c r="O12" s="11">
        <v>416</v>
      </c>
      <c r="P12" s="11">
        <v>281.5</v>
      </c>
    </row>
    <row r="13" spans="1:16" x14ac:dyDescent="0.3">
      <c r="A13" s="10">
        <v>12</v>
      </c>
      <c r="B13" s="4" t="s">
        <v>28</v>
      </c>
      <c r="C13" s="11">
        <v>12.4</v>
      </c>
      <c r="D13" s="12">
        <v>1590</v>
      </c>
      <c r="E13" s="10">
        <v>1200</v>
      </c>
      <c r="F13" s="13">
        <v>0.75</v>
      </c>
      <c r="G13" s="10">
        <v>190</v>
      </c>
      <c r="H13" s="10">
        <v>1272</v>
      </c>
      <c r="I13" s="10">
        <v>0</v>
      </c>
      <c r="J13" s="10">
        <v>0</v>
      </c>
      <c r="K13" s="10">
        <v>0</v>
      </c>
      <c r="L13" s="10">
        <v>0</v>
      </c>
      <c r="M13" s="10">
        <v>0</v>
      </c>
      <c r="N13" s="13">
        <v>0.5</v>
      </c>
      <c r="O13" s="11">
        <v>416</v>
      </c>
      <c r="P13" s="11">
        <v>278.39999999999998</v>
      </c>
    </row>
    <row r="14" spans="1:16" x14ac:dyDescent="0.3">
      <c r="A14" s="10">
        <v>13</v>
      </c>
      <c r="B14" s="4" t="s">
        <v>28</v>
      </c>
      <c r="C14" s="11">
        <v>12.4</v>
      </c>
      <c r="D14" s="12">
        <v>1590</v>
      </c>
      <c r="E14" s="10">
        <v>1200</v>
      </c>
      <c r="F14" s="13">
        <v>0.75</v>
      </c>
      <c r="G14" s="10">
        <v>190</v>
      </c>
      <c r="H14" s="10">
        <v>1272</v>
      </c>
      <c r="I14" s="10">
        <v>0</v>
      </c>
      <c r="J14" s="10">
        <v>0</v>
      </c>
      <c r="K14" s="11">
        <v>37.700000000000003</v>
      </c>
      <c r="L14" s="10">
        <v>560</v>
      </c>
      <c r="M14" s="10">
        <v>200</v>
      </c>
      <c r="N14" s="13">
        <v>0.5</v>
      </c>
      <c r="O14" s="11">
        <v>416</v>
      </c>
      <c r="P14" s="11">
        <v>278.7</v>
      </c>
    </row>
    <row r="15" spans="1:16" x14ac:dyDescent="0.3">
      <c r="A15" s="10">
        <v>14</v>
      </c>
      <c r="B15" s="4" t="s">
        <v>28</v>
      </c>
      <c r="C15" s="11">
        <v>12.4</v>
      </c>
      <c r="D15" s="12">
        <v>1590</v>
      </c>
      <c r="E15" s="10">
        <v>1200</v>
      </c>
      <c r="F15" s="13">
        <v>0.75</v>
      </c>
      <c r="G15" s="10">
        <v>190</v>
      </c>
      <c r="H15" s="10">
        <v>1272</v>
      </c>
      <c r="I15" s="10">
        <v>0</v>
      </c>
      <c r="J15" s="10">
        <v>0</v>
      </c>
      <c r="K15" s="11">
        <v>37.700000000000003</v>
      </c>
      <c r="L15" s="10">
        <v>560</v>
      </c>
      <c r="M15" s="10">
        <v>200</v>
      </c>
      <c r="N15" s="13">
        <v>0.5</v>
      </c>
      <c r="O15" s="11">
        <v>416</v>
      </c>
      <c r="P15" s="11">
        <v>287.60000000000002</v>
      </c>
    </row>
    <row r="16" spans="1:16" x14ac:dyDescent="0.3">
      <c r="A16" s="10">
        <v>15</v>
      </c>
      <c r="B16" s="4" t="s">
        <v>28</v>
      </c>
      <c r="C16" s="11">
        <v>12.4</v>
      </c>
      <c r="D16" s="12">
        <v>1590</v>
      </c>
      <c r="E16" s="10">
        <v>1200</v>
      </c>
      <c r="F16" s="13">
        <v>0.75</v>
      </c>
      <c r="G16" s="10">
        <v>190</v>
      </c>
      <c r="H16" s="10">
        <v>1272</v>
      </c>
      <c r="I16" s="10">
        <v>0</v>
      </c>
      <c r="J16" s="10">
        <v>0</v>
      </c>
      <c r="K16" s="11">
        <v>37.700000000000003</v>
      </c>
      <c r="L16" s="10">
        <v>560</v>
      </c>
      <c r="M16" s="10">
        <v>200</v>
      </c>
      <c r="N16" s="13">
        <v>0.5</v>
      </c>
      <c r="O16" s="11">
        <v>416</v>
      </c>
      <c r="P16" s="11">
        <v>278.89999999999998</v>
      </c>
    </row>
    <row r="17" spans="1:16" x14ac:dyDescent="0.3">
      <c r="A17" s="10">
        <v>16</v>
      </c>
      <c r="B17" s="4" t="s">
        <v>28</v>
      </c>
      <c r="C17" s="11">
        <v>16.2</v>
      </c>
      <c r="D17" s="12">
        <v>1590</v>
      </c>
      <c r="E17" s="10">
        <v>1200</v>
      </c>
      <c r="F17" s="13">
        <v>0.75</v>
      </c>
      <c r="G17" s="10">
        <v>190</v>
      </c>
      <c r="H17" s="10">
        <v>1272</v>
      </c>
      <c r="I17" s="10">
        <v>0</v>
      </c>
      <c r="J17" s="10">
        <v>0</v>
      </c>
      <c r="K17" s="10">
        <v>0</v>
      </c>
      <c r="L17" s="10">
        <v>0</v>
      </c>
      <c r="M17" s="10">
        <v>0</v>
      </c>
      <c r="N17" s="13">
        <v>0.37</v>
      </c>
      <c r="O17" s="11">
        <v>236</v>
      </c>
      <c r="P17" s="11">
        <v>149.5</v>
      </c>
    </row>
    <row r="18" spans="1:16" x14ac:dyDescent="0.3">
      <c r="A18" s="10">
        <v>17</v>
      </c>
      <c r="B18" s="4" t="s">
        <v>28</v>
      </c>
      <c r="C18" s="11">
        <v>16.2</v>
      </c>
      <c r="D18" s="12">
        <v>1590</v>
      </c>
      <c r="E18" s="10">
        <v>1200</v>
      </c>
      <c r="F18" s="13">
        <v>0.75</v>
      </c>
      <c r="G18" s="10">
        <v>190</v>
      </c>
      <c r="H18" s="10">
        <v>1272</v>
      </c>
      <c r="I18" s="10">
        <v>0</v>
      </c>
      <c r="J18" s="10">
        <v>0</v>
      </c>
      <c r="K18" s="10">
        <v>0</v>
      </c>
      <c r="L18" s="10">
        <v>0</v>
      </c>
      <c r="M18" s="10">
        <v>0</v>
      </c>
      <c r="N18" s="13">
        <v>0.37</v>
      </c>
      <c r="O18" s="11">
        <v>236</v>
      </c>
      <c r="P18" s="11">
        <v>146.9</v>
      </c>
    </row>
    <row r="19" spans="1:16" x14ac:dyDescent="0.3">
      <c r="A19" s="10">
        <v>18</v>
      </c>
      <c r="B19" s="4" t="s">
        <v>28</v>
      </c>
      <c r="C19" s="11">
        <v>16.2</v>
      </c>
      <c r="D19" s="12">
        <v>1590</v>
      </c>
      <c r="E19" s="10">
        <v>1200</v>
      </c>
      <c r="F19" s="13">
        <v>0.75</v>
      </c>
      <c r="G19" s="10">
        <v>190</v>
      </c>
      <c r="H19" s="10">
        <v>1272</v>
      </c>
      <c r="I19" s="10">
        <v>0</v>
      </c>
      <c r="J19" s="10">
        <v>0</v>
      </c>
      <c r="K19" s="10">
        <v>0</v>
      </c>
      <c r="L19" s="10">
        <v>0</v>
      </c>
      <c r="M19" s="10">
        <v>0</v>
      </c>
      <c r="N19" s="13">
        <v>0.37</v>
      </c>
      <c r="O19" s="11">
        <v>236</v>
      </c>
      <c r="P19" s="11">
        <v>157.19999999999999</v>
      </c>
    </row>
    <row r="20" spans="1:16" x14ac:dyDescent="0.3">
      <c r="A20" s="10">
        <v>19</v>
      </c>
      <c r="B20" s="4" t="s">
        <v>28</v>
      </c>
      <c r="C20" s="11">
        <v>12.4</v>
      </c>
      <c r="D20" s="12">
        <v>1590</v>
      </c>
      <c r="E20" s="10">
        <v>1200</v>
      </c>
      <c r="F20" s="13">
        <v>0.75</v>
      </c>
      <c r="G20" s="10">
        <v>190</v>
      </c>
      <c r="H20" s="10">
        <v>1272</v>
      </c>
      <c r="I20" s="10">
        <v>0</v>
      </c>
      <c r="J20" s="10">
        <v>0</v>
      </c>
      <c r="K20" s="10">
        <v>0</v>
      </c>
      <c r="L20" s="10">
        <v>0</v>
      </c>
      <c r="M20" s="10">
        <v>0</v>
      </c>
      <c r="N20" s="13">
        <v>0.5</v>
      </c>
      <c r="O20" s="11">
        <v>628</v>
      </c>
      <c r="P20" s="11">
        <v>384.4</v>
      </c>
    </row>
    <row r="21" spans="1:16" x14ac:dyDescent="0.3">
      <c r="A21" s="10">
        <v>20</v>
      </c>
      <c r="B21" s="4" t="s">
        <v>28</v>
      </c>
      <c r="C21" s="11">
        <v>12.4</v>
      </c>
      <c r="D21" s="12">
        <v>1590</v>
      </c>
      <c r="E21" s="10">
        <v>1200</v>
      </c>
      <c r="F21" s="13">
        <v>0.75</v>
      </c>
      <c r="G21" s="10">
        <v>190</v>
      </c>
      <c r="H21" s="10">
        <v>1272</v>
      </c>
      <c r="I21" s="10">
        <v>0</v>
      </c>
      <c r="J21" s="10">
        <v>0</v>
      </c>
      <c r="K21" s="10">
        <v>0</v>
      </c>
      <c r="L21" s="10">
        <v>0</v>
      </c>
      <c r="M21" s="10">
        <v>0</v>
      </c>
      <c r="N21" s="13">
        <v>0.5</v>
      </c>
      <c r="O21" s="11">
        <v>628</v>
      </c>
      <c r="P21" s="11">
        <v>346.6</v>
      </c>
    </row>
    <row r="22" spans="1:16" x14ac:dyDescent="0.3">
      <c r="A22" s="14">
        <v>21</v>
      </c>
      <c r="B22" s="4" t="s">
        <v>28</v>
      </c>
      <c r="C22" s="15">
        <v>12.4</v>
      </c>
      <c r="D22" s="14">
        <v>1590</v>
      </c>
      <c r="E22" s="14">
        <v>1200</v>
      </c>
      <c r="F22" s="16">
        <v>0.75</v>
      </c>
      <c r="G22" s="14">
        <v>190</v>
      </c>
      <c r="H22" s="14">
        <v>1272</v>
      </c>
      <c r="I22" s="14">
        <v>0</v>
      </c>
      <c r="J22" s="14">
        <v>0</v>
      </c>
      <c r="K22" s="14">
        <v>0</v>
      </c>
      <c r="L22" s="14">
        <v>0</v>
      </c>
      <c r="M22" s="14">
        <v>0</v>
      </c>
      <c r="N22" s="16">
        <v>0.5</v>
      </c>
      <c r="O22" s="15">
        <v>628</v>
      </c>
      <c r="P22" s="15">
        <v>419.6</v>
      </c>
    </row>
    <row r="23" spans="1:16" x14ac:dyDescent="0.3">
      <c r="A23" s="14">
        <v>22</v>
      </c>
      <c r="B23" s="4" t="s">
        <v>28</v>
      </c>
      <c r="C23" s="15">
        <v>12.4</v>
      </c>
      <c r="D23" s="14">
        <v>1590</v>
      </c>
      <c r="E23" s="14">
        <v>1200</v>
      </c>
      <c r="F23" s="16">
        <v>0.75</v>
      </c>
      <c r="G23" s="14">
        <v>190</v>
      </c>
      <c r="H23" s="14">
        <v>1272</v>
      </c>
      <c r="I23" s="14">
        <v>0</v>
      </c>
      <c r="J23" s="14">
        <v>0</v>
      </c>
      <c r="K23" s="15">
        <v>21.5</v>
      </c>
      <c r="L23" s="14">
        <v>530</v>
      </c>
      <c r="M23" s="14">
        <v>200</v>
      </c>
      <c r="N23" s="16">
        <v>0.5</v>
      </c>
      <c r="O23" s="15">
        <v>628</v>
      </c>
      <c r="P23" s="15">
        <v>347.9</v>
      </c>
    </row>
    <row r="24" spans="1:16" x14ac:dyDescent="0.3">
      <c r="A24" s="14">
        <v>23</v>
      </c>
      <c r="B24" s="4" t="s">
        <v>28</v>
      </c>
      <c r="C24" s="15">
        <v>12.4</v>
      </c>
      <c r="D24" s="14">
        <v>1590</v>
      </c>
      <c r="E24" s="14">
        <v>1200</v>
      </c>
      <c r="F24" s="16">
        <v>0.75</v>
      </c>
      <c r="G24" s="14">
        <v>190</v>
      </c>
      <c r="H24" s="14">
        <v>1272</v>
      </c>
      <c r="I24" s="14">
        <v>0</v>
      </c>
      <c r="J24" s="14">
        <v>0</v>
      </c>
      <c r="K24" s="15">
        <v>21.5</v>
      </c>
      <c r="L24" s="14">
        <v>530</v>
      </c>
      <c r="M24" s="14">
        <v>200</v>
      </c>
      <c r="N24" s="16">
        <v>0.5</v>
      </c>
      <c r="O24" s="15">
        <v>628</v>
      </c>
      <c r="P24" s="15">
        <v>337.1</v>
      </c>
    </row>
    <row r="25" spans="1:16" x14ac:dyDescent="0.3">
      <c r="A25" s="14">
        <v>24</v>
      </c>
      <c r="B25" s="4" t="s">
        <v>28</v>
      </c>
      <c r="C25" s="15">
        <v>12.4</v>
      </c>
      <c r="D25" s="14">
        <v>1590</v>
      </c>
      <c r="E25" s="14">
        <v>1200</v>
      </c>
      <c r="F25" s="16">
        <v>0.75</v>
      </c>
      <c r="G25" s="14">
        <v>190</v>
      </c>
      <c r="H25" s="14">
        <v>1272</v>
      </c>
      <c r="I25" s="14">
        <v>0</v>
      </c>
      <c r="J25" s="14">
        <v>0</v>
      </c>
      <c r="K25" s="15">
        <v>21.5</v>
      </c>
      <c r="L25" s="14">
        <v>530</v>
      </c>
      <c r="M25" s="14">
        <v>200</v>
      </c>
      <c r="N25" s="16">
        <v>0.5</v>
      </c>
      <c r="O25" s="15">
        <v>628</v>
      </c>
      <c r="P25" s="15">
        <v>390.1</v>
      </c>
    </row>
    <row r="26" spans="1:16" x14ac:dyDescent="0.3">
      <c r="A26" s="14">
        <v>25</v>
      </c>
      <c r="B26" s="4" t="s">
        <v>28</v>
      </c>
      <c r="C26" s="15">
        <v>12.4</v>
      </c>
      <c r="D26" s="14">
        <v>1590</v>
      </c>
      <c r="E26" s="14">
        <v>1200</v>
      </c>
      <c r="F26" s="16">
        <v>0.75</v>
      </c>
      <c r="G26" s="14">
        <v>190</v>
      </c>
      <c r="H26" s="14">
        <v>1272</v>
      </c>
      <c r="I26" s="14">
        <v>0</v>
      </c>
      <c r="J26" s="14">
        <v>0</v>
      </c>
      <c r="K26" s="15">
        <v>37.700000000000003</v>
      </c>
      <c r="L26" s="14">
        <v>560</v>
      </c>
      <c r="M26" s="14">
        <v>200</v>
      </c>
      <c r="N26" s="16">
        <v>0.5</v>
      </c>
      <c r="O26" s="15">
        <v>628</v>
      </c>
      <c r="P26" s="15">
        <v>384.2</v>
      </c>
    </row>
    <row r="27" spans="1:16" x14ac:dyDescent="0.3">
      <c r="A27" s="14">
        <v>26</v>
      </c>
      <c r="B27" s="4" t="s">
        <v>28</v>
      </c>
      <c r="C27" s="15">
        <v>12.4</v>
      </c>
      <c r="D27" s="14">
        <v>1590</v>
      </c>
      <c r="E27" s="14">
        <v>1200</v>
      </c>
      <c r="F27" s="16">
        <v>0.75</v>
      </c>
      <c r="G27" s="14">
        <v>190</v>
      </c>
      <c r="H27" s="14">
        <v>1272</v>
      </c>
      <c r="I27" s="14">
        <v>0</v>
      </c>
      <c r="J27" s="14">
        <v>0</v>
      </c>
      <c r="K27" s="15">
        <v>37.700000000000003</v>
      </c>
      <c r="L27" s="14">
        <v>560</v>
      </c>
      <c r="M27" s="14">
        <v>200</v>
      </c>
      <c r="N27" s="16">
        <v>0.5</v>
      </c>
      <c r="O27" s="15">
        <v>628</v>
      </c>
      <c r="P27" s="15">
        <v>362.3</v>
      </c>
    </row>
    <row r="28" spans="1:16" x14ac:dyDescent="0.3">
      <c r="A28" s="14">
        <v>27</v>
      </c>
      <c r="B28" s="4" t="s">
        <v>28</v>
      </c>
      <c r="C28" s="15">
        <v>12.4</v>
      </c>
      <c r="D28" s="14">
        <v>1590</v>
      </c>
      <c r="E28" s="14">
        <v>1200</v>
      </c>
      <c r="F28" s="16">
        <v>0.75</v>
      </c>
      <c r="G28" s="14">
        <v>190</v>
      </c>
      <c r="H28" s="14">
        <v>1272</v>
      </c>
      <c r="I28" s="14">
        <v>0</v>
      </c>
      <c r="J28" s="14">
        <v>0</v>
      </c>
      <c r="K28" s="15">
        <v>37.700000000000003</v>
      </c>
      <c r="L28" s="14">
        <v>560</v>
      </c>
      <c r="M28" s="14">
        <v>200</v>
      </c>
      <c r="N28" s="16">
        <v>0.5</v>
      </c>
      <c r="O28" s="15">
        <v>628</v>
      </c>
      <c r="P28" s="15">
        <v>325</v>
      </c>
    </row>
    <row r="29" spans="1:16" x14ac:dyDescent="0.3">
      <c r="A29" s="14">
        <v>28</v>
      </c>
      <c r="B29" s="4" t="s">
        <v>28</v>
      </c>
      <c r="C29" s="15">
        <v>12.4</v>
      </c>
      <c r="D29" s="14">
        <v>1590</v>
      </c>
      <c r="E29" s="14">
        <v>1200</v>
      </c>
      <c r="F29" s="16">
        <v>0.75</v>
      </c>
      <c r="G29" s="14">
        <v>190</v>
      </c>
      <c r="H29" s="14">
        <v>1272</v>
      </c>
      <c r="I29" s="14">
        <v>0</v>
      </c>
      <c r="J29" s="14">
        <v>0</v>
      </c>
      <c r="K29" s="14">
        <v>0</v>
      </c>
      <c r="L29" s="14">
        <v>0</v>
      </c>
      <c r="M29" s="14">
        <v>0</v>
      </c>
      <c r="N29" s="16">
        <v>0.5</v>
      </c>
      <c r="O29" s="15">
        <v>628</v>
      </c>
      <c r="P29" s="15">
        <v>338.4</v>
      </c>
    </row>
    <row r="30" spans="1:16" x14ac:dyDescent="0.3">
      <c r="A30" s="14">
        <v>29</v>
      </c>
      <c r="B30" s="4" t="s">
        <v>28</v>
      </c>
      <c r="C30" s="15">
        <v>12.4</v>
      </c>
      <c r="D30" s="14">
        <v>1590</v>
      </c>
      <c r="E30" s="14">
        <v>1200</v>
      </c>
      <c r="F30" s="16">
        <v>0.75</v>
      </c>
      <c r="G30" s="14">
        <v>190</v>
      </c>
      <c r="H30" s="14">
        <v>1272</v>
      </c>
      <c r="I30" s="14">
        <v>0</v>
      </c>
      <c r="J30" s="14">
        <v>0</v>
      </c>
      <c r="K30" s="14">
        <v>0</v>
      </c>
      <c r="L30" s="14">
        <v>0</v>
      </c>
      <c r="M30" s="14">
        <v>0</v>
      </c>
      <c r="N30" s="16">
        <v>0.5</v>
      </c>
      <c r="O30" s="15">
        <v>628</v>
      </c>
      <c r="P30" s="15">
        <v>356</v>
      </c>
    </row>
    <row r="31" spans="1:16" x14ac:dyDescent="0.3">
      <c r="A31" s="14">
        <v>30</v>
      </c>
      <c r="B31" s="4" t="s">
        <v>28</v>
      </c>
      <c r="C31" s="15">
        <v>12.4</v>
      </c>
      <c r="D31" s="14">
        <v>1590</v>
      </c>
      <c r="E31" s="14">
        <v>1200</v>
      </c>
      <c r="F31" s="16">
        <v>0.75</v>
      </c>
      <c r="G31" s="14">
        <v>190</v>
      </c>
      <c r="H31" s="14">
        <v>1272</v>
      </c>
      <c r="I31" s="14">
        <v>0</v>
      </c>
      <c r="J31" s="14">
        <v>0</v>
      </c>
      <c r="K31" s="14">
        <v>0</v>
      </c>
      <c r="L31" s="14">
        <v>0</v>
      </c>
      <c r="M31" s="14">
        <v>0</v>
      </c>
      <c r="N31" s="16">
        <v>0.5</v>
      </c>
      <c r="O31" s="15">
        <v>628</v>
      </c>
      <c r="P31" s="15">
        <v>373.9</v>
      </c>
    </row>
    <row r="32" spans="1:16" x14ac:dyDescent="0.3">
      <c r="A32" s="14">
        <v>31</v>
      </c>
      <c r="B32" s="4" t="s">
        <v>28</v>
      </c>
      <c r="C32" s="15">
        <v>12.4</v>
      </c>
      <c r="D32" s="14">
        <v>1590</v>
      </c>
      <c r="E32" s="14">
        <v>1200</v>
      </c>
      <c r="F32" s="16">
        <v>0.75</v>
      </c>
      <c r="G32" s="14">
        <v>190</v>
      </c>
      <c r="H32" s="14">
        <v>1272</v>
      </c>
      <c r="I32" s="14">
        <v>0</v>
      </c>
      <c r="J32" s="14">
        <v>0</v>
      </c>
      <c r="K32" s="15">
        <v>37.700000000000003</v>
      </c>
      <c r="L32" s="14">
        <v>560</v>
      </c>
      <c r="M32" s="14">
        <v>200</v>
      </c>
      <c r="N32" s="16">
        <v>0.5</v>
      </c>
      <c r="O32" s="15">
        <v>628</v>
      </c>
      <c r="P32" s="15">
        <v>360.4</v>
      </c>
    </row>
    <row r="33" spans="1:16" x14ac:dyDescent="0.3">
      <c r="A33" s="14">
        <v>32</v>
      </c>
      <c r="B33" s="4" t="s">
        <v>28</v>
      </c>
      <c r="C33" s="15">
        <v>12.4</v>
      </c>
      <c r="D33" s="14">
        <v>1590</v>
      </c>
      <c r="E33" s="14">
        <v>1200</v>
      </c>
      <c r="F33" s="16">
        <v>0.75</v>
      </c>
      <c r="G33" s="14">
        <v>190</v>
      </c>
      <c r="H33" s="14">
        <v>1272</v>
      </c>
      <c r="I33" s="14">
        <v>0</v>
      </c>
      <c r="J33" s="14">
        <v>0</v>
      </c>
      <c r="K33" s="15">
        <v>37.700000000000003</v>
      </c>
      <c r="L33" s="14">
        <v>560</v>
      </c>
      <c r="M33" s="14">
        <v>200</v>
      </c>
      <c r="N33" s="16">
        <v>0.5</v>
      </c>
      <c r="O33" s="15">
        <v>628</v>
      </c>
      <c r="P33" s="15">
        <v>349.7</v>
      </c>
    </row>
    <row r="34" spans="1:16" x14ac:dyDescent="0.3">
      <c r="A34" s="14">
        <v>33</v>
      </c>
      <c r="B34" s="4" t="s">
        <v>28</v>
      </c>
      <c r="C34" s="15">
        <v>12.4</v>
      </c>
      <c r="D34" s="14">
        <v>1590</v>
      </c>
      <c r="E34" s="14">
        <v>1200</v>
      </c>
      <c r="F34" s="16">
        <v>0.75</v>
      </c>
      <c r="G34" s="14">
        <v>190</v>
      </c>
      <c r="H34" s="14">
        <v>1272</v>
      </c>
      <c r="I34" s="14">
        <v>0</v>
      </c>
      <c r="J34" s="14">
        <v>0</v>
      </c>
      <c r="K34" s="15">
        <v>37.700000000000003</v>
      </c>
      <c r="L34" s="14">
        <v>560</v>
      </c>
      <c r="M34" s="14">
        <v>200</v>
      </c>
      <c r="N34" s="16">
        <v>0.5</v>
      </c>
      <c r="O34" s="15">
        <v>628</v>
      </c>
      <c r="P34" s="15">
        <v>377.8</v>
      </c>
    </row>
    <row r="35" spans="1:16" x14ac:dyDescent="0.3">
      <c r="A35" s="14">
        <v>34</v>
      </c>
      <c r="B35" s="4" t="s">
        <v>28</v>
      </c>
      <c r="C35" s="15">
        <v>16.2</v>
      </c>
      <c r="D35" s="14">
        <v>1590</v>
      </c>
      <c r="E35" s="14">
        <v>1200</v>
      </c>
      <c r="F35" s="16">
        <v>0.75</v>
      </c>
      <c r="G35" s="14">
        <v>190</v>
      </c>
      <c r="H35" s="14">
        <v>1272</v>
      </c>
      <c r="I35" s="14">
        <v>0</v>
      </c>
      <c r="J35" s="14">
        <v>0</v>
      </c>
      <c r="K35" s="14">
        <v>0</v>
      </c>
      <c r="L35" s="14">
        <v>0</v>
      </c>
      <c r="M35" s="14">
        <v>0</v>
      </c>
      <c r="N35" s="16">
        <v>0.37</v>
      </c>
      <c r="O35" s="15">
        <v>353</v>
      </c>
      <c r="P35" s="15">
        <v>186.4</v>
      </c>
    </row>
    <row r="36" spans="1:16" x14ac:dyDescent="0.3">
      <c r="A36" s="14">
        <v>35</v>
      </c>
      <c r="B36" s="4" t="s">
        <v>28</v>
      </c>
      <c r="C36" s="15">
        <v>16.2</v>
      </c>
      <c r="D36" s="14">
        <v>1590</v>
      </c>
      <c r="E36" s="14">
        <v>1200</v>
      </c>
      <c r="F36" s="16">
        <v>0.75</v>
      </c>
      <c r="G36" s="14">
        <v>190</v>
      </c>
      <c r="H36" s="14">
        <v>1272</v>
      </c>
      <c r="I36" s="14">
        <v>0</v>
      </c>
      <c r="J36" s="14">
        <v>0</v>
      </c>
      <c r="K36" s="14">
        <v>0</v>
      </c>
      <c r="L36" s="14">
        <v>0</v>
      </c>
      <c r="M36" s="14">
        <v>0</v>
      </c>
      <c r="N36" s="16">
        <v>0.37</v>
      </c>
      <c r="O36" s="15">
        <v>353</v>
      </c>
      <c r="P36" s="15">
        <v>199.8</v>
      </c>
    </row>
    <row r="37" spans="1:16" x14ac:dyDescent="0.3">
      <c r="A37" s="14">
        <v>36</v>
      </c>
      <c r="B37" s="4" t="s">
        <v>28</v>
      </c>
      <c r="C37" s="15">
        <v>16.2</v>
      </c>
      <c r="D37" s="14">
        <v>1590</v>
      </c>
      <c r="E37" s="14">
        <v>1200</v>
      </c>
      <c r="F37" s="16">
        <v>0.75</v>
      </c>
      <c r="G37" s="14">
        <v>190</v>
      </c>
      <c r="H37" s="14">
        <v>1272</v>
      </c>
      <c r="I37" s="14">
        <v>0</v>
      </c>
      <c r="J37" s="14">
        <v>0</v>
      </c>
      <c r="K37" s="14">
        <v>0</v>
      </c>
      <c r="L37" s="14">
        <v>0</v>
      </c>
      <c r="M37" s="14">
        <v>0</v>
      </c>
      <c r="N37" s="16">
        <v>0.37</v>
      </c>
      <c r="O37" s="15">
        <v>353</v>
      </c>
      <c r="P37" s="15">
        <v>215.5</v>
      </c>
    </row>
    <row r="38" spans="1:16" x14ac:dyDescent="0.3">
      <c r="A38" s="14">
        <v>37</v>
      </c>
      <c r="B38" s="4" t="s">
        <v>28</v>
      </c>
      <c r="C38" s="15">
        <v>12.4</v>
      </c>
      <c r="D38" s="14">
        <v>1590</v>
      </c>
      <c r="E38" s="14">
        <v>1200</v>
      </c>
      <c r="F38" s="16">
        <v>0.75</v>
      </c>
      <c r="G38" s="14">
        <v>190</v>
      </c>
      <c r="H38" s="14">
        <v>1272</v>
      </c>
      <c r="I38" s="14">
        <v>0</v>
      </c>
      <c r="J38" s="14">
        <v>0</v>
      </c>
      <c r="K38" s="14">
        <v>0</v>
      </c>
      <c r="L38" s="14">
        <v>0</v>
      </c>
      <c r="M38" s="14">
        <v>0</v>
      </c>
      <c r="N38" s="16">
        <v>0.5</v>
      </c>
      <c r="O38" s="15">
        <v>839</v>
      </c>
      <c r="P38" s="15">
        <v>459.5</v>
      </c>
    </row>
    <row r="39" spans="1:16" x14ac:dyDescent="0.3">
      <c r="A39" s="14">
        <v>38</v>
      </c>
      <c r="B39" s="4" t="s">
        <v>28</v>
      </c>
      <c r="C39" s="15">
        <v>12.4</v>
      </c>
      <c r="D39" s="14">
        <v>1590</v>
      </c>
      <c r="E39" s="14">
        <v>1200</v>
      </c>
      <c r="F39" s="16">
        <v>0.75</v>
      </c>
      <c r="G39" s="14">
        <v>190</v>
      </c>
      <c r="H39" s="14">
        <v>1272</v>
      </c>
      <c r="I39" s="14">
        <v>0</v>
      </c>
      <c r="J39" s="14">
        <v>0</v>
      </c>
      <c r="K39" s="14">
        <v>0</v>
      </c>
      <c r="L39" s="14">
        <v>0</v>
      </c>
      <c r="M39" s="14">
        <v>0</v>
      </c>
      <c r="N39" s="16">
        <v>0.5</v>
      </c>
      <c r="O39" s="15">
        <v>839</v>
      </c>
      <c r="P39" s="15">
        <v>403.5</v>
      </c>
    </row>
    <row r="40" spans="1:16" x14ac:dyDescent="0.3">
      <c r="A40" s="14">
        <v>39</v>
      </c>
      <c r="B40" s="4" t="s">
        <v>28</v>
      </c>
      <c r="C40" s="15">
        <v>12.4</v>
      </c>
      <c r="D40" s="14">
        <v>1590</v>
      </c>
      <c r="E40" s="14">
        <v>1200</v>
      </c>
      <c r="F40" s="16">
        <v>0.75</v>
      </c>
      <c r="G40" s="14">
        <v>190</v>
      </c>
      <c r="H40" s="14">
        <v>1272</v>
      </c>
      <c r="I40" s="14">
        <v>0</v>
      </c>
      <c r="J40" s="14">
        <v>0</v>
      </c>
      <c r="K40" s="14">
        <v>0</v>
      </c>
      <c r="L40" s="14">
        <v>0</v>
      </c>
      <c r="M40" s="14">
        <v>0</v>
      </c>
      <c r="N40" s="16">
        <v>0.5</v>
      </c>
      <c r="O40" s="15">
        <v>839</v>
      </c>
      <c r="P40" s="15">
        <v>433.6</v>
      </c>
    </row>
    <row r="41" spans="1:16" x14ac:dyDescent="0.3">
      <c r="A41" s="14">
        <v>40</v>
      </c>
      <c r="B41" s="4" t="s">
        <v>28</v>
      </c>
      <c r="C41" s="15">
        <v>12.4</v>
      </c>
      <c r="D41" s="14">
        <v>1590</v>
      </c>
      <c r="E41" s="14">
        <v>1200</v>
      </c>
      <c r="F41" s="16">
        <v>0.75</v>
      </c>
      <c r="G41" s="14">
        <v>190</v>
      </c>
      <c r="H41" s="14">
        <v>1272</v>
      </c>
      <c r="I41" s="14">
        <v>0</v>
      </c>
      <c r="J41" s="14">
        <v>0</v>
      </c>
      <c r="K41" s="15">
        <v>21.5</v>
      </c>
      <c r="L41" s="14">
        <v>530</v>
      </c>
      <c r="M41" s="14">
        <v>200</v>
      </c>
      <c r="N41" s="16">
        <v>0.5</v>
      </c>
      <c r="O41" s="15">
        <v>839</v>
      </c>
      <c r="P41" s="15">
        <v>414.6</v>
      </c>
    </row>
    <row r="42" spans="1:16" x14ac:dyDescent="0.3">
      <c r="A42" s="14">
        <v>41</v>
      </c>
      <c r="B42" s="4" t="s">
        <v>28</v>
      </c>
      <c r="C42" s="15">
        <v>12.4</v>
      </c>
      <c r="D42" s="14">
        <v>1590</v>
      </c>
      <c r="E42" s="14">
        <v>1200</v>
      </c>
      <c r="F42" s="17">
        <v>0.75</v>
      </c>
      <c r="G42" s="14">
        <v>190</v>
      </c>
      <c r="H42" s="14">
        <v>1272</v>
      </c>
      <c r="I42" s="14">
        <v>0</v>
      </c>
      <c r="J42" s="14">
        <v>0</v>
      </c>
      <c r="K42" s="15">
        <v>21.5</v>
      </c>
      <c r="L42" s="14">
        <v>530</v>
      </c>
      <c r="M42" s="14">
        <v>200</v>
      </c>
      <c r="N42" s="16">
        <v>0.5</v>
      </c>
      <c r="O42" s="15">
        <v>839</v>
      </c>
      <c r="P42" s="15">
        <v>393.8</v>
      </c>
    </row>
    <row r="43" spans="1:16" x14ac:dyDescent="0.3">
      <c r="A43" s="14">
        <v>42</v>
      </c>
      <c r="B43" s="4" t="s">
        <v>28</v>
      </c>
      <c r="C43" s="15">
        <v>12.4</v>
      </c>
      <c r="D43" s="14">
        <v>1590</v>
      </c>
      <c r="E43" s="14">
        <v>1200</v>
      </c>
      <c r="F43" s="17">
        <v>0.75</v>
      </c>
      <c r="G43" s="14">
        <v>190</v>
      </c>
      <c r="H43" s="14">
        <v>1272</v>
      </c>
      <c r="I43" s="14">
        <v>0</v>
      </c>
      <c r="J43" s="14">
        <v>0</v>
      </c>
      <c r="K43" s="15">
        <v>21.5</v>
      </c>
      <c r="L43" s="14">
        <v>530</v>
      </c>
      <c r="M43" s="14">
        <v>200</v>
      </c>
      <c r="N43" s="16">
        <v>0.5</v>
      </c>
      <c r="O43" s="15">
        <v>839</v>
      </c>
      <c r="P43" s="15">
        <v>402</v>
      </c>
    </row>
    <row r="44" spans="1:16" x14ac:dyDescent="0.3">
      <c r="A44" s="14">
        <v>43</v>
      </c>
      <c r="B44" s="4" t="s">
        <v>28</v>
      </c>
      <c r="C44" s="15">
        <v>12.4</v>
      </c>
      <c r="D44" s="14">
        <v>1590</v>
      </c>
      <c r="E44" s="14">
        <v>1200</v>
      </c>
      <c r="F44" s="17">
        <v>0.75</v>
      </c>
      <c r="G44" s="14">
        <v>190</v>
      </c>
      <c r="H44" s="14">
        <v>1272</v>
      </c>
      <c r="I44" s="14">
        <v>0</v>
      </c>
      <c r="J44" s="14">
        <v>0</v>
      </c>
      <c r="K44" s="15">
        <v>37.700000000000003</v>
      </c>
      <c r="L44" s="14">
        <v>560</v>
      </c>
      <c r="M44" s="14">
        <v>200</v>
      </c>
      <c r="N44" s="16">
        <v>0.5</v>
      </c>
      <c r="O44" s="15">
        <v>839</v>
      </c>
      <c r="P44" s="15">
        <v>437</v>
      </c>
    </row>
    <row r="45" spans="1:16" x14ac:dyDescent="0.3">
      <c r="A45" s="14">
        <v>44</v>
      </c>
      <c r="B45" s="4" t="s">
        <v>28</v>
      </c>
      <c r="C45" s="15">
        <v>12.4</v>
      </c>
      <c r="D45" s="14">
        <v>1590</v>
      </c>
      <c r="E45" s="14">
        <v>1200</v>
      </c>
      <c r="F45" s="17">
        <v>0.75</v>
      </c>
      <c r="G45" s="14">
        <v>190</v>
      </c>
      <c r="H45" s="14">
        <v>1272</v>
      </c>
      <c r="I45" s="14">
        <v>0</v>
      </c>
      <c r="J45" s="14">
        <v>0</v>
      </c>
      <c r="K45" s="15">
        <v>37.700000000000003</v>
      </c>
      <c r="L45" s="14">
        <v>560</v>
      </c>
      <c r="M45" s="14">
        <v>200</v>
      </c>
      <c r="N45" s="16">
        <v>0.5</v>
      </c>
      <c r="O45" s="15">
        <v>839</v>
      </c>
      <c r="P45" s="15">
        <v>393.3</v>
      </c>
    </row>
    <row r="46" spans="1:16" x14ac:dyDescent="0.3">
      <c r="A46" s="14">
        <v>45</v>
      </c>
      <c r="B46" s="4" t="s">
        <v>28</v>
      </c>
      <c r="C46" s="15">
        <v>12.4</v>
      </c>
      <c r="D46" s="14">
        <v>1590</v>
      </c>
      <c r="E46" s="14">
        <v>1200</v>
      </c>
      <c r="F46" s="17">
        <v>0.75</v>
      </c>
      <c r="G46" s="14">
        <v>190</v>
      </c>
      <c r="H46" s="14">
        <v>1272</v>
      </c>
      <c r="I46" s="14">
        <v>0</v>
      </c>
      <c r="J46" s="14">
        <v>0</v>
      </c>
      <c r="K46" s="15">
        <v>37.700000000000003</v>
      </c>
      <c r="L46" s="14">
        <v>560</v>
      </c>
      <c r="M46" s="14">
        <v>200</v>
      </c>
      <c r="N46" s="16">
        <v>0.5</v>
      </c>
      <c r="O46" s="15">
        <v>839</v>
      </c>
      <c r="P46" s="15">
        <v>425.7</v>
      </c>
    </row>
    <row r="47" spans="1:16" x14ac:dyDescent="0.3">
      <c r="A47" s="14">
        <v>46</v>
      </c>
      <c r="B47" s="4" t="s">
        <v>28</v>
      </c>
      <c r="C47" s="15">
        <v>12.4</v>
      </c>
      <c r="D47" s="14">
        <v>1590</v>
      </c>
      <c r="E47" s="14">
        <v>1200</v>
      </c>
      <c r="F47" s="17">
        <v>0.75</v>
      </c>
      <c r="G47" s="14">
        <v>190</v>
      </c>
      <c r="H47" s="14">
        <v>1272</v>
      </c>
      <c r="I47" s="14">
        <v>0</v>
      </c>
      <c r="J47" s="14">
        <v>0</v>
      </c>
      <c r="K47" s="14">
        <v>0</v>
      </c>
      <c r="L47" s="14">
        <v>0</v>
      </c>
      <c r="M47" s="14">
        <v>0</v>
      </c>
      <c r="N47" s="16">
        <v>0.5</v>
      </c>
      <c r="O47" s="15">
        <v>839</v>
      </c>
      <c r="P47" s="15">
        <v>423.6</v>
      </c>
    </row>
    <row r="48" spans="1:16" x14ac:dyDescent="0.3">
      <c r="A48" s="14">
        <v>47</v>
      </c>
      <c r="B48" s="4" t="s">
        <v>28</v>
      </c>
      <c r="C48" s="15">
        <v>12.4</v>
      </c>
      <c r="D48" s="14">
        <v>1590</v>
      </c>
      <c r="E48" s="14">
        <v>1200</v>
      </c>
      <c r="F48" s="17">
        <v>0.75</v>
      </c>
      <c r="G48" s="14">
        <v>190</v>
      </c>
      <c r="H48" s="14">
        <v>1272</v>
      </c>
      <c r="I48" s="14">
        <v>0</v>
      </c>
      <c r="J48" s="14">
        <v>0</v>
      </c>
      <c r="K48" s="14">
        <v>0</v>
      </c>
      <c r="L48" s="14">
        <v>0</v>
      </c>
      <c r="M48" s="14">
        <v>0</v>
      </c>
      <c r="N48" s="16">
        <v>0.5</v>
      </c>
      <c r="O48" s="15">
        <v>839</v>
      </c>
      <c r="P48" s="15">
        <v>400.9</v>
      </c>
    </row>
    <row r="49" spans="1:16" x14ac:dyDescent="0.3">
      <c r="A49" s="14">
        <v>48</v>
      </c>
      <c r="B49" s="4" t="s">
        <v>28</v>
      </c>
      <c r="C49" s="15">
        <v>12.4</v>
      </c>
      <c r="D49" s="14">
        <v>1590</v>
      </c>
      <c r="E49" s="14">
        <v>1200</v>
      </c>
      <c r="F49" s="17">
        <v>0.75</v>
      </c>
      <c r="G49" s="14">
        <v>190</v>
      </c>
      <c r="H49" s="14">
        <v>1272</v>
      </c>
      <c r="I49" s="14">
        <v>0</v>
      </c>
      <c r="J49" s="14">
        <v>0</v>
      </c>
      <c r="K49" s="14">
        <v>0</v>
      </c>
      <c r="L49" s="14">
        <v>0</v>
      </c>
      <c r="M49" s="14">
        <v>0</v>
      </c>
      <c r="N49" s="16">
        <v>0.5</v>
      </c>
      <c r="O49" s="15">
        <v>839</v>
      </c>
      <c r="P49" s="15">
        <v>405.9</v>
      </c>
    </row>
    <row r="50" spans="1:16" x14ac:dyDescent="0.3">
      <c r="A50" s="14">
        <v>49</v>
      </c>
      <c r="B50" s="4" t="s">
        <v>28</v>
      </c>
      <c r="C50" s="15">
        <v>12.4</v>
      </c>
      <c r="D50" s="14">
        <v>1590</v>
      </c>
      <c r="E50" s="14">
        <v>1200</v>
      </c>
      <c r="F50" s="17">
        <v>0.75</v>
      </c>
      <c r="G50" s="14">
        <v>190</v>
      </c>
      <c r="H50" s="14">
        <v>1272</v>
      </c>
      <c r="I50" s="14">
        <v>0</v>
      </c>
      <c r="J50" s="14">
        <v>0</v>
      </c>
      <c r="K50" s="15">
        <v>37.700000000000003</v>
      </c>
      <c r="L50" s="14">
        <v>560</v>
      </c>
      <c r="M50" s="14">
        <v>200</v>
      </c>
      <c r="N50" s="16">
        <v>0.5</v>
      </c>
      <c r="O50" s="15">
        <v>839</v>
      </c>
      <c r="P50" s="15">
        <v>410.3</v>
      </c>
    </row>
    <row r="51" spans="1:16" x14ac:dyDescent="0.3">
      <c r="A51" s="14">
        <v>50</v>
      </c>
      <c r="B51" s="4" t="s">
        <v>28</v>
      </c>
      <c r="C51" s="15">
        <v>12.4</v>
      </c>
      <c r="D51" s="14">
        <v>1590</v>
      </c>
      <c r="E51" s="14">
        <v>1200</v>
      </c>
      <c r="F51" s="17">
        <v>0.75</v>
      </c>
      <c r="G51" s="14">
        <v>190</v>
      </c>
      <c r="H51" s="14">
        <v>1272</v>
      </c>
      <c r="I51" s="14">
        <v>0</v>
      </c>
      <c r="J51" s="14">
        <v>0</v>
      </c>
      <c r="K51" s="15">
        <v>37.700000000000003</v>
      </c>
      <c r="L51" s="14">
        <v>560</v>
      </c>
      <c r="M51" s="14">
        <v>200</v>
      </c>
      <c r="N51" s="16">
        <v>0.5</v>
      </c>
      <c r="O51" s="15">
        <v>839</v>
      </c>
      <c r="P51" s="15">
        <v>436.8</v>
      </c>
    </row>
    <row r="52" spans="1:16" x14ac:dyDescent="0.3">
      <c r="A52" s="14">
        <v>51</v>
      </c>
      <c r="B52" s="4" t="s">
        <v>28</v>
      </c>
      <c r="C52" s="15">
        <v>16.2</v>
      </c>
      <c r="D52" s="14">
        <v>1590</v>
      </c>
      <c r="E52" s="14">
        <v>1200</v>
      </c>
      <c r="F52" s="17">
        <v>0.75</v>
      </c>
      <c r="G52" s="14">
        <v>190</v>
      </c>
      <c r="H52" s="14">
        <v>1272</v>
      </c>
      <c r="I52" s="14">
        <v>0</v>
      </c>
      <c r="J52" s="14">
        <v>0</v>
      </c>
      <c r="K52" s="15">
        <v>37.700000000000003</v>
      </c>
      <c r="L52" s="14">
        <v>560</v>
      </c>
      <c r="M52" s="14">
        <v>200</v>
      </c>
      <c r="N52" s="16">
        <v>0.5</v>
      </c>
      <c r="O52" s="15">
        <v>839</v>
      </c>
      <c r="P52" s="15">
        <v>443.4</v>
      </c>
    </row>
    <row r="53" spans="1:16" x14ac:dyDescent="0.3">
      <c r="A53" s="14">
        <v>52</v>
      </c>
      <c r="B53" s="4" t="s">
        <v>28</v>
      </c>
      <c r="C53" s="15">
        <v>16.2</v>
      </c>
      <c r="D53" s="14">
        <v>1590</v>
      </c>
      <c r="E53" s="14">
        <v>1200</v>
      </c>
      <c r="F53" s="17">
        <v>0.75</v>
      </c>
      <c r="G53" s="14">
        <v>190</v>
      </c>
      <c r="H53" s="14">
        <v>1272</v>
      </c>
      <c r="I53" s="14">
        <v>0</v>
      </c>
      <c r="J53" s="14">
        <v>0</v>
      </c>
      <c r="K53" s="14">
        <v>0</v>
      </c>
      <c r="L53" s="14">
        <v>0</v>
      </c>
      <c r="M53" s="14">
        <v>0</v>
      </c>
      <c r="N53" s="16">
        <v>0.37</v>
      </c>
      <c r="O53" s="15">
        <v>471</v>
      </c>
      <c r="P53" s="15">
        <v>231.1</v>
      </c>
    </row>
    <row r="54" spans="1:16" x14ac:dyDescent="0.3">
      <c r="A54" s="14">
        <v>53</v>
      </c>
      <c r="B54" s="4" t="s">
        <v>28</v>
      </c>
      <c r="C54" s="15">
        <v>16.2</v>
      </c>
      <c r="D54" s="14">
        <v>1590</v>
      </c>
      <c r="E54" s="14">
        <v>1200</v>
      </c>
      <c r="F54" s="17">
        <v>0.75</v>
      </c>
      <c r="G54" s="14">
        <v>190</v>
      </c>
      <c r="H54" s="14">
        <v>1272</v>
      </c>
      <c r="I54" s="14">
        <v>0</v>
      </c>
      <c r="J54" s="14">
        <v>0</v>
      </c>
      <c r="K54" s="14">
        <v>0</v>
      </c>
      <c r="L54" s="14">
        <v>0</v>
      </c>
      <c r="M54" s="14">
        <v>0</v>
      </c>
      <c r="N54" s="16">
        <v>0.37</v>
      </c>
      <c r="O54" s="15">
        <v>471</v>
      </c>
      <c r="P54" s="15">
        <v>250.8</v>
      </c>
    </row>
    <row r="55" spans="1:16" x14ac:dyDescent="0.3">
      <c r="A55" s="14">
        <v>54</v>
      </c>
      <c r="B55" s="4" t="s">
        <v>28</v>
      </c>
      <c r="C55" s="15">
        <v>19.5</v>
      </c>
      <c r="D55" s="14">
        <v>1590</v>
      </c>
      <c r="E55" s="14">
        <v>1200</v>
      </c>
      <c r="F55" s="17">
        <v>0.75</v>
      </c>
      <c r="G55" s="14">
        <v>190</v>
      </c>
      <c r="H55" s="14">
        <v>1272</v>
      </c>
      <c r="I55" s="14">
        <v>0</v>
      </c>
      <c r="J55" s="14">
        <v>0</v>
      </c>
      <c r="K55" s="14">
        <v>0</v>
      </c>
      <c r="L55" s="14">
        <v>0</v>
      </c>
      <c r="M55" s="14">
        <v>0</v>
      </c>
      <c r="N55" s="16">
        <v>0.37</v>
      </c>
      <c r="O55" s="15">
        <v>471</v>
      </c>
      <c r="P55" s="15">
        <v>237.2</v>
      </c>
    </row>
    <row r="56" spans="1:16" x14ac:dyDescent="0.3">
      <c r="A56" s="14">
        <v>55</v>
      </c>
      <c r="B56" s="4" t="s">
        <v>28</v>
      </c>
      <c r="C56" s="15">
        <v>19.5</v>
      </c>
      <c r="D56" s="14">
        <v>1590</v>
      </c>
      <c r="E56" s="14">
        <v>1200</v>
      </c>
      <c r="F56" s="17">
        <v>0.75</v>
      </c>
      <c r="G56" s="14">
        <v>190</v>
      </c>
      <c r="H56" s="14">
        <v>1272</v>
      </c>
      <c r="I56" s="14">
        <v>0</v>
      </c>
      <c r="J56" s="14">
        <v>0</v>
      </c>
      <c r="K56" s="15">
        <v>21.5</v>
      </c>
      <c r="L56" s="14">
        <v>530</v>
      </c>
      <c r="M56" s="14">
        <v>200</v>
      </c>
      <c r="N56" s="16">
        <v>0.37</v>
      </c>
      <c r="O56" s="15">
        <v>315</v>
      </c>
      <c r="P56" s="15">
        <v>186.4</v>
      </c>
    </row>
    <row r="57" spans="1:16" x14ac:dyDescent="0.3">
      <c r="A57" s="14">
        <v>56</v>
      </c>
      <c r="B57" s="4" t="s">
        <v>28</v>
      </c>
      <c r="C57" s="15">
        <v>19.5</v>
      </c>
      <c r="D57" s="14">
        <v>1590</v>
      </c>
      <c r="E57" s="14">
        <v>1200</v>
      </c>
      <c r="F57" s="17">
        <v>0.75</v>
      </c>
      <c r="G57" s="14">
        <v>190</v>
      </c>
      <c r="H57" s="14">
        <v>1272</v>
      </c>
      <c r="I57" s="14">
        <v>0</v>
      </c>
      <c r="J57" s="14">
        <v>0</v>
      </c>
      <c r="K57" s="15">
        <v>21.5</v>
      </c>
      <c r="L57" s="14">
        <v>530</v>
      </c>
      <c r="M57" s="14">
        <v>200</v>
      </c>
      <c r="N57" s="16">
        <v>0.37</v>
      </c>
      <c r="O57" s="15">
        <v>315</v>
      </c>
      <c r="P57" s="15">
        <v>217.3</v>
      </c>
    </row>
    <row r="58" spans="1:16" x14ac:dyDescent="0.3">
      <c r="A58" s="14">
        <v>57</v>
      </c>
      <c r="B58" s="4" t="s">
        <v>28</v>
      </c>
      <c r="C58" s="15">
        <v>19.5</v>
      </c>
      <c r="D58" s="14">
        <v>1590</v>
      </c>
      <c r="E58" s="14">
        <v>1200</v>
      </c>
      <c r="F58" s="17">
        <v>0.75</v>
      </c>
      <c r="G58" s="14">
        <v>190</v>
      </c>
      <c r="H58" s="14">
        <v>1272</v>
      </c>
      <c r="I58" s="14">
        <v>0</v>
      </c>
      <c r="J58" s="14">
        <v>0</v>
      </c>
      <c r="K58" s="15">
        <v>21.5</v>
      </c>
      <c r="L58" s="14">
        <v>530</v>
      </c>
      <c r="M58" s="14">
        <v>200</v>
      </c>
      <c r="N58" s="16">
        <v>0.37</v>
      </c>
      <c r="O58" s="15">
        <v>315</v>
      </c>
      <c r="P58" s="15">
        <v>208</v>
      </c>
    </row>
    <row r="59" spans="1:16" x14ac:dyDescent="0.3">
      <c r="A59" s="14">
        <v>58</v>
      </c>
      <c r="B59" s="4" t="s">
        <v>28</v>
      </c>
      <c r="C59" s="15">
        <v>19.5</v>
      </c>
      <c r="D59" s="14">
        <v>1590</v>
      </c>
      <c r="E59" s="14">
        <v>1200</v>
      </c>
      <c r="F59" s="17">
        <v>0.75</v>
      </c>
      <c r="G59" s="14">
        <v>190</v>
      </c>
      <c r="H59" s="14">
        <v>1272</v>
      </c>
      <c r="I59" s="14">
        <v>0</v>
      </c>
      <c r="J59" s="14">
        <v>0</v>
      </c>
      <c r="K59" s="15">
        <v>21.5</v>
      </c>
      <c r="L59" s="14">
        <v>530</v>
      </c>
      <c r="M59" s="14">
        <v>200</v>
      </c>
      <c r="N59" s="16">
        <v>0.37</v>
      </c>
      <c r="O59" s="15">
        <v>315</v>
      </c>
      <c r="P59" s="15">
        <v>210.1</v>
      </c>
    </row>
    <row r="60" spans="1:16" x14ac:dyDescent="0.3">
      <c r="A60" s="14">
        <v>59</v>
      </c>
      <c r="B60" s="4" t="s">
        <v>28</v>
      </c>
      <c r="C60" s="15">
        <v>19.5</v>
      </c>
      <c r="D60" s="14">
        <v>1590</v>
      </c>
      <c r="E60" s="14">
        <v>1200</v>
      </c>
      <c r="F60" s="17">
        <v>0.75</v>
      </c>
      <c r="G60" s="14">
        <v>190</v>
      </c>
      <c r="H60" s="14">
        <v>1272</v>
      </c>
      <c r="I60" s="14">
        <v>0</v>
      </c>
      <c r="J60" s="14">
        <v>0</v>
      </c>
      <c r="K60" s="15">
        <v>21.5</v>
      </c>
      <c r="L60" s="14">
        <v>530</v>
      </c>
      <c r="M60" s="14">
        <v>200</v>
      </c>
      <c r="N60" s="16">
        <v>0.37</v>
      </c>
      <c r="O60" s="15">
        <v>315</v>
      </c>
      <c r="P60" s="15">
        <v>206.7</v>
      </c>
    </row>
    <row r="61" spans="1:16" x14ac:dyDescent="0.3">
      <c r="A61" s="14">
        <v>60</v>
      </c>
      <c r="B61" s="4" t="s">
        <v>28</v>
      </c>
      <c r="C61" s="15">
        <v>12.4</v>
      </c>
      <c r="D61" s="14">
        <v>1590</v>
      </c>
      <c r="E61" s="14">
        <v>1200</v>
      </c>
      <c r="F61" s="17">
        <v>0.75</v>
      </c>
      <c r="G61" s="14">
        <v>190</v>
      </c>
      <c r="H61" s="14">
        <v>1280</v>
      </c>
      <c r="I61" s="14">
        <v>0</v>
      </c>
      <c r="J61" s="14">
        <v>0</v>
      </c>
      <c r="K61" s="15">
        <v>21.5</v>
      </c>
      <c r="L61" s="14">
        <v>530</v>
      </c>
      <c r="M61" s="14">
        <v>200</v>
      </c>
      <c r="N61" s="16">
        <v>0.37</v>
      </c>
      <c r="O61" s="15">
        <v>315</v>
      </c>
      <c r="P61" s="15">
        <v>212</v>
      </c>
    </row>
    <row r="62" spans="1:16" x14ac:dyDescent="0.3">
      <c r="A62" s="14">
        <v>61</v>
      </c>
      <c r="B62" s="4" t="s">
        <v>28</v>
      </c>
      <c r="C62" s="15">
        <v>14.2</v>
      </c>
      <c r="D62" s="14">
        <v>1590</v>
      </c>
      <c r="E62" s="14">
        <v>1200</v>
      </c>
      <c r="F62" s="16">
        <v>0.75</v>
      </c>
      <c r="G62" s="14">
        <v>190</v>
      </c>
      <c r="H62" s="14">
        <v>1272</v>
      </c>
      <c r="I62" s="14">
        <v>0</v>
      </c>
      <c r="J62" s="14">
        <v>0</v>
      </c>
      <c r="K62" s="15">
        <v>21.5</v>
      </c>
      <c r="L62" s="14">
        <v>530</v>
      </c>
      <c r="M62" s="14">
        <v>200</v>
      </c>
      <c r="N62" s="16">
        <v>0.5</v>
      </c>
      <c r="O62" s="15">
        <v>608</v>
      </c>
      <c r="P62" s="15">
        <v>350.7</v>
      </c>
    </row>
    <row r="63" spans="1:16" x14ac:dyDescent="0.3">
      <c r="A63" s="14">
        <v>62</v>
      </c>
      <c r="B63" s="4" t="s">
        <v>28</v>
      </c>
      <c r="C63" s="15">
        <v>14.2</v>
      </c>
      <c r="D63" s="14">
        <v>1590</v>
      </c>
      <c r="E63" s="14">
        <v>1200</v>
      </c>
      <c r="F63" s="16">
        <v>0.75</v>
      </c>
      <c r="G63" s="14">
        <v>190</v>
      </c>
      <c r="H63" s="14">
        <v>1272</v>
      </c>
      <c r="I63" s="14">
        <v>0</v>
      </c>
      <c r="J63" s="14">
        <v>0</v>
      </c>
      <c r="K63" s="15">
        <v>21.5</v>
      </c>
      <c r="L63" s="14">
        <v>530</v>
      </c>
      <c r="M63" s="14">
        <v>200</v>
      </c>
      <c r="N63" s="16">
        <v>0.5</v>
      </c>
      <c r="O63" s="15">
        <v>608</v>
      </c>
      <c r="P63" s="15">
        <v>323.10000000000002</v>
      </c>
    </row>
    <row r="64" spans="1:16" x14ac:dyDescent="0.3">
      <c r="A64" s="14">
        <v>63</v>
      </c>
      <c r="B64" s="4" t="s">
        <v>28</v>
      </c>
      <c r="C64" s="15">
        <v>14.2</v>
      </c>
      <c r="D64" s="14">
        <v>1590</v>
      </c>
      <c r="E64" s="14">
        <v>1200</v>
      </c>
      <c r="F64" s="16">
        <v>0.75</v>
      </c>
      <c r="G64" s="14">
        <v>190</v>
      </c>
      <c r="H64" s="14">
        <v>1272</v>
      </c>
      <c r="I64" s="14">
        <v>0</v>
      </c>
      <c r="J64" s="14">
        <v>0</v>
      </c>
      <c r="K64" s="15">
        <v>21.5</v>
      </c>
      <c r="L64" s="14">
        <v>530</v>
      </c>
      <c r="M64" s="14">
        <v>200</v>
      </c>
      <c r="N64" s="16">
        <v>0.5</v>
      </c>
      <c r="O64" s="15">
        <v>608</v>
      </c>
      <c r="P64" s="15">
        <v>339.2</v>
      </c>
    </row>
    <row r="65" spans="1:16" x14ac:dyDescent="0.3">
      <c r="A65" s="14">
        <v>64</v>
      </c>
      <c r="B65" s="4" t="s">
        <v>28</v>
      </c>
      <c r="C65" s="15">
        <v>14.2</v>
      </c>
      <c r="D65" s="14">
        <v>1590</v>
      </c>
      <c r="E65" s="14">
        <v>1200</v>
      </c>
      <c r="F65" s="16">
        <v>0.75</v>
      </c>
      <c r="G65" s="14">
        <v>190</v>
      </c>
      <c r="H65" s="14">
        <v>1272</v>
      </c>
      <c r="I65" s="14">
        <v>0</v>
      </c>
      <c r="J65" s="14">
        <v>0</v>
      </c>
      <c r="K65" s="15">
        <v>21.5</v>
      </c>
      <c r="L65" s="14">
        <v>530</v>
      </c>
      <c r="M65" s="14">
        <v>200</v>
      </c>
      <c r="N65" s="16">
        <v>0.5</v>
      </c>
      <c r="O65" s="15">
        <v>608</v>
      </c>
      <c r="P65" s="15">
        <v>320.39999999999998</v>
      </c>
    </row>
    <row r="66" spans="1:16" x14ac:dyDescent="0.3">
      <c r="A66" s="14">
        <v>65</v>
      </c>
      <c r="B66" s="4" t="s">
        <v>28</v>
      </c>
      <c r="C66" s="15">
        <v>14.2</v>
      </c>
      <c r="D66" s="14">
        <v>1590</v>
      </c>
      <c r="E66" s="14">
        <v>1200</v>
      </c>
      <c r="F66" s="16">
        <v>0.75</v>
      </c>
      <c r="G66" s="14">
        <v>190</v>
      </c>
      <c r="H66" s="14">
        <v>1272</v>
      </c>
      <c r="I66" s="14">
        <v>0</v>
      </c>
      <c r="J66" s="14">
        <v>0</v>
      </c>
      <c r="K66" s="15">
        <v>21.5</v>
      </c>
      <c r="L66" s="14">
        <v>530</v>
      </c>
      <c r="M66" s="14">
        <v>200</v>
      </c>
      <c r="N66" s="16">
        <v>0.5</v>
      </c>
      <c r="O66" s="15">
        <v>608</v>
      </c>
      <c r="P66" s="15">
        <v>334.6</v>
      </c>
    </row>
    <row r="67" spans="1:16" x14ac:dyDescent="0.3">
      <c r="A67" s="14">
        <v>66</v>
      </c>
      <c r="B67" s="4" t="s">
        <v>28</v>
      </c>
      <c r="C67" s="15">
        <v>14.2</v>
      </c>
      <c r="D67" s="14">
        <v>1590</v>
      </c>
      <c r="E67" s="14">
        <v>1200</v>
      </c>
      <c r="F67" s="16">
        <v>0.75</v>
      </c>
      <c r="G67" s="14">
        <v>190</v>
      </c>
      <c r="H67" s="14">
        <v>1272</v>
      </c>
      <c r="I67" s="14">
        <v>0</v>
      </c>
      <c r="J67" s="14">
        <v>0</v>
      </c>
      <c r="K67" s="15">
        <v>21.5</v>
      </c>
      <c r="L67" s="14">
        <v>530</v>
      </c>
      <c r="M67" s="14">
        <v>200</v>
      </c>
      <c r="N67" s="16">
        <v>0.5</v>
      </c>
      <c r="O67" s="15">
        <v>608</v>
      </c>
      <c r="P67" s="15">
        <v>333.2</v>
      </c>
    </row>
    <row r="68" spans="1:16" hidden="1" x14ac:dyDescent="0.3">
      <c r="A68" s="18">
        <v>67</v>
      </c>
      <c r="B68" s="31" t="s">
        <v>29</v>
      </c>
      <c r="C68" s="19">
        <v>17.600000000000001</v>
      </c>
      <c r="D68" s="18">
        <v>1800</v>
      </c>
      <c r="E68" s="18">
        <v>1800</v>
      </c>
      <c r="F68" s="20">
        <v>1</v>
      </c>
      <c r="G68" s="18">
        <v>140</v>
      </c>
      <c r="H68" s="18">
        <v>1440</v>
      </c>
      <c r="I68" s="18">
        <v>1570</v>
      </c>
      <c r="J68" s="18">
        <v>318</v>
      </c>
      <c r="K68" s="19">
        <v>28.3</v>
      </c>
      <c r="L68" s="18">
        <v>325</v>
      </c>
      <c r="M68" s="18">
        <v>400</v>
      </c>
      <c r="N68" s="19">
        <v>1</v>
      </c>
      <c r="O68" s="18">
        <v>0</v>
      </c>
      <c r="P68" s="19">
        <v>215</v>
      </c>
    </row>
    <row r="69" spans="1:16" hidden="1" x14ac:dyDescent="0.3">
      <c r="A69" s="18">
        <v>68</v>
      </c>
      <c r="B69" s="31" t="s">
        <v>29</v>
      </c>
      <c r="C69" s="19">
        <v>17.600000000000001</v>
      </c>
      <c r="D69" s="18">
        <v>1800</v>
      </c>
      <c r="E69" s="18">
        <v>1800</v>
      </c>
      <c r="F69" s="20">
        <v>1</v>
      </c>
      <c r="G69" s="18">
        <v>140</v>
      </c>
      <c r="H69" s="18">
        <v>1440</v>
      </c>
      <c r="I69" s="18">
        <v>1570</v>
      </c>
      <c r="J69" s="18">
        <v>318</v>
      </c>
      <c r="K69" s="19">
        <v>28.3</v>
      </c>
      <c r="L69" s="18">
        <v>325</v>
      </c>
      <c r="M69" s="18">
        <v>1800</v>
      </c>
      <c r="N69" s="19">
        <v>1</v>
      </c>
      <c r="O69" s="18">
        <v>0</v>
      </c>
      <c r="P69" s="19">
        <v>195</v>
      </c>
    </row>
    <row r="70" spans="1:16" hidden="1" x14ac:dyDescent="0.3">
      <c r="A70" s="18">
        <v>69</v>
      </c>
      <c r="B70" s="31" t="s">
        <v>29</v>
      </c>
      <c r="C70" s="18">
        <v>17</v>
      </c>
      <c r="D70" s="18">
        <v>1800</v>
      </c>
      <c r="E70" s="18">
        <v>1800</v>
      </c>
      <c r="F70" s="20">
        <v>1</v>
      </c>
      <c r="G70" s="18">
        <v>140</v>
      </c>
      <c r="H70" s="18">
        <v>1440</v>
      </c>
      <c r="I70" s="18">
        <v>1570</v>
      </c>
      <c r="J70" s="18">
        <v>318</v>
      </c>
      <c r="K70" s="19">
        <v>78.5</v>
      </c>
      <c r="L70" s="18">
        <v>320</v>
      </c>
      <c r="M70" s="18">
        <v>400</v>
      </c>
      <c r="N70" s="19">
        <v>1</v>
      </c>
      <c r="O70" s="18">
        <v>0</v>
      </c>
      <c r="P70" s="19">
        <v>215</v>
      </c>
    </row>
    <row r="71" spans="1:16" hidden="1" x14ac:dyDescent="0.3">
      <c r="A71" s="18">
        <v>70</v>
      </c>
      <c r="B71" s="31" t="s">
        <v>29</v>
      </c>
      <c r="C71" s="18">
        <v>17</v>
      </c>
      <c r="D71" s="18">
        <v>1800</v>
      </c>
      <c r="E71" s="18">
        <v>1800</v>
      </c>
      <c r="F71" s="20">
        <v>1</v>
      </c>
      <c r="G71" s="18">
        <v>140</v>
      </c>
      <c r="H71" s="18">
        <v>1440</v>
      </c>
      <c r="I71" s="18">
        <v>1570</v>
      </c>
      <c r="J71" s="18">
        <v>318</v>
      </c>
      <c r="K71" s="19">
        <v>78.5</v>
      </c>
      <c r="L71" s="18">
        <v>320</v>
      </c>
      <c r="M71" s="18">
        <v>900</v>
      </c>
      <c r="N71" s="19">
        <v>1</v>
      </c>
      <c r="O71" s="18">
        <v>0</v>
      </c>
      <c r="P71" s="19">
        <v>223</v>
      </c>
    </row>
    <row r="72" spans="1:16" x14ac:dyDescent="0.3">
      <c r="A72" s="18">
        <v>71</v>
      </c>
      <c r="B72" s="31" t="s">
        <v>29</v>
      </c>
      <c r="C72" s="19">
        <v>18.5</v>
      </c>
      <c r="D72" s="18">
        <v>1800</v>
      </c>
      <c r="E72" s="18">
        <v>1800</v>
      </c>
      <c r="F72" s="20">
        <v>1</v>
      </c>
      <c r="G72" s="18">
        <v>140</v>
      </c>
      <c r="H72" s="18">
        <v>1440</v>
      </c>
      <c r="I72" s="18">
        <v>1570</v>
      </c>
      <c r="J72" s="18">
        <v>318</v>
      </c>
      <c r="K72" s="18">
        <v>0</v>
      </c>
      <c r="L72" s="18">
        <v>0</v>
      </c>
      <c r="M72" s="20">
        <v>0</v>
      </c>
      <c r="N72" s="19">
        <v>0.5</v>
      </c>
      <c r="O72" s="18">
        <v>0</v>
      </c>
      <c r="P72" s="19">
        <v>143</v>
      </c>
    </row>
    <row r="73" spans="1:16" x14ac:dyDescent="0.3">
      <c r="A73" s="18">
        <v>72</v>
      </c>
      <c r="B73" s="31" t="s">
        <v>29</v>
      </c>
      <c r="C73" s="19">
        <v>18.5</v>
      </c>
      <c r="D73" s="18">
        <v>1800</v>
      </c>
      <c r="E73" s="18">
        <v>1800</v>
      </c>
      <c r="F73" s="20">
        <v>1</v>
      </c>
      <c r="G73" s="18">
        <v>140</v>
      </c>
      <c r="H73" s="18">
        <v>1440</v>
      </c>
      <c r="I73" s="18">
        <v>942</v>
      </c>
      <c r="J73" s="18">
        <v>318</v>
      </c>
      <c r="K73" s="18">
        <v>0</v>
      </c>
      <c r="L73" s="18">
        <v>0</v>
      </c>
      <c r="M73" s="20">
        <v>0</v>
      </c>
      <c r="N73" s="19">
        <v>0.5</v>
      </c>
      <c r="O73" s="18">
        <v>0</v>
      </c>
      <c r="P73" s="19">
        <v>93</v>
      </c>
    </row>
    <row r="74" spans="1:16" hidden="1" x14ac:dyDescent="0.3">
      <c r="A74" s="18">
        <v>73</v>
      </c>
      <c r="B74" s="31" t="s">
        <v>29</v>
      </c>
      <c r="C74" s="19">
        <v>18.8</v>
      </c>
      <c r="D74" s="18">
        <v>1800</v>
      </c>
      <c r="E74" s="18">
        <v>1800</v>
      </c>
      <c r="F74" s="20">
        <v>1</v>
      </c>
      <c r="G74" s="18">
        <v>140</v>
      </c>
      <c r="H74" s="18">
        <v>1440</v>
      </c>
      <c r="I74" s="18">
        <v>1570</v>
      </c>
      <c r="J74" s="18">
        <v>318</v>
      </c>
      <c r="K74" s="19">
        <v>28.3</v>
      </c>
      <c r="L74" s="18">
        <v>325</v>
      </c>
      <c r="M74" s="18">
        <v>400</v>
      </c>
      <c r="N74" s="19">
        <v>1</v>
      </c>
      <c r="O74" s="19">
        <v>126</v>
      </c>
      <c r="P74" s="19">
        <v>263</v>
      </c>
    </row>
    <row r="75" spans="1:16" hidden="1" x14ac:dyDescent="0.3">
      <c r="A75" s="18">
        <v>74</v>
      </c>
      <c r="B75" s="31" t="s">
        <v>29</v>
      </c>
      <c r="C75" s="19">
        <v>18.8</v>
      </c>
      <c r="D75" s="18">
        <v>1800</v>
      </c>
      <c r="E75" s="18">
        <v>1800</v>
      </c>
      <c r="F75" s="20">
        <v>1</v>
      </c>
      <c r="G75" s="18">
        <v>140</v>
      </c>
      <c r="H75" s="18">
        <v>1440</v>
      </c>
      <c r="I75" s="18">
        <v>1570</v>
      </c>
      <c r="J75" s="18">
        <v>318</v>
      </c>
      <c r="K75" s="19">
        <v>28.3</v>
      </c>
      <c r="L75" s="18">
        <v>325</v>
      </c>
      <c r="M75" s="18">
        <v>400</v>
      </c>
      <c r="N75" s="19">
        <v>1</v>
      </c>
      <c r="O75" s="19">
        <v>63</v>
      </c>
      <c r="P75" s="19">
        <v>244</v>
      </c>
    </row>
    <row r="76" spans="1:16" hidden="1" x14ac:dyDescent="0.3">
      <c r="A76" s="18">
        <v>75</v>
      </c>
      <c r="B76" s="31" t="s">
        <v>29</v>
      </c>
      <c r="C76" s="19">
        <v>24.3</v>
      </c>
      <c r="D76" s="18">
        <v>1800</v>
      </c>
      <c r="E76" s="18">
        <v>3600</v>
      </c>
      <c r="F76" s="20">
        <v>2</v>
      </c>
      <c r="G76" s="18">
        <v>140</v>
      </c>
      <c r="H76" s="18">
        <v>1440</v>
      </c>
      <c r="I76" s="18">
        <v>2454</v>
      </c>
      <c r="J76" s="18">
        <v>318</v>
      </c>
      <c r="K76" s="19">
        <v>28.3</v>
      </c>
      <c r="L76" s="18">
        <v>325</v>
      </c>
      <c r="M76" s="18">
        <v>400</v>
      </c>
      <c r="N76" s="19">
        <v>1</v>
      </c>
      <c r="O76" s="19">
        <v>63</v>
      </c>
      <c r="P76" s="19">
        <v>207</v>
      </c>
    </row>
    <row r="77" spans="1:16" hidden="1" x14ac:dyDescent="0.3">
      <c r="A77" s="18">
        <v>76</v>
      </c>
      <c r="B77" s="31" t="s">
        <v>29</v>
      </c>
      <c r="C77" s="19">
        <v>24.3</v>
      </c>
      <c r="D77" s="18">
        <v>3000</v>
      </c>
      <c r="E77" s="18">
        <v>1800</v>
      </c>
      <c r="F77" s="20">
        <v>0.6</v>
      </c>
      <c r="G77" s="18">
        <v>140</v>
      </c>
      <c r="H77" s="18">
        <v>2400</v>
      </c>
      <c r="I77" s="18">
        <v>2513</v>
      </c>
      <c r="J77" s="18">
        <v>318</v>
      </c>
      <c r="K77" s="19">
        <v>28.3</v>
      </c>
      <c r="L77" s="18">
        <v>325</v>
      </c>
      <c r="M77" s="18">
        <v>400</v>
      </c>
      <c r="N77" s="19">
        <v>1</v>
      </c>
      <c r="O77" s="19">
        <v>63</v>
      </c>
      <c r="P77" s="19">
        <v>598</v>
      </c>
    </row>
    <row r="78" spans="1:16" x14ac:dyDescent="0.3">
      <c r="A78" s="14">
        <v>77</v>
      </c>
      <c r="B78" s="4" t="s">
        <v>30</v>
      </c>
      <c r="C78" s="15">
        <v>15.5</v>
      </c>
      <c r="D78" s="14">
        <v>2845</v>
      </c>
      <c r="E78" s="14">
        <v>1422</v>
      </c>
      <c r="F78" s="16">
        <v>0.5</v>
      </c>
      <c r="G78" s="14">
        <v>195</v>
      </c>
      <c r="H78" s="14">
        <v>2276</v>
      </c>
      <c r="I78" s="14">
        <v>1135</v>
      </c>
      <c r="J78" s="14">
        <v>414</v>
      </c>
      <c r="K78" s="15">
        <v>22.2</v>
      </c>
      <c r="L78" s="14">
        <v>483</v>
      </c>
      <c r="M78" s="14">
        <v>200</v>
      </c>
      <c r="N78" s="15">
        <v>0.4</v>
      </c>
      <c r="O78" s="15">
        <v>265</v>
      </c>
      <c r="P78" s="15">
        <v>261.3</v>
      </c>
    </row>
    <row r="79" spans="1:16" x14ac:dyDescent="0.3">
      <c r="A79" s="14">
        <v>78</v>
      </c>
      <c r="B79" s="4" t="s">
        <v>30</v>
      </c>
      <c r="C79" s="15">
        <v>15.5</v>
      </c>
      <c r="D79" s="14">
        <v>2032</v>
      </c>
      <c r="E79" s="14">
        <v>1422</v>
      </c>
      <c r="F79" s="16">
        <v>0.7</v>
      </c>
      <c r="G79" s="14">
        <v>195</v>
      </c>
      <c r="H79" s="14">
        <v>1626</v>
      </c>
      <c r="I79" s="14">
        <v>1135</v>
      </c>
      <c r="J79" s="14">
        <v>414</v>
      </c>
      <c r="K79" s="15">
        <v>22.2</v>
      </c>
      <c r="L79" s="14">
        <v>483</v>
      </c>
      <c r="M79" s="14">
        <v>200</v>
      </c>
      <c r="N79" s="15">
        <v>0.4</v>
      </c>
      <c r="O79" s="15">
        <v>185.4</v>
      </c>
      <c r="P79" s="15">
        <v>253.5</v>
      </c>
    </row>
    <row r="80" spans="1:16" x14ac:dyDescent="0.3">
      <c r="A80" s="14">
        <v>79</v>
      </c>
      <c r="B80" s="4" t="s">
        <v>30</v>
      </c>
      <c r="C80" s="15">
        <v>15.5</v>
      </c>
      <c r="D80" s="14">
        <v>1422</v>
      </c>
      <c r="E80" s="14">
        <v>1422</v>
      </c>
      <c r="F80" s="16">
        <v>1</v>
      </c>
      <c r="G80" s="14">
        <v>195</v>
      </c>
      <c r="H80" s="14">
        <v>1138</v>
      </c>
      <c r="I80" s="14">
        <v>1135</v>
      </c>
      <c r="J80" s="14">
        <v>414</v>
      </c>
      <c r="K80" s="15">
        <v>22.2</v>
      </c>
      <c r="L80" s="14">
        <v>483</v>
      </c>
      <c r="M80" s="14">
        <v>200</v>
      </c>
      <c r="N80" s="15">
        <v>0.4</v>
      </c>
      <c r="O80" s="15">
        <v>130.19999999999999</v>
      </c>
      <c r="P80" s="15">
        <v>175.9</v>
      </c>
    </row>
    <row r="81" spans="1:16" x14ac:dyDescent="0.3">
      <c r="A81" s="14">
        <v>80</v>
      </c>
      <c r="B81" s="4" t="s">
        <v>30</v>
      </c>
      <c r="C81" s="21">
        <v>15.5</v>
      </c>
      <c r="D81" s="22">
        <v>2845</v>
      </c>
      <c r="E81" s="22">
        <v>1422</v>
      </c>
      <c r="F81" s="23">
        <v>0.5</v>
      </c>
      <c r="G81" s="22">
        <v>195</v>
      </c>
      <c r="H81" s="22">
        <v>2276</v>
      </c>
      <c r="I81" s="22">
        <v>1135</v>
      </c>
      <c r="J81" s="22">
        <v>414</v>
      </c>
      <c r="K81" s="21">
        <v>43.5</v>
      </c>
      <c r="L81" s="22">
        <v>483</v>
      </c>
      <c r="M81" s="22">
        <v>200</v>
      </c>
      <c r="N81" s="21">
        <v>0.4</v>
      </c>
      <c r="O81" s="21">
        <v>265.5</v>
      </c>
      <c r="P81" s="21">
        <v>243.4</v>
      </c>
    </row>
    <row r="82" spans="1:16" x14ac:dyDescent="0.3">
      <c r="A82" s="18">
        <v>81</v>
      </c>
      <c r="B82" s="4" t="s">
        <v>30</v>
      </c>
      <c r="C82" s="24">
        <v>15.5</v>
      </c>
      <c r="D82" s="25">
        <v>2032</v>
      </c>
      <c r="E82" s="25">
        <v>1422</v>
      </c>
      <c r="F82" s="26">
        <v>0.7</v>
      </c>
      <c r="G82" s="25">
        <v>195</v>
      </c>
      <c r="H82" s="25">
        <v>1626</v>
      </c>
      <c r="I82" s="25">
        <v>1135</v>
      </c>
      <c r="J82" s="25">
        <v>414</v>
      </c>
      <c r="K82" s="24">
        <v>43.5</v>
      </c>
      <c r="L82" s="25">
        <v>483</v>
      </c>
      <c r="M82" s="25">
        <v>200</v>
      </c>
      <c r="N82" s="24">
        <v>0.4</v>
      </c>
      <c r="O82" s="24">
        <v>187.6</v>
      </c>
      <c r="P82" s="24">
        <v>270.3</v>
      </c>
    </row>
    <row r="83" spans="1:16" x14ac:dyDescent="0.3">
      <c r="A83" s="18">
        <v>82</v>
      </c>
      <c r="B83" s="4" t="s">
        <v>30</v>
      </c>
      <c r="C83" s="24">
        <v>15.5</v>
      </c>
      <c r="D83" s="25">
        <v>1422</v>
      </c>
      <c r="E83" s="25">
        <v>1422</v>
      </c>
      <c r="F83" s="26">
        <v>1</v>
      </c>
      <c r="G83" s="25">
        <v>195</v>
      </c>
      <c r="H83" s="25">
        <v>1138</v>
      </c>
      <c r="I83" s="25">
        <v>1135</v>
      </c>
      <c r="J83" s="25">
        <v>414</v>
      </c>
      <c r="K83" s="24">
        <v>43.5</v>
      </c>
      <c r="L83" s="25">
        <v>483</v>
      </c>
      <c r="M83" s="25">
        <v>200</v>
      </c>
      <c r="N83" s="24">
        <v>0.4</v>
      </c>
      <c r="O83" s="24">
        <v>133.19999999999999</v>
      </c>
      <c r="P83" s="24">
        <v>211.3</v>
      </c>
    </row>
    <row r="84" spans="1:16" hidden="1" x14ac:dyDescent="0.3">
      <c r="A84" s="14">
        <v>83</v>
      </c>
      <c r="B84" s="4" t="s">
        <v>31</v>
      </c>
      <c r="C84" s="15">
        <v>21.8</v>
      </c>
      <c r="D84" s="14">
        <v>1590</v>
      </c>
      <c r="E84" s="14">
        <v>1800</v>
      </c>
      <c r="F84" s="16">
        <v>1.1299999999999999</v>
      </c>
      <c r="G84" s="14">
        <v>150</v>
      </c>
      <c r="H84" s="14">
        <v>1272</v>
      </c>
      <c r="I84" s="14">
        <v>2030</v>
      </c>
      <c r="J84" s="14">
        <v>385</v>
      </c>
      <c r="K84" s="15">
        <v>70.8</v>
      </c>
      <c r="L84" s="14">
        <v>385</v>
      </c>
      <c r="M84" s="14">
        <v>400</v>
      </c>
      <c r="N84" s="15">
        <v>1</v>
      </c>
      <c r="O84" s="15">
        <v>116.9</v>
      </c>
      <c r="P84" s="15">
        <v>381.6</v>
      </c>
    </row>
    <row r="85" spans="1:16" hidden="1" x14ac:dyDescent="0.3">
      <c r="A85" s="14">
        <v>84</v>
      </c>
      <c r="B85" s="4" t="s">
        <v>31</v>
      </c>
      <c r="C85" s="15">
        <v>21.8</v>
      </c>
      <c r="D85" s="14">
        <v>1190</v>
      </c>
      <c r="E85" s="14">
        <v>1800</v>
      </c>
      <c r="F85" s="16">
        <v>1.51</v>
      </c>
      <c r="G85" s="14">
        <v>150</v>
      </c>
      <c r="H85" s="14">
        <v>952</v>
      </c>
      <c r="I85" s="14">
        <v>1548</v>
      </c>
      <c r="J85" s="14">
        <v>385</v>
      </c>
      <c r="K85" s="15">
        <v>70.8</v>
      </c>
      <c r="L85" s="14">
        <v>385</v>
      </c>
      <c r="M85" s="14">
        <v>400</v>
      </c>
      <c r="N85" s="15">
        <v>1</v>
      </c>
      <c r="O85" s="15">
        <v>87.5</v>
      </c>
      <c r="P85" s="15">
        <v>219.6</v>
      </c>
    </row>
    <row r="86" spans="1:16" hidden="1" x14ac:dyDescent="0.3">
      <c r="A86" s="14">
        <v>85</v>
      </c>
      <c r="B86" s="4" t="s">
        <v>31</v>
      </c>
      <c r="C86" s="15">
        <v>21.8</v>
      </c>
      <c r="D86" s="14">
        <v>1190</v>
      </c>
      <c r="E86" s="14">
        <v>1800</v>
      </c>
      <c r="F86" s="16">
        <v>1.51</v>
      </c>
      <c r="G86" s="14">
        <v>150</v>
      </c>
      <c r="H86" s="14">
        <v>952</v>
      </c>
      <c r="I86" s="14">
        <v>1548</v>
      </c>
      <c r="J86" s="14">
        <v>385</v>
      </c>
      <c r="K86" s="15">
        <v>70.8</v>
      </c>
      <c r="L86" s="14">
        <v>385</v>
      </c>
      <c r="M86" s="14">
        <v>400</v>
      </c>
      <c r="N86" s="15">
        <v>1</v>
      </c>
      <c r="O86" s="15">
        <v>87.5</v>
      </c>
      <c r="P86" s="15">
        <v>246.3</v>
      </c>
    </row>
    <row r="87" spans="1:16" hidden="1" x14ac:dyDescent="0.3">
      <c r="A87" s="14">
        <v>86</v>
      </c>
      <c r="B87" s="4" t="s">
        <v>31</v>
      </c>
      <c r="C87" s="15">
        <v>22.3</v>
      </c>
      <c r="D87" s="14">
        <v>1190</v>
      </c>
      <c r="E87" s="14">
        <v>1800</v>
      </c>
      <c r="F87" s="16">
        <v>1.51</v>
      </c>
      <c r="G87" s="14">
        <v>190</v>
      </c>
      <c r="H87" s="14">
        <v>952</v>
      </c>
      <c r="I87" s="14">
        <v>1148</v>
      </c>
      <c r="J87" s="14">
        <v>385</v>
      </c>
      <c r="K87" s="14">
        <v>0</v>
      </c>
      <c r="L87" s="14">
        <v>0</v>
      </c>
      <c r="M87" s="14">
        <v>0</v>
      </c>
      <c r="N87" s="15">
        <v>1</v>
      </c>
      <c r="O87" s="15">
        <v>443.2</v>
      </c>
      <c r="P87" s="15">
        <v>266.8</v>
      </c>
    </row>
    <row r="88" spans="1:16" hidden="1" x14ac:dyDescent="0.3">
      <c r="A88" s="14">
        <v>87</v>
      </c>
      <c r="B88" s="4" t="s">
        <v>31</v>
      </c>
      <c r="C88" s="15">
        <v>22.3</v>
      </c>
      <c r="D88" s="14">
        <v>1190</v>
      </c>
      <c r="E88" s="14">
        <v>1800</v>
      </c>
      <c r="F88" s="16">
        <v>1.51</v>
      </c>
      <c r="G88" s="14">
        <v>190</v>
      </c>
      <c r="H88" s="14">
        <v>952</v>
      </c>
      <c r="I88" s="14">
        <v>1148</v>
      </c>
      <c r="J88" s="14">
        <v>385</v>
      </c>
      <c r="K88" s="15">
        <v>126.9</v>
      </c>
      <c r="L88" s="14">
        <v>385</v>
      </c>
      <c r="M88" s="14">
        <v>400</v>
      </c>
      <c r="N88" s="15">
        <v>1</v>
      </c>
      <c r="O88" s="15">
        <v>443.2</v>
      </c>
      <c r="P88" s="15">
        <v>427.3</v>
      </c>
    </row>
    <row r="89" spans="1:16" hidden="1" x14ac:dyDescent="0.3">
      <c r="A89" s="14">
        <v>88</v>
      </c>
      <c r="B89" s="4" t="s">
        <v>31</v>
      </c>
      <c r="C89" s="15">
        <v>22.3</v>
      </c>
      <c r="D89" s="14">
        <v>1190</v>
      </c>
      <c r="E89" s="14">
        <v>1800</v>
      </c>
      <c r="F89" s="16">
        <v>1.51</v>
      </c>
      <c r="G89" s="14">
        <v>190</v>
      </c>
      <c r="H89" s="14">
        <v>952</v>
      </c>
      <c r="I89" s="14">
        <v>1148</v>
      </c>
      <c r="J89" s="14">
        <v>385</v>
      </c>
      <c r="K89" s="15">
        <v>253.8</v>
      </c>
      <c r="L89" s="14">
        <v>385</v>
      </c>
      <c r="M89" s="14">
        <v>400</v>
      </c>
      <c r="N89" s="15">
        <v>1</v>
      </c>
      <c r="O89" s="15">
        <v>443.2</v>
      </c>
      <c r="P89" s="15">
        <v>490.6</v>
      </c>
    </row>
    <row r="90" spans="1:16" hidden="1" x14ac:dyDescent="0.3">
      <c r="A90" s="14">
        <v>89</v>
      </c>
      <c r="B90" s="4" t="s">
        <v>31</v>
      </c>
      <c r="C90" s="15">
        <v>22.3</v>
      </c>
      <c r="D90" s="14">
        <v>1190</v>
      </c>
      <c r="E90" s="14">
        <v>1800</v>
      </c>
      <c r="F90" s="16">
        <v>1.51</v>
      </c>
      <c r="G90" s="14">
        <v>190</v>
      </c>
      <c r="H90" s="14">
        <v>952</v>
      </c>
      <c r="I90" s="14">
        <v>2026</v>
      </c>
      <c r="J90" s="14">
        <v>385</v>
      </c>
      <c r="K90" s="15">
        <v>253.8</v>
      </c>
      <c r="L90" s="14">
        <v>385</v>
      </c>
      <c r="M90" s="14">
        <v>400</v>
      </c>
      <c r="N90" s="15">
        <v>1</v>
      </c>
      <c r="O90" s="15">
        <v>443.2</v>
      </c>
      <c r="P90" s="15">
        <v>492.9</v>
      </c>
    </row>
    <row r="91" spans="1:16" hidden="1" x14ac:dyDescent="0.3">
      <c r="A91" s="14">
        <v>90</v>
      </c>
      <c r="B91" s="4" t="s">
        <v>31</v>
      </c>
      <c r="C91" s="15">
        <v>22.3</v>
      </c>
      <c r="D91" s="14">
        <v>1190</v>
      </c>
      <c r="E91" s="14">
        <v>1800</v>
      </c>
      <c r="F91" s="16">
        <v>1.51</v>
      </c>
      <c r="G91" s="14">
        <v>190</v>
      </c>
      <c r="H91" s="14">
        <v>952</v>
      </c>
      <c r="I91" s="14">
        <v>2026</v>
      </c>
      <c r="J91" s="14">
        <v>385</v>
      </c>
      <c r="K91" s="15">
        <v>507.7</v>
      </c>
      <c r="L91" s="14">
        <v>385</v>
      </c>
      <c r="M91" s="14">
        <v>400</v>
      </c>
      <c r="N91" s="15">
        <v>1</v>
      </c>
      <c r="O91" s="15">
        <v>443.2</v>
      </c>
      <c r="P91" s="15">
        <v>612.70000000000005</v>
      </c>
    </row>
    <row r="92" spans="1:16" hidden="1" x14ac:dyDescent="0.3">
      <c r="A92" s="14">
        <v>91</v>
      </c>
      <c r="B92" s="4" t="s">
        <v>31</v>
      </c>
      <c r="C92" s="14">
        <v>29</v>
      </c>
      <c r="D92" s="14">
        <v>1190</v>
      </c>
      <c r="E92" s="14">
        <v>1800</v>
      </c>
      <c r="F92" s="16">
        <v>1.51</v>
      </c>
      <c r="G92" s="14">
        <v>190</v>
      </c>
      <c r="H92" s="14">
        <v>952</v>
      </c>
      <c r="I92" s="14">
        <v>2026</v>
      </c>
      <c r="J92" s="14">
        <v>385</v>
      </c>
      <c r="K92" s="15">
        <v>253.8</v>
      </c>
      <c r="L92" s="14">
        <v>385</v>
      </c>
      <c r="M92" s="14">
        <v>400</v>
      </c>
      <c r="N92" s="15">
        <v>1</v>
      </c>
      <c r="O92" s="15">
        <v>443.2</v>
      </c>
      <c r="P92" s="15">
        <v>511</v>
      </c>
    </row>
    <row r="93" spans="1:16" hidden="1" x14ac:dyDescent="0.3">
      <c r="A93" s="14">
        <v>92</v>
      </c>
      <c r="B93" s="4" t="s">
        <v>31</v>
      </c>
      <c r="C93" s="15">
        <v>26.1</v>
      </c>
      <c r="D93" s="14">
        <v>1190</v>
      </c>
      <c r="E93" s="14">
        <v>1800</v>
      </c>
      <c r="F93" s="16">
        <v>1.51</v>
      </c>
      <c r="G93" s="14">
        <v>190</v>
      </c>
      <c r="H93" s="14">
        <v>952</v>
      </c>
      <c r="I93" s="14">
        <v>2026</v>
      </c>
      <c r="J93" s="14">
        <v>385</v>
      </c>
      <c r="K93" s="15">
        <v>253.8</v>
      </c>
      <c r="L93" s="14">
        <v>385</v>
      </c>
      <c r="M93" s="14">
        <v>400</v>
      </c>
      <c r="N93" s="15">
        <v>1</v>
      </c>
      <c r="O93" s="15">
        <v>443.2</v>
      </c>
      <c r="P93" s="15">
        <v>465.8</v>
      </c>
    </row>
    <row r="94" spans="1:16" hidden="1" x14ac:dyDescent="0.3">
      <c r="A94" s="14">
        <v>93</v>
      </c>
      <c r="B94" s="4" t="s">
        <v>31</v>
      </c>
      <c r="C94" s="15">
        <v>27.4</v>
      </c>
      <c r="D94" s="14">
        <v>1190</v>
      </c>
      <c r="E94" s="14">
        <v>1800</v>
      </c>
      <c r="F94" s="16">
        <v>1.51</v>
      </c>
      <c r="G94" s="14">
        <v>190</v>
      </c>
      <c r="H94" s="14">
        <v>952</v>
      </c>
      <c r="I94" s="14">
        <v>2026</v>
      </c>
      <c r="J94" s="14">
        <v>385</v>
      </c>
      <c r="K94" s="15">
        <v>304</v>
      </c>
      <c r="L94" s="14">
        <v>385</v>
      </c>
      <c r="M94" s="14">
        <v>400</v>
      </c>
      <c r="N94" s="15">
        <v>1</v>
      </c>
      <c r="O94" s="15">
        <v>443.2</v>
      </c>
      <c r="P94" s="15">
        <v>592.4</v>
      </c>
    </row>
    <row r="95" spans="1:16" hidden="1" x14ac:dyDescent="0.3">
      <c r="A95" s="14">
        <v>94</v>
      </c>
      <c r="B95" s="4" t="s">
        <v>31</v>
      </c>
      <c r="C95" s="15">
        <v>26.1</v>
      </c>
      <c r="D95" s="14">
        <v>1190</v>
      </c>
      <c r="E95" s="14">
        <v>1800</v>
      </c>
      <c r="F95" s="16">
        <v>1.51</v>
      </c>
      <c r="G95" s="14">
        <v>190</v>
      </c>
      <c r="H95" s="14">
        <v>952</v>
      </c>
      <c r="I95" s="14">
        <v>1148</v>
      </c>
      <c r="J95" s="14">
        <v>385</v>
      </c>
      <c r="K95" s="15">
        <v>253.8</v>
      </c>
      <c r="L95" s="14">
        <v>385</v>
      </c>
      <c r="M95" s="14">
        <v>400</v>
      </c>
      <c r="N95" s="15">
        <v>1</v>
      </c>
      <c r="O95" s="15">
        <v>443.2</v>
      </c>
      <c r="P95" s="15">
        <v>470.3</v>
      </c>
    </row>
    <row r="96" spans="1:16" hidden="1" x14ac:dyDescent="0.3">
      <c r="A96" s="14">
        <v>95</v>
      </c>
      <c r="B96" s="4" t="s">
        <v>31</v>
      </c>
      <c r="C96" s="15">
        <v>26.4</v>
      </c>
      <c r="D96" s="14">
        <v>1190</v>
      </c>
      <c r="E96" s="14">
        <v>1800</v>
      </c>
      <c r="F96" s="16">
        <v>1.51</v>
      </c>
      <c r="G96" s="14">
        <v>180</v>
      </c>
      <c r="H96" s="14">
        <v>952</v>
      </c>
      <c r="I96" s="14">
        <v>2026</v>
      </c>
      <c r="J96" s="14">
        <v>385</v>
      </c>
      <c r="K96" s="15">
        <v>254.2</v>
      </c>
      <c r="L96" s="14">
        <v>385</v>
      </c>
      <c r="M96" s="14">
        <v>400</v>
      </c>
      <c r="N96" s="15">
        <v>1</v>
      </c>
      <c r="O96" s="15">
        <v>419.8</v>
      </c>
      <c r="P96" s="15">
        <v>490.5</v>
      </c>
    </row>
    <row r="97" spans="1:16" hidden="1" x14ac:dyDescent="0.3">
      <c r="A97" s="14">
        <v>96</v>
      </c>
      <c r="B97" s="4" t="s">
        <v>31</v>
      </c>
      <c r="C97" s="15">
        <v>31.4</v>
      </c>
      <c r="D97" s="14">
        <v>1190</v>
      </c>
      <c r="E97" s="14">
        <v>1800</v>
      </c>
      <c r="F97" s="16">
        <v>1.51</v>
      </c>
      <c r="G97" s="14">
        <v>190</v>
      </c>
      <c r="H97" s="14">
        <v>952</v>
      </c>
      <c r="I97" s="14">
        <v>2026</v>
      </c>
      <c r="J97" s="14">
        <v>385</v>
      </c>
      <c r="K97" s="15">
        <v>253.8</v>
      </c>
      <c r="L97" s="14">
        <v>385</v>
      </c>
      <c r="M97" s="14">
        <v>400</v>
      </c>
      <c r="N97" s="15">
        <v>1</v>
      </c>
      <c r="O97" s="15">
        <v>443.2</v>
      </c>
      <c r="P97" s="15">
        <v>585.6</v>
      </c>
    </row>
    <row r="98" spans="1:16" x14ac:dyDescent="0.3">
      <c r="A98" s="14">
        <v>97</v>
      </c>
      <c r="B98" s="4" t="s">
        <v>31</v>
      </c>
      <c r="C98" s="15">
        <v>16.399999999999999</v>
      </c>
      <c r="D98" s="14">
        <v>1720</v>
      </c>
      <c r="E98" s="14">
        <v>1800</v>
      </c>
      <c r="F98" s="16">
        <v>1.05</v>
      </c>
      <c r="G98" s="14">
        <v>150</v>
      </c>
      <c r="H98" s="14">
        <v>1376</v>
      </c>
      <c r="I98" s="14">
        <v>1549</v>
      </c>
      <c r="J98" s="14">
        <v>385</v>
      </c>
      <c r="K98" s="15">
        <v>42.6</v>
      </c>
      <c r="L98" s="14">
        <v>385</v>
      </c>
      <c r="M98" s="14">
        <v>400</v>
      </c>
      <c r="N98" s="15">
        <v>0.5</v>
      </c>
      <c r="O98" s="14">
        <v>0</v>
      </c>
      <c r="P98" s="15">
        <v>108.4</v>
      </c>
    </row>
    <row r="99" spans="1:16" x14ac:dyDescent="0.3">
      <c r="A99" s="14">
        <v>98</v>
      </c>
      <c r="B99" s="4" t="s">
        <v>31</v>
      </c>
      <c r="C99" s="14">
        <v>27</v>
      </c>
      <c r="D99" s="14">
        <v>1720</v>
      </c>
      <c r="E99" s="14">
        <v>1800</v>
      </c>
      <c r="F99" s="16">
        <v>1.05</v>
      </c>
      <c r="G99" s="14">
        <v>150</v>
      </c>
      <c r="H99" s="14">
        <v>1376</v>
      </c>
      <c r="I99" s="14">
        <v>1912</v>
      </c>
      <c r="J99" s="14">
        <v>385</v>
      </c>
      <c r="K99" s="15">
        <v>42.6</v>
      </c>
      <c r="L99" s="14">
        <v>385</v>
      </c>
      <c r="M99" s="14">
        <v>400</v>
      </c>
      <c r="N99" s="15">
        <v>0.5</v>
      </c>
      <c r="O99" s="14">
        <v>0</v>
      </c>
      <c r="P99" s="15">
        <v>157.4</v>
      </c>
    </row>
    <row r="100" spans="1:16" x14ac:dyDescent="0.3">
      <c r="A100" s="14">
        <v>99</v>
      </c>
      <c r="B100" s="4" t="s">
        <v>31</v>
      </c>
      <c r="C100" s="15">
        <v>16.399999999999999</v>
      </c>
      <c r="D100" s="14">
        <v>1320</v>
      </c>
      <c r="E100" s="14">
        <v>1800</v>
      </c>
      <c r="F100" s="16">
        <v>1.36</v>
      </c>
      <c r="G100" s="14">
        <v>150</v>
      </c>
      <c r="H100" s="14">
        <v>1056</v>
      </c>
      <c r="I100" s="14">
        <v>1547</v>
      </c>
      <c r="J100" s="14">
        <v>385</v>
      </c>
      <c r="K100" s="15">
        <v>42.6</v>
      </c>
      <c r="L100" s="14">
        <v>385</v>
      </c>
      <c r="M100" s="14">
        <v>400</v>
      </c>
      <c r="N100" s="15">
        <v>0.5</v>
      </c>
      <c r="O100" s="14">
        <v>0</v>
      </c>
      <c r="P100" s="15">
        <v>87.1</v>
      </c>
    </row>
    <row r="101" spans="1:16" x14ac:dyDescent="0.3">
      <c r="A101" s="14">
        <v>100</v>
      </c>
      <c r="B101" s="4" t="s">
        <v>31</v>
      </c>
      <c r="C101" s="14">
        <v>27</v>
      </c>
      <c r="D101" s="14">
        <v>1320</v>
      </c>
      <c r="E101" s="14">
        <v>1800</v>
      </c>
      <c r="F101" s="16">
        <v>1.36</v>
      </c>
      <c r="G101" s="14">
        <v>150</v>
      </c>
      <c r="H101" s="14">
        <v>1056</v>
      </c>
      <c r="I101" s="14">
        <v>1412</v>
      </c>
      <c r="J101" s="14">
        <v>385</v>
      </c>
      <c r="K101" s="15">
        <v>42.6</v>
      </c>
      <c r="L101" s="14">
        <v>385</v>
      </c>
      <c r="M101" s="14">
        <v>400</v>
      </c>
      <c r="N101" s="15">
        <v>0.5</v>
      </c>
      <c r="O101" s="14">
        <v>0</v>
      </c>
      <c r="P101" s="15">
        <v>93.1</v>
      </c>
    </row>
    <row r="102" spans="1:16" x14ac:dyDescent="0.3">
      <c r="A102" s="14">
        <v>101</v>
      </c>
      <c r="B102" s="4" t="s">
        <v>31</v>
      </c>
      <c r="C102" s="15">
        <v>16.399999999999999</v>
      </c>
      <c r="D102" s="14">
        <v>920</v>
      </c>
      <c r="E102" s="14">
        <v>1800</v>
      </c>
      <c r="F102" s="16">
        <v>1.96</v>
      </c>
      <c r="G102" s="14">
        <v>150</v>
      </c>
      <c r="H102" s="14">
        <v>736</v>
      </c>
      <c r="I102" s="14">
        <v>1549</v>
      </c>
      <c r="J102" s="14">
        <v>385</v>
      </c>
      <c r="K102" s="15">
        <v>42.6</v>
      </c>
      <c r="L102" s="14">
        <v>385</v>
      </c>
      <c r="M102" s="14">
        <v>400</v>
      </c>
      <c r="N102" s="15">
        <v>0.5</v>
      </c>
      <c r="O102" s="14">
        <v>0</v>
      </c>
      <c r="P102" s="15">
        <v>73.099999999999994</v>
      </c>
    </row>
    <row r="103" spans="1:16" x14ac:dyDescent="0.3">
      <c r="A103" s="14">
        <v>102</v>
      </c>
      <c r="B103" s="4" t="s">
        <v>31</v>
      </c>
      <c r="C103" s="14">
        <v>27</v>
      </c>
      <c r="D103" s="14">
        <v>920</v>
      </c>
      <c r="E103" s="14">
        <v>1800</v>
      </c>
      <c r="F103" s="16">
        <v>1.96</v>
      </c>
      <c r="G103" s="14">
        <v>150</v>
      </c>
      <c r="H103" s="14">
        <v>736</v>
      </c>
      <c r="I103" s="14">
        <v>1013</v>
      </c>
      <c r="J103" s="14">
        <v>385</v>
      </c>
      <c r="K103" s="15">
        <v>42.6</v>
      </c>
      <c r="L103" s="14">
        <v>385</v>
      </c>
      <c r="M103" s="14">
        <v>400</v>
      </c>
      <c r="N103" s="15">
        <v>0.5</v>
      </c>
      <c r="O103" s="14">
        <v>0</v>
      </c>
      <c r="P103" s="15">
        <v>73.099999999999994</v>
      </c>
    </row>
    <row r="104" spans="1:16" x14ac:dyDescent="0.3">
      <c r="A104" s="14">
        <v>103</v>
      </c>
      <c r="B104" s="4" t="s">
        <v>31</v>
      </c>
      <c r="C104" s="15">
        <v>16.399999999999999</v>
      </c>
      <c r="D104" s="14">
        <v>1320</v>
      </c>
      <c r="E104" s="14">
        <v>1800</v>
      </c>
      <c r="F104" s="16">
        <v>1.36</v>
      </c>
      <c r="G104" s="14">
        <v>150</v>
      </c>
      <c r="H104" s="14">
        <v>1056</v>
      </c>
      <c r="I104" s="14">
        <v>1547</v>
      </c>
      <c r="J104" s="14">
        <v>385</v>
      </c>
      <c r="K104" s="14">
        <v>0</v>
      </c>
      <c r="L104" s="14">
        <v>0</v>
      </c>
      <c r="M104" s="14">
        <v>0</v>
      </c>
      <c r="N104" s="15">
        <v>0.5</v>
      </c>
      <c r="O104" s="14">
        <v>0</v>
      </c>
      <c r="P104" s="15">
        <v>57.4</v>
      </c>
    </row>
    <row r="105" spans="1:16" x14ac:dyDescent="0.3">
      <c r="A105" s="14">
        <v>104</v>
      </c>
      <c r="B105" s="4" t="s">
        <v>31</v>
      </c>
      <c r="C105" s="15">
        <v>16.399999999999999</v>
      </c>
      <c r="D105" s="14">
        <v>1320</v>
      </c>
      <c r="E105" s="14">
        <v>1800</v>
      </c>
      <c r="F105" s="16">
        <v>1.36</v>
      </c>
      <c r="G105" s="14">
        <v>150</v>
      </c>
      <c r="H105" s="14">
        <v>1056</v>
      </c>
      <c r="I105" s="14">
        <v>1547</v>
      </c>
      <c r="J105" s="14">
        <v>385</v>
      </c>
      <c r="K105" s="14">
        <v>0</v>
      </c>
      <c r="L105" s="14">
        <v>0</v>
      </c>
      <c r="M105" s="14">
        <v>0</v>
      </c>
      <c r="N105" s="15">
        <v>0.5</v>
      </c>
      <c r="O105" s="14">
        <v>0</v>
      </c>
      <c r="P105" s="15">
        <v>65.3</v>
      </c>
    </row>
    <row r="106" spans="1:16" x14ac:dyDescent="0.3">
      <c r="A106" s="14">
        <v>105</v>
      </c>
      <c r="B106" s="4" t="s">
        <v>31</v>
      </c>
      <c r="C106" s="15">
        <v>16.399999999999999</v>
      </c>
      <c r="D106" s="14">
        <v>1320</v>
      </c>
      <c r="E106" s="14">
        <v>1800</v>
      </c>
      <c r="F106" s="16">
        <v>1.36</v>
      </c>
      <c r="G106" s="14">
        <v>150</v>
      </c>
      <c r="H106" s="14">
        <v>1056</v>
      </c>
      <c r="I106" s="14">
        <v>1547</v>
      </c>
      <c r="J106" s="14">
        <v>385</v>
      </c>
      <c r="K106" s="15">
        <v>42.6</v>
      </c>
      <c r="L106" s="14">
        <v>385</v>
      </c>
      <c r="M106" s="14">
        <v>400</v>
      </c>
      <c r="N106" s="15">
        <v>0.5</v>
      </c>
      <c r="O106" s="14">
        <v>0</v>
      </c>
      <c r="P106" s="15">
        <v>63.4</v>
      </c>
    </row>
    <row r="107" spans="1:16" x14ac:dyDescent="0.3">
      <c r="A107" s="14">
        <v>106</v>
      </c>
      <c r="B107" s="4" t="s">
        <v>31</v>
      </c>
      <c r="C107" s="15">
        <v>16.399999999999999</v>
      </c>
      <c r="D107" s="14">
        <v>1320</v>
      </c>
      <c r="E107" s="14">
        <v>1800</v>
      </c>
      <c r="F107" s="16">
        <v>1.36</v>
      </c>
      <c r="G107" s="14">
        <v>150</v>
      </c>
      <c r="H107" s="14">
        <v>1056</v>
      </c>
      <c r="I107" s="14">
        <v>1547</v>
      </c>
      <c r="J107" s="14">
        <v>385</v>
      </c>
      <c r="K107" s="15">
        <v>88.8</v>
      </c>
      <c r="L107" s="14">
        <v>385</v>
      </c>
      <c r="M107" s="14">
        <v>400</v>
      </c>
      <c r="N107" s="15">
        <v>0.5</v>
      </c>
      <c r="O107" s="14">
        <v>0</v>
      </c>
      <c r="P107" s="15">
        <v>73.3</v>
      </c>
    </row>
    <row r="108" spans="1:16" x14ac:dyDescent="0.3">
      <c r="A108" s="14">
        <v>107</v>
      </c>
      <c r="B108" s="4" t="s">
        <v>31</v>
      </c>
      <c r="C108" s="15">
        <v>16.399999999999999</v>
      </c>
      <c r="D108" s="14">
        <v>1320</v>
      </c>
      <c r="E108" s="14">
        <v>1800</v>
      </c>
      <c r="F108" s="16">
        <v>1.36</v>
      </c>
      <c r="G108" s="14">
        <v>150</v>
      </c>
      <c r="H108" s="14">
        <v>1056</v>
      </c>
      <c r="I108" s="14">
        <v>1547</v>
      </c>
      <c r="J108" s="14">
        <v>385</v>
      </c>
      <c r="K108" s="15">
        <v>133.19999999999999</v>
      </c>
      <c r="L108" s="14">
        <v>385</v>
      </c>
      <c r="M108" s="14">
        <v>400</v>
      </c>
      <c r="N108" s="15">
        <v>0.5</v>
      </c>
      <c r="O108" s="14">
        <v>0</v>
      </c>
      <c r="P108" s="15">
        <v>89.1</v>
      </c>
    </row>
    <row r="109" spans="1:16" x14ac:dyDescent="0.3">
      <c r="A109" s="14">
        <v>108</v>
      </c>
      <c r="B109" s="4" t="s">
        <v>31</v>
      </c>
      <c r="C109" s="14">
        <v>27</v>
      </c>
      <c r="D109" s="14">
        <v>1320</v>
      </c>
      <c r="E109" s="14">
        <v>1800</v>
      </c>
      <c r="F109" s="16">
        <v>1.36</v>
      </c>
      <c r="G109" s="14">
        <v>150</v>
      </c>
      <c r="H109" s="14">
        <v>1056</v>
      </c>
      <c r="I109" s="14">
        <v>1547</v>
      </c>
      <c r="J109" s="14">
        <v>385</v>
      </c>
      <c r="K109" s="15">
        <v>42.6</v>
      </c>
      <c r="L109" s="14">
        <v>385</v>
      </c>
      <c r="M109" s="14">
        <v>400</v>
      </c>
      <c r="N109" s="15">
        <v>0.5</v>
      </c>
      <c r="O109" s="15">
        <v>97</v>
      </c>
      <c r="P109" s="15">
        <v>101</v>
      </c>
    </row>
    <row r="110" spans="1:16" x14ac:dyDescent="0.3">
      <c r="A110" s="14">
        <v>109</v>
      </c>
      <c r="B110" s="4" t="s">
        <v>31</v>
      </c>
      <c r="C110" s="14">
        <v>27</v>
      </c>
      <c r="D110" s="14">
        <v>1320</v>
      </c>
      <c r="E110" s="14">
        <v>1800</v>
      </c>
      <c r="F110" s="16">
        <v>1.36</v>
      </c>
      <c r="G110" s="14">
        <v>150</v>
      </c>
      <c r="H110" s="14">
        <v>1056</v>
      </c>
      <c r="I110" s="14">
        <v>1547</v>
      </c>
      <c r="J110" s="14">
        <v>385</v>
      </c>
      <c r="K110" s="15">
        <v>42.6</v>
      </c>
      <c r="L110" s="14">
        <v>385</v>
      </c>
      <c r="M110" s="14">
        <v>400</v>
      </c>
      <c r="N110" s="15">
        <v>0.5</v>
      </c>
      <c r="O110" s="15">
        <v>194</v>
      </c>
      <c r="P110" s="15">
        <v>136.6</v>
      </c>
    </row>
    <row r="111" spans="1:16" x14ac:dyDescent="0.3">
      <c r="A111" s="14">
        <v>110</v>
      </c>
      <c r="B111" s="4" t="s">
        <v>31</v>
      </c>
      <c r="C111" s="14">
        <v>27</v>
      </c>
      <c r="D111" s="14">
        <v>1320</v>
      </c>
      <c r="E111" s="14">
        <v>1800</v>
      </c>
      <c r="F111" s="16">
        <v>1.36</v>
      </c>
      <c r="G111" s="14">
        <v>150</v>
      </c>
      <c r="H111" s="14">
        <v>1056</v>
      </c>
      <c r="I111" s="14">
        <v>1547</v>
      </c>
      <c r="J111" s="14">
        <v>385</v>
      </c>
      <c r="K111" s="15">
        <v>42.6</v>
      </c>
      <c r="L111" s="14">
        <v>385</v>
      </c>
      <c r="M111" s="14">
        <v>400</v>
      </c>
      <c r="N111" s="15">
        <v>0.5</v>
      </c>
      <c r="O111" s="15">
        <v>291.10000000000002</v>
      </c>
      <c r="P111" s="15">
        <v>166.3</v>
      </c>
    </row>
    <row r="112" spans="1:16" x14ac:dyDescent="0.3">
      <c r="A112" s="14">
        <v>111</v>
      </c>
      <c r="B112" s="4" t="s">
        <v>31</v>
      </c>
      <c r="C112" s="14">
        <v>14</v>
      </c>
      <c r="D112" s="14">
        <v>1370</v>
      </c>
      <c r="E112" s="14">
        <v>1800</v>
      </c>
      <c r="F112" s="16">
        <v>1.31</v>
      </c>
      <c r="G112" s="14">
        <v>150</v>
      </c>
      <c r="H112" s="14">
        <v>1096</v>
      </c>
      <c r="I112" s="14">
        <v>1548</v>
      </c>
      <c r="J112" s="14">
        <v>385</v>
      </c>
      <c r="K112" s="14">
        <v>0</v>
      </c>
      <c r="L112" s="14">
        <v>0</v>
      </c>
      <c r="M112" s="14">
        <v>0</v>
      </c>
      <c r="N112" s="15">
        <v>0.5</v>
      </c>
      <c r="O112" s="15">
        <v>100.7</v>
      </c>
      <c r="P112" s="15">
        <v>84.3</v>
      </c>
    </row>
    <row r="113" spans="1:16" x14ac:dyDescent="0.3">
      <c r="A113" s="14">
        <v>112</v>
      </c>
      <c r="B113" s="4" t="s">
        <v>31</v>
      </c>
      <c r="C113" s="14">
        <v>14</v>
      </c>
      <c r="D113" s="14">
        <v>1370</v>
      </c>
      <c r="E113" s="14">
        <v>1800</v>
      </c>
      <c r="F113" s="16">
        <v>1.31</v>
      </c>
      <c r="G113" s="14">
        <v>150</v>
      </c>
      <c r="H113" s="14">
        <v>1096</v>
      </c>
      <c r="I113" s="14">
        <v>1548</v>
      </c>
      <c r="J113" s="14">
        <v>385</v>
      </c>
      <c r="K113" s="15">
        <v>88.8</v>
      </c>
      <c r="L113" s="14">
        <v>385</v>
      </c>
      <c r="M113" s="14">
        <v>400</v>
      </c>
      <c r="N113" s="15">
        <v>0.5</v>
      </c>
      <c r="O113" s="15">
        <v>100.7</v>
      </c>
      <c r="P113" s="15">
        <v>150</v>
      </c>
    </row>
    <row r="114" spans="1:16" x14ac:dyDescent="0.3">
      <c r="A114" s="14">
        <v>113</v>
      </c>
      <c r="B114" s="4" t="s">
        <v>31</v>
      </c>
      <c r="C114" s="14">
        <v>14</v>
      </c>
      <c r="D114" s="14">
        <v>1370</v>
      </c>
      <c r="E114" s="14">
        <v>1800</v>
      </c>
      <c r="F114" s="16">
        <v>1.31</v>
      </c>
      <c r="G114" s="14">
        <v>150</v>
      </c>
      <c r="H114" s="14">
        <v>1096</v>
      </c>
      <c r="I114" s="14">
        <v>1548</v>
      </c>
      <c r="J114" s="14">
        <v>385</v>
      </c>
      <c r="K114" s="15">
        <v>133.19999999999999</v>
      </c>
      <c r="L114" s="14">
        <v>385</v>
      </c>
      <c r="M114" s="14">
        <v>400</v>
      </c>
      <c r="N114" s="15">
        <v>0.5</v>
      </c>
      <c r="O114" s="15">
        <v>100.7</v>
      </c>
      <c r="P114" s="15">
        <v>160.30000000000001</v>
      </c>
    </row>
    <row r="115" spans="1:16" x14ac:dyDescent="0.3">
      <c r="A115" s="14">
        <v>114</v>
      </c>
      <c r="B115" s="4" t="s">
        <v>31</v>
      </c>
      <c r="C115" s="14">
        <v>14</v>
      </c>
      <c r="D115" s="14">
        <v>1370</v>
      </c>
      <c r="E115" s="14">
        <v>1800</v>
      </c>
      <c r="F115" s="16">
        <v>1.31</v>
      </c>
      <c r="G115" s="14">
        <v>150</v>
      </c>
      <c r="H115" s="14">
        <v>1096</v>
      </c>
      <c r="I115" s="14">
        <v>1548</v>
      </c>
      <c r="J115" s="14">
        <v>385</v>
      </c>
      <c r="K115" s="15">
        <v>201</v>
      </c>
      <c r="L115" s="14">
        <v>385</v>
      </c>
      <c r="M115" s="14">
        <v>400</v>
      </c>
      <c r="N115" s="15">
        <v>0.5</v>
      </c>
      <c r="O115" s="15">
        <v>100.7</v>
      </c>
      <c r="P115" s="15">
        <v>141.80000000000001</v>
      </c>
    </row>
    <row r="116" spans="1:16" x14ac:dyDescent="0.3">
      <c r="A116" s="14">
        <v>115</v>
      </c>
      <c r="B116" s="4" t="s">
        <v>31</v>
      </c>
      <c r="C116" s="14">
        <v>14</v>
      </c>
      <c r="D116" s="14">
        <v>1370</v>
      </c>
      <c r="E116" s="14">
        <v>1800</v>
      </c>
      <c r="F116" s="16">
        <v>1.31</v>
      </c>
      <c r="G116" s="14">
        <v>150</v>
      </c>
      <c r="H116" s="14">
        <v>1096</v>
      </c>
      <c r="I116" s="14">
        <v>574</v>
      </c>
      <c r="J116" s="14">
        <v>385</v>
      </c>
      <c r="K116" s="15">
        <v>42.6</v>
      </c>
      <c r="L116" s="14">
        <v>385</v>
      </c>
      <c r="M116" s="14">
        <v>400</v>
      </c>
      <c r="N116" s="15">
        <v>0.5</v>
      </c>
      <c r="O116" s="15">
        <v>100.7</v>
      </c>
      <c r="P116" s="15">
        <v>129.5</v>
      </c>
    </row>
    <row r="117" spans="1:16" x14ac:dyDescent="0.3">
      <c r="A117" s="14">
        <v>116</v>
      </c>
      <c r="B117" s="4" t="s">
        <v>31</v>
      </c>
      <c r="C117" s="14">
        <v>27</v>
      </c>
      <c r="D117" s="14">
        <v>1320</v>
      </c>
      <c r="E117" s="14">
        <v>1800</v>
      </c>
      <c r="F117" s="16">
        <v>1.36</v>
      </c>
      <c r="G117" s="14">
        <v>150</v>
      </c>
      <c r="H117" s="14">
        <v>1056</v>
      </c>
      <c r="I117" s="14">
        <v>1547</v>
      </c>
      <c r="J117" s="14">
        <v>385</v>
      </c>
      <c r="K117" s="14">
        <v>0</v>
      </c>
      <c r="L117" s="14">
        <v>0</v>
      </c>
      <c r="M117" s="16">
        <v>0</v>
      </c>
      <c r="N117" s="15">
        <v>0.5</v>
      </c>
      <c r="O117" s="15">
        <v>194</v>
      </c>
      <c r="P117" s="15">
        <v>136.6</v>
      </c>
    </row>
    <row r="118" spans="1:16" x14ac:dyDescent="0.3">
      <c r="A118" s="14">
        <v>117</v>
      </c>
      <c r="B118" s="4" t="s">
        <v>31</v>
      </c>
      <c r="C118" s="14">
        <v>14</v>
      </c>
      <c r="D118" s="14">
        <v>1320</v>
      </c>
      <c r="E118" s="14">
        <v>1800</v>
      </c>
      <c r="F118" s="16">
        <v>1.36</v>
      </c>
      <c r="G118" s="14">
        <v>150</v>
      </c>
      <c r="H118" s="14">
        <v>1056</v>
      </c>
      <c r="I118" s="14">
        <v>1547</v>
      </c>
      <c r="J118" s="14">
        <v>385</v>
      </c>
      <c r="K118" s="14">
        <v>0</v>
      </c>
      <c r="L118" s="14">
        <v>0</v>
      </c>
      <c r="M118" s="16">
        <v>0</v>
      </c>
      <c r="N118" s="15">
        <v>0.5</v>
      </c>
      <c r="O118" s="15">
        <v>194</v>
      </c>
      <c r="P118" s="15">
        <v>79.2</v>
      </c>
    </row>
    <row r="119" spans="1:16" x14ac:dyDescent="0.3">
      <c r="A119" s="14">
        <v>118</v>
      </c>
      <c r="B119" s="4" t="s">
        <v>31</v>
      </c>
      <c r="C119" s="14">
        <v>27</v>
      </c>
      <c r="D119" s="14">
        <v>1320</v>
      </c>
      <c r="E119" s="14">
        <v>1800</v>
      </c>
      <c r="F119" s="16">
        <v>1.36</v>
      </c>
      <c r="G119" s="14">
        <v>150</v>
      </c>
      <c r="H119" s="14">
        <v>1056</v>
      </c>
      <c r="I119" s="14">
        <v>1547</v>
      </c>
      <c r="J119" s="14">
        <v>385</v>
      </c>
      <c r="K119" s="15">
        <v>88.8</v>
      </c>
      <c r="L119" s="14">
        <v>385</v>
      </c>
      <c r="M119" s="14">
        <v>400</v>
      </c>
      <c r="N119" s="15">
        <v>0.5</v>
      </c>
      <c r="O119" s="15">
        <v>194</v>
      </c>
      <c r="P119" s="15">
        <v>138.6</v>
      </c>
    </row>
    <row r="120" spans="1:16" x14ac:dyDescent="0.3">
      <c r="A120" s="14">
        <v>119</v>
      </c>
      <c r="B120" s="4" t="s">
        <v>31</v>
      </c>
      <c r="C120" s="14">
        <v>27</v>
      </c>
      <c r="D120" s="14">
        <v>1320</v>
      </c>
      <c r="E120" s="14">
        <v>1800</v>
      </c>
      <c r="F120" s="16">
        <v>1.36</v>
      </c>
      <c r="G120" s="14">
        <v>150</v>
      </c>
      <c r="H120" s="14">
        <v>1056</v>
      </c>
      <c r="I120" s="14">
        <v>1547</v>
      </c>
      <c r="J120" s="14">
        <v>385</v>
      </c>
      <c r="K120" s="15">
        <v>133.19999999999999</v>
      </c>
      <c r="L120" s="14">
        <v>385</v>
      </c>
      <c r="M120" s="14">
        <v>400</v>
      </c>
      <c r="N120" s="15">
        <v>0.5</v>
      </c>
      <c r="O120" s="15">
        <v>194</v>
      </c>
      <c r="P120" s="15">
        <v>152.5</v>
      </c>
    </row>
    <row r="121" spans="1:16" x14ac:dyDescent="0.3">
      <c r="A121" s="14">
        <v>120</v>
      </c>
      <c r="B121" s="4" t="s">
        <v>31</v>
      </c>
      <c r="C121" s="15">
        <v>15.2</v>
      </c>
      <c r="D121" s="14">
        <v>1970</v>
      </c>
      <c r="E121" s="14">
        <v>1800</v>
      </c>
      <c r="F121" s="16">
        <v>0.91</v>
      </c>
      <c r="G121" s="14">
        <v>150</v>
      </c>
      <c r="H121" s="14">
        <v>1576</v>
      </c>
      <c r="I121" s="14">
        <v>1545</v>
      </c>
      <c r="J121" s="14">
        <v>385</v>
      </c>
      <c r="K121" s="15">
        <v>88.8</v>
      </c>
      <c r="L121" s="14">
        <v>385</v>
      </c>
      <c r="M121" s="14">
        <v>400</v>
      </c>
      <c r="N121" s="15">
        <v>0.5</v>
      </c>
      <c r="O121" s="15">
        <v>144.80000000000001</v>
      </c>
      <c r="P121" s="15">
        <v>224.6</v>
      </c>
    </row>
    <row r="122" spans="1:16" x14ac:dyDescent="0.3">
      <c r="A122" s="14">
        <v>121</v>
      </c>
      <c r="B122" s="4" t="s">
        <v>31</v>
      </c>
      <c r="C122" s="15">
        <v>15.2</v>
      </c>
      <c r="D122" s="14">
        <v>1970</v>
      </c>
      <c r="E122" s="27">
        <v>1800</v>
      </c>
      <c r="F122" s="16">
        <v>0.91</v>
      </c>
      <c r="G122" s="14">
        <v>150</v>
      </c>
      <c r="H122" s="14">
        <v>1576</v>
      </c>
      <c r="I122" s="14">
        <v>1545</v>
      </c>
      <c r="J122" s="14">
        <v>385</v>
      </c>
      <c r="K122" s="15">
        <v>88.8</v>
      </c>
      <c r="L122" s="14">
        <v>385</v>
      </c>
      <c r="M122" s="14">
        <v>400</v>
      </c>
      <c r="N122" s="15">
        <v>0.5</v>
      </c>
      <c r="O122" s="15">
        <v>144.80000000000001</v>
      </c>
      <c r="P122" s="15">
        <v>218.7</v>
      </c>
    </row>
    <row r="123" spans="1:16" x14ac:dyDescent="0.3">
      <c r="A123" s="14">
        <v>122</v>
      </c>
      <c r="B123" s="4" t="s">
        <v>31</v>
      </c>
      <c r="C123" s="15">
        <v>15.2</v>
      </c>
      <c r="D123" s="14">
        <v>1770</v>
      </c>
      <c r="E123" s="27">
        <v>1800</v>
      </c>
      <c r="F123" s="16">
        <v>1.02</v>
      </c>
      <c r="G123" s="14">
        <v>150</v>
      </c>
      <c r="H123" s="14">
        <v>1416</v>
      </c>
      <c r="I123" s="14">
        <v>1285</v>
      </c>
      <c r="J123" s="14">
        <v>385</v>
      </c>
      <c r="K123" s="15">
        <v>88.8</v>
      </c>
      <c r="L123" s="14">
        <v>385</v>
      </c>
      <c r="M123" s="14">
        <v>400</v>
      </c>
      <c r="N123" s="15">
        <v>0.5</v>
      </c>
      <c r="O123" s="15">
        <v>130.1</v>
      </c>
      <c r="P123" s="15">
        <v>180.5</v>
      </c>
    </row>
    <row r="124" spans="1:16" x14ac:dyDescent="0.3">
      <c r="A124" s="14">
        <v>123</v>
      </c>
      <c r="B124" s="4" t="s">
        <v>31</v>
      </c>
      <c r="C124" s="15">
        <v>15.2</v>
      </c>
      <c r="D124" s="14">
        <v>1370</v>
      </c>
      <c r="E124" s="27">
        <v>1800</v>
      </c>
      <c r="F124" s="16">
        <v>1.31</v>
      </c>
      <c r="G124" s="14">
        <v>150</v>
      </c>
      <c r="H124" s="14">
        <v>1096</v>
      </c>
      <c r="I124" s="14">
        <v>1014</v>
      </c>
      <c r="J124" s="14">
        <v>385</v>
      </c>
      <c r="K124" s="15">
        <v>88.8</v>
      </c>
      <c r="L124" s="14">
        <v>385</v>
      </c>
      <c r="M124" s="14">
        <v>400</v>
      </c>
      <c r="N124" s="15">
        <v>0.5</v>
      </c>
      <c r="O124" s="15">
        <v>100.7</v>
      </c>
      <c r="P124" s="15">
        <v>143.9</v>
      </c>
    </row>
    <row r="125" spans="1:16" x14ac:dyDescent="0.3">
      <c r="A125" s="14">
        <v>124</v>
      </c>
      <c r="B125" s="4" t="s">
        <v>31</v>
      </c>
      <c r="C125" s="15">
        <v>15.2</v>
      </c>
      <c r="D125" s="14">
        <v>970</v>
      </c>
      <c r="E125" s="27">
        <v>1800</v>
      </c>
      <c r="F125" s="16">
        <v>1.86</v>
      </c>
      <c r="G125" s="14">
        <v>150</v>
      </c>
      <c r="H125" s="14">
        <v>776</v>
      </c>
      <c r="I125" s="14">
        <v>774</v>
      </c>
      <c r="J125" s="14">
        <v>385</v>
      </c>
      <c r="K125" s="15">
        <v>88.8</v>
      </c>
      <c r="L125" s="14">
        <v>385</v>
      </c>
      <c r="M125" s="14">
        <v>400</v>
      </c>
      <c r="N125" s="15">
        <v>0.5</v>
      </c>
      <c r="O125" s="15">
        <v>71.3</v>
      </c>
      <c r="P125" s="15">
        <v>69.8</v>
      </c>
    </row>
    <row r="126" spans="1:16" x14ac:dyDescent="0.3">
      <c r="A126" s="14">
        <v>125</v>
      </c>
      <c r="B126" s="4" t="s">
        <v>31</v>
      </c>
      <c r="C126" s="15">
        <v>15.2</v>
      </c>
      <c r="D126" s="14">
        <v>970</v>
      </c>
      <c r="E126" s="27">
        <v>1800</v>
      </c>
      <c r="F126" s="16">
        <v>1.86</v>
      </c>
      <c r="G126" s="14">
        <v>150</v>
      </c>
      <c r="H126" s="14">
        <v>776</v>
      </c>
      <c r="I126" s="14">
        <v>774</v>
      </c>
      <c r="J126" s="14">
        <v>385</v>
      </c>
      <c r="K126" s="15">
        <v>88.8</v>
      </c>
      <c r="L126" s="14">
        <v>385</v>
      </c>
      <c r="M126" s="14">
        <v>400</v>
      </c>
      <c r="N126" s="15">
        <v>0.5</v>
      </c>
      <c r="O126" s="15">
        <v>71.3</v>
      </c>
      <c r="P126" s="15">
        <v>68.400000000000006</v>
      </c>
    </row>
    <row r="127" spans="1:16" x14ac:dyDescent="0.3">
      <c r="A127" s="18">
        <v>126</v>
      </c>
      <c r="B127" s="32" t="s">
        <v>38</v>
      </c>
      <c r="C127" s="20">
        <v>13.24</v>
      </c>
      <c r="D127" s="18">
        <v>2631</v>
      </c>
      <c r="E127" s="28">
        <v>2337</v>
      </c>
      <c r="F127" s="20">
        <v>0.89</v>
      </c>
      <c r="G127" s="18">
        <v>194</v>
      </c>
      <c r="H127" s="18">
        <v>2105</v>
      </c>
      <c r="I127" s="18">
        <v>2323</v>
      </c>
      <c r="J127" s="18">
        <v>439</v>
      </c>
      <c r="K127" s="19">
        <v>200</v>
      </c>
      <c r="L127" s="18">
        <v>493</v>
      </c>
      <c r="M127" s="18">
        <v>1118</v>
      </c>
      <c r="N127" s="19">
        <v>0.5</v>
      </c>
      <c r="O127" s="19">
        <v>49.3</v>
      </c>
      <c r="P127" s="19">
        <v>221.8</v>
      </c>
    </row>
    <row r="128" spans="1:16" x14ac:dyDescent="0.3">
      <c r="A128" s="18">
        <v>127</v>
      </c>
      <c r="B128" s="32" t="s">
        <v>38</v>
      </c>
      <c r="C128" s="20">
        <v>13.24</v>
      </c>
      <c r="D128" s="18">
        <v>2631</v>
      </c>
      <c r="E128" s="28">
        <v>2337</v>
      </c>
      <c r="F128" s="20">
        <v>0.89</v>
      </c>
      <c r="G128" s="18">
        <v>194</v>
      </c>
      <c r="H128" s="18">
        <v>2105</v>
      </c>
      <c r="I128" s="18">
        <v>2323</v>
      </c>
      <c r="J128" s="18">
        <v>439</v>
      </c>
      <c r="K128" s="19">
        <v>284</v>
      </c>
      <c r="L128" s="18">
        <v>493</v>
      </c>
      <c r="M128" s="18">
        <v>1118</v>
      </c>
      <c r="N128" s="19">
        <v>0.5</v>
      </c>
      <c r="O128" s="19">
        <v>49.3</v>
      </c>
      <c r="P128" s="19">
        <v>227.7</v>
      </c>
    </row>
    <row r="129" spans="1:17" x14ac:dyDescent="0.3">
      <c r="A129" s="18">
        <v>128</v>
      </c>
      <c r="B129" s="32" t="s">
        <v>38</v>
      </c>
      <c r="C129" s="20">
        <v>13.24</v>
      </c>
      <c r="D129" s="18">
        <v>2631</v>
      </c>
      <c r="E129" s="28">
        <v>2337</v>
      </c>
      <c r="F129" s="20">
        <v>0.89</v>
      </c>
      <c r="G129" s="18">
        <v>194</v>
      </c>
      <c r="H129" s="18">
        <v>2105</v>
      </c>
      <c r="I129" s="18">
        <v>2323</v>
      </c>
      <c r="J129" s="18">
        <v>439</v>
      </c>
      <c r="K129" s="19">
        <v>400</v>
      </c>
      <c r="L129" s="18">
        <v>493</v>
      </c>
      <c r="M129" s="18">
        <v>1118</v>
      </c>
      <c r="N129" s="19">
        <v>0.5</v>
      </c>
      <c r="O129" s="19">
        <v>49.3</v>
      </c>
      <c r="P129" s="19">
        <v>202.9</v>
      </c>
    </row>
    <row r="130" spans="1:17" x14ac:dyDescent="0.3">
      <c r="A130" s="18">
        <v>129</v>
      </c>
      <c r="B130" s="32" t="s">
        <v>38</v>
      </c>
      <c r="C130" s="20">
        <v>13.88</v>
      </c>
      <c r="D130" s="18">
        <v>2631</v>
      </c>
      <c r="E130" s="28">
        <v>2337</v>
      </c>
      <c r="F130" s="20">
        <v>0.89</v>
      </c>
      <c r="G130" s="18">
        <v>194</v>
      </c>
      <c r="H130" s="18">
        <v>2105</v>
      </c>
      <c r="I130" s="18">
        <v>2323</v>
      </c>
      <c r="J130" s="18">
        <v>439</v>
      </c>
      <c r="K130" s="19">
        <v>200</v>
      </c>
      <c r="L130" s="18">
        <v>493</v>
      </c>
      <c r="M130" s="18">
        <v>1118</v>
      </c>
      <c r="N130" s="19">
        <v>0.5</v>
      </c>
      <c r="O130" s="19">
        <v>49.3</v>
      </c>
      <c r="P130" s="19">
        <v>260</v>
      </c>
    </row>
    <row r="131" spans="1:17" x14ac:dyDescent="0.3">
      <c r="A131" s="18">
        <v>130</v>
      </c>
      <c r="B131" s="32" t="s">
        <v>38</v>
      </c>
      <c r="C131" s="20">
        <v>14.53</v>
      </c>
      <c r="D131" s="18">
        <v>2631</v>
      </c>
      <c r="E131" s="28">
        <v>2337</v>
      </c>
      <c r="F131" s="20">
        <v>0.89</v>
      </c>
      <c r="G131" s="18">
        <v>194</v>
      </c>
      <c r="H131" s="18">
        <v>2105</v>
      </c>
      <c r="I131" s="18">
        <v>2323</v>
      </c>
      <c r="J131" s="18">
        <v>439</v>
      </c>
      <c r="K131" s="19">
        <v>200</v>
      </c>
      <c r="L131" s="18">
        <v>493</v>
      </c>
      <c r="M131" s="18">
        <v>1118</v>
      </c>
      <c r="N131" s="19">
        <v>0.5</v>
      </c>
      <c r="O131" s="19">
        <v>49.3</v>
      </c>
      <c r="P131" s="19">
        <v>295</v>
      </c>
    </row>
    <row r="132" spans="1:17" ht="30" x14ac:dyDescent="0.3">
      <c r="A132" s="14">
        <v>131</v>
      </c>
      <c r="B132" s="5" t="s">
        <v>32</v>
      </c>
      <c r="C132" s="15">
        <v>18.7</v>
      </c>
      <c r="D132" s="14">
        <v>2850</v>
      </c>
      <c r="E132" s="27">
        <v>2640</v>
      </c>
      <c r="F132" s="16">
        <v>0.93</v>
      </c>
      <c r="G132" s="14">
        <v>203</v>
      </c>
      <c r="H132" s="14">
        <v>2280</v>
      </c>
      <c r="I132" s="14">
        <v>1394</v>
      </c>
      <c r="J132" s="14">
        <v>436</v>
      </c>
      <c r="K132" s="15">
        <v>43</v>
      </c>
      <c r="L132" s="14">
        <v>445</v>
      </c>
      <c r="M132" s="14">
        <v>200</v>
      </c>
      <c r="N132" s="15">
        <v>0.5</v>
      </c>
      <c r="O132" s="14">
        <v>0</v>
      </c>
      <c r="P132" s="15">
        <v>208.2</v>
      </c>
    </row>
    <row r="133" spans="1:17" ht="30" x14ac:dyDescent="0.3">
      <c r="A133" s="14">
        <v>132</v>
      </c>
      <c r="B133" s="5" t="s">
        <v>32</v>
      </c>
      <c r="C133" s="15">
        <v>18.7</v>
      </c>
      <c r="D133" s="14">
        <v>2850</v>
      </c>
      <c r="E133" s="27">
        <v>2640</v>
      </c>
      <c r="F133" s="16">
        <v>0.93</v>
      </c>
      <c r="G133" s="14">
        <v>203</v>
      </c>
      <c r="H133" s="14">
        <v>2280</v>
      </c>
      <c r="I133" s="14">
        <v>1394</v>
      </c>
      <c r="J133" s="14">
        <v>436</v>
      </c>
      <c r="K133" s="15">
        <v>35</v>
      </c>
      <c r="L133" s="14">
        <v>606</v>
      </c>
      <c r="M133" s="14">
        <v>200</v>
      </c>
      <c r="N133" s="15">
        <v>0.5</v>
      </c>
      <c r="O133" s="14">
        <v>0</v>
      </c>
      <c r="P133" s="15">
        <v>201.1</v>
      </c>
    </row>
    <row r="134" spans="1:17" ht="30" x14ac:dyDescent="0.3">
      <c r="A134" s="14">
        <v>133</v>
      </c>
      <c r="B134" s="5" t="s">
        <v>32</v>
      </c>
      <c r="C134" s="15">
        <v>18.7</v>
      </c>
      <c r="D134" s="14">
        <v>4270</v>
      </c>
      <c r="E134" s="27">
        <v>2640</v>
      </c>
      <c r="F134" s="16">
        <v>0.62</v>
      </c>
      <c r="G134" s="14">
        <v>203</v>
      </c>
      <c r="H134" s="14">
        <v>3416</v>
      </c>
      <c r="I134" s="14">
        <v>1652</v>
      </c>
      <c r="J134" s="14">
        <v>436</v>
      </c>
      <c r="K134" s="15">
        <v>43</v>
      </c>
      <c r="L134" s="14">
        <v>445</v>
      </c>
      <c r="M134" s="14">
        <v>200</v>
      </c>
      <c r="N134" s="15">
        <v>0.5</v>
      </c>
      <c r="O134" s="14">
        <v>0</v>
      </c>
      <c r="P134" s="15">
        <v>348.3</v>
      </c>
    </row>
    <row r="135" spans="1:17" ht="30" x14ac:dyDescent="0.3">
      <c r="A135" s="14">
        <v>134</v>
      </c>
      <c r="B135" s="5" t="s">
        <v>32</v>
      </c>
      <c r="C135" s="15">
        <v>19.7</v>
      </c>
      <c r="D135" s="14">
        <v>4270</v>
      </c>
      <c r="E135" s="27">
        <v>2640</v>
      </c>
      <c r="F135" s="16">
        <v>0.62</v>
      </c>
      <c r="G135" s="14">
        <v>203</v>
      </c>
      <c r="H135" s="14">
        <v>3416</v>
      </c>
      <c r="I135" s="14">
        <v>1910</v>
      </c>
      <c r="J135" s="14">
        <v>436</v>
      </c>
      <c r="K135" s="15">
        <v>35</v>
      </c>
      <c r="L135" s="14">
        <v>606</v>
      </c>
      <c r="M135" s="14">
        <v>200</v>
      </c>
      <c r="N135" s="15">
        <v>0.5</v>
      </c>
      <c r="O135" s="14">
        <v>0</v>
      </c>
      <c r="P135" s="15">
        <v>431</v>
      </c>
    </row>
    <row r="136" spans="1:17" ht="30" x14ac:dyDescent="0.3">
      <c r="A136" s="14">
        <v>135</v>
      </c>
      <c r="B136" s="5" t="s">
        <v>32</v>
      </c>
      <c r="C136" s="15">
        <v>19.600000000000001</v>
      </c>
      <c r="D136" s="14">
        <v>2850</v>
      </c>
      <c r="E136" s="27">
        <v>2640</v>
      </c>
      <c r="F136" s="16">
        <v>0.93</v>
      </c>
      <c r="G136" s="14">
        <v>203</v>
      </c>
      <c r="H136" s="14">
        <v>2280</v>
      </c>
      <c r="I136" s="14">
        <v>1084</v>
      </c>
      <c r="J136" s="14">
        <v>436</v>
      </c>
      <c r="K136" s="15">
        <v>35</v>
      </c>
      <c r="L136" s="14">
        <v>606</v>
      </c>
      <c r="M136" s="14">
        <v>200</v>
      </c>
      <c r="N136" s="15">
        <v>0.5</v>
      </c>
      <c r="O136" s="14">
        <v>0</v>
      </c>
      <c r="P136" s="15">
        <v>266</v>
      </c>
    </row>
    <row r="137" spans="1:17" ht="30" x14ac:dyDescent="0.3">
      <c r="A137" s="14">
        <v>136</v>
      </c>
      <c r="B137" s="5" t="s">
        <v>32</v>
      </c>
      <c r="C137" s="15">
        <v>19.600000000000001</v>
      </c>
      <c r="D137" s="14">
        <v>2850</v>
      </c>
      <c r="E137" s="27">
        <v>2640</v>
      </c>
      <c r="F137" s="16">
        <v>0.93</v>
      </c>
      <c r="G137" s="14">
        <v>203</v>
      </c>
      <c r="H137" s="14">
        <v>2280</v>
      </c>
      <c r="I137" s="14">
        <v>1084</v>
      </c>
      <c r="J137" s="14">
        <v>436</v>
      </c>
      <c r="K137" s="15">
        <v>71</v>
      </c>
      <c r="L137" s="14">
        <v>606</v>
      </c>
      <c r="M137" s="14">
        <v>200</v>
      </c>
      <c r="N137" s="15">
        <v>0.5</v>
      </c>
      <c r="O137" s="14">
        <v>0</v>
      </c>
      <c r="P137" s="15">
        <v>325.60000000000002</v>
      </c>
    </row>
    <row r="138" spans="1:17" ht="30" x14ac:dyDescent="0.3">
      <c r="A138" s="14">
        <v>137</v>
      </c>
      <c r="B138" s="5" t="s">
        <v>32</v>
      </c>
      <c r="C138" s="15">
        <v>24.3</v>
      </c>
      <c r="D138" s="14">
        <v>2850</v>
      </c>
      <c r="E138" s="27">
        <v>2640</v>
      </c>
      <c r="F138" s="16">
        <v>0.93</v>
      </c>
      <c r="G138" s="14">
        <v>203</v>
      </c>
      <c r="H138" s="14">
        <v>2280</v>
      </c>
      <c r="I138" s="14">
        <v>1084</v>
      </c>
      <c r="J138" s="14">
        <v>436</v>
      </c>
      <c r="K138" s="15">
        <v>43</v>
      </c>
      <c r="L138" s="14">
        <v>445</v>
      </c>
      <c r="M138" s="14">
        <v>200</v>
      </c>
      <c r="N138" s="15">
        <v>0.5</v>
      </c>
      <c r="O138" s="14">
        <v>0</v>
      </c>
      <c r="P138" s="15">
        <v>249.1</v>
      </c>
    </row>
    <row r="139" spans="1:17" ht="30" x14ac:dyDescent="0.3">
      <c r="A139" s="14">
        <v>138</v>
      </c>
      <c r="B139" s="5" t="s">
        <v>32</v>
      </c>
      <c r="C139" s="14">
        <v>23</v>
      </c>
      <c r="D139" s="14">
        <v>4270</v>
      </c>
      <c r="E139" s="27">
        <v>2640</v>
      </c>
      <c r="F139" s="16">
        <v>0.62</v>
      </c>
      <c r="G139" s="14">
        <v>203</v>
      </c>
      <c r="H139" s="14">
        <v>3416</v>
      </c>
      <c r="I139" s="14">
        <v>1910</v>
      </c>
      <c r="J139" s="14">
        <v>436</v>
      </c>
      <c r="K139" s="15">
        <v>71</v>
      </c>
      <c r="L139" s="14">
        <v>606</v>
      </c>
      <c r="M139" s="14">
        <v>200</v>
      </c>
      <c r="N139" s="15">
        <v>0.5</v>
      </c>
      <c r="O139" s="14">
        <v>0</v>
      </c>
      <c r="P139" s="15">
        <v>405.7</v>
      </c>
    </row>
    <row r="140" spans="1:17" ht="30" x14ac:dyDescent="0.3">
      <c r="A140" s="14">
        <v>139</v>
      </c>
      <c r="B140" s="5" t="s">
        <v>32</v>
      </c>
      <c r="C140" s="15">
        <v>21.4</v>
      </c>
      <c r="D140" s="14">
        <v>2850</v>
      </c>
      <c r="E140" s="27">
        <v>2640</v>
      </c>
      <c r="F140" s="16">
        <v>0.93</v>
      </c>
      <c r="G140" s="14">
        <v>203</v>
      </c>
      <c r="H140" s="14">
        <v>2280</v>
      </c>
      <c r="I140" s="14">
        <v>1600</v>
      </c>
      <c r="J140" s="14">
        <v>436</v>
      </c>
      <c r="K140" s="15">
        <v>43</v>
      </c>
      <c r="L140" s="14">
        <v>445</v>
      </c>
      <c r="M140" s="14">
        <v>200</v>
      </c>
      <c r="N140" s="15">
        <v>0.5</v>
      </c>
      <c r="O140" s="14">
        <v>0</v>
      </c>
      <c r="P140" s="15">
        <v>425.2</v>
      </c>
    </row>
    <row r="141" spans="1:17" ht="30" x14ac:dyDescent="0.3">
      <c r="A141" s="14">
        <v>140</v>
      </c>
      <c r="B141" s="5" t="s">
        <v>32</v>
      </c>
      <c r="C141" s="14">
        <v>20</v>
      </c>
      <c r="D141" s="14">
        <v>2850</v>
      </c>
      <c r="E141" s="27">
        <v>2640</v>
      </c>
      <c r="F141" s="16">
        <v>0.93</v>
      </c>
      <c r="G141" s="14">
        <v>203</v>
      </c>
      <c r="H141" s="14">
        <v>2280</v>
      </c>
      <c r="I141" s="14">
        <v>1600</v>
      </c>
      <c r="J141" s="14">
        <v>436</v>
      </c>
      <c r="K141" s="15">
        <v>71</v>
      </c>
      <c r="L141" s="14">
        <v>606</v>
      </c>
      <c r="M141" s="14">
        <v>200</v>
      </c>
      <c r="N141" s="15">
        <v>0.5</v>
      </c>
      <c r="O141" s="14">
        <v>0</v>
      </c>
      <c r="P141" s="15">
        <v>424.4</v>
      </c>
    </row>
    <row r="142" spans="1:17" x14ac:dyDescent="0.3">
      <c r="A142" s="14">
        <v>141</v>
      </c>
      <c r="B142" s="4" t="s">
        <v>33</v>
      </c>
      <c r="C142" s="15">
        <v>8.1</v>
      </c>
      <c r="D142" s="14">
        <v>2400</v>
      </c>
      <c r="E142" s="14">
        <v>2600</v>
      </c>
      <c r="F142" s="16">
        <v>1.08</v>
      </c>
      <c r="G142" s="14">
        <v>140</v>
      </c>
      <c r="H142" s="14">
        <v>1920</v>
      </c>
      <c r="I142" s="14">
        <v>0</v>
      </c>
      <c r="J142" s="14">
        <v>0</v>
      </c>
      <c r="K142" s="15">
        <v>0</v>
      </c>
      <c r="L142" s="14">
        <v>0</v>
      </c>
      <c r="M142" s="14">
        <v>0</v>
      </c>
      <c r="N142" s="15">
        <v>0.3</v>
      </c>
      <c r="O142" s="15">
        <v>138.30000000000001</v>
      </c>
      <c r="P142" s="15">
        <v>124.5</v>
      </c>
      <c r="Q142" s="1">
        <f>O142/P142</f>
        <v>1.110843373493976</v>
      </c>
    </row>
    <row r="143" spans="1:17" x14ac:dyDescent="0.3">
      <c r="A143" s="14">
        <v>142</v>
      </c>
      <c r="B143" s="4" t="s">
        <v>33</v>
      </c>
      <c r="C143" s="15">
        <v>10.7</v>
      </c>
      <c r="D143" s="14">
        <v>2400</v>
      </c>
      <c r="E143" s="14">
        <v>2600</v>
      </c>
      <c r="F143" s="16">
        <v>1.08</v>
      </c>
      <c r="G143" s="14">
        <v>14</v>
      </c>
      <c r="H143" s="14">
        <v>1920</v>
      </c>
      <c r="I143" s="14">
        <v>400</v>
      </c>
      <c r="J143" s="14">
        <v>287</v>
      </c>
      <c r="K143" s="15">
        <v>0</v>
      </c>
      <c r="L143" s="14">
        <v>0</v>
      </c>
      <c r="M143" s="14">
        <v>0</v>
      </c>
      <c r="N143" s="15">
        <v>0.4</v>
      </c>
      <c r="O143" s="15">
        <v>336.1</v>
      </c>
      <c r="P143" s="15">
        <v>302.5</v>
      </c>
      <c r="Q143" s="1">
        <f t="shared" ref="Q143:Q153" si="0">O143/P143</f>
        <v>1.1110743801652894</v>
      </c>
    </row>
    <row r="144" spans="1:17" x14ac:dyDescent="0.3">
      <c r="A144" s="14">
        <v>143</v>
      </c>
      <c r="B144" s="4" t="s">
        <v>33</v>
      </c>
      <c r="C144" s="15">
        <v>8.1</v>
      </c>
      <c r="D144" s="14">
        <v>2400</v>
      </c>
      <c r="E144" s="14">
        <v>2600</v>
      </c>
      <c r="F144" s="16">
        <v>1.08</v>
      </c>
      <c r="G144" s="14">
        <v>140</v>
      </c>
      <c r="H144" s="14">
        <v>1920</v>
      </c>
      <c r="I144" s="14">
        <v>0</v>
      </c>
      <c r="J144" s="14">
        <v>0</v>
      </c>
      <c r="K144" s="15">
        <v>219.3</v>
      </c>
      <c r="L144" s="14">
        <v>297</v>
      </c>
      <c r="M144" s="14">
        <v>800</v>
      </c>
      <c r="N144" s="15">
        <v>0.3</v>
      </c>
      <c r="O144" s="15">
        <v>237.2</v>
      </c>
      <c r="P144" s="15">
        <v>213.5</v>
      </c>
      <c r="Q144" s="1">
        <f t="shared" si="0"/>
        <v>1.111007025761124</v>
      </c>
    </row>
    <row r="145" spans="1:17" x14ac:dyDescent="0.3">
      <c r="A145" s="14">
        <v>144</v>
      </c>
      <c r="B145" s="4" t="s">
        <v>33</v>
      </c>
      <c r="C145" s="15">
        <v>8.1</v>
      </c>
      <c r="D145" s="14">
        <v>2400</v>
      </c>
      <c r="E145" s="14">
        <v>2600</v>
      </c>
      <c r="F145" s="16">
        <v>1.08</v>
      </c>
      <c r="G145" s="14">
        <v>140</v>
      </c>
      <c r="H145" s="14">
        <v>1920</v>
      </c>
      <c r="I145" s="14">
        <v>400</v>
      </c>
      <c r="J145" s="14">
        <v>282</v>
      </c>
      <c r="K145" s="15">
        <v>86</v>
      </c>
      <c r="L145" s="14">
        <v>297</v>
      </c>
      <c r="M145" s="14">
        <v>800</v>
      </c>
      <c r="N145" s="15">
        <v>0.4</v>
      </c>
      <c r="O145" s="15">
        <v>296.60000000000002</v>
      </c>
      <c r="P145" s="15">
        <v>266.89999999999998</v>
      </c>
      <c r="Q145" s="1">
        <f t="shared" si="0"/>
        <v>1.1112776320719373</v>
      </c>
    </row>
    <row r="146" spans="1:17" x14ac:dyDescent="0.3">
      <c r="A146" s="14">
        <v>145</v>
      </c>
      <c r="B146" s="4" t="s">
        <v>33</v>
      </c>
      <c r="C146" s="15">
        <v>8.1</v>
      </c>
      <c r="D146" s="14">
        <v>2400</v>
      </c>
      <c r="E146" s="14">
        <v>2600</v>
      </c>
      <c r="F146" s="16">
        <v>1.08</v>
      </c>
      <c r="G146" s="14">
        <v>140</v>
      </c>
      <c r="H146" s="14">
        <v>1920</v>
      </c>
      <c r="I146" s="14">
        <v>529</v>
      </c>
      <c r="J146" s="14">
        <v>282</v>
      </c>
      <c r="K146" s="15">
        <v>129</v>
      </c>
      <c r="L146" s="14">
        <v>297</v>
      </c>
      <c r="M146" s="14">
        <v>2400</v>
      </c>
      <c r="N146" s="15">
        <v>0.5</v>
      </c>
      <c r="O146" s="15">
        <v>276.8</v>
      </c>
      <c r="P146" s="15">
        <v>249.1</v>
      </c>
      <c r="Q146" s="1">
        <f t="shared" si="0"/>
        <v>1.1112003211561623</v>
      </c>
    </row>
    <row r="147" spans="1:17" x14ac:dyDescent="0.3">
      <c r="A147" s="14">
        <v>146</v>
      </c>
      <c r="B147" s="4" t="s">
        <v>33</v>
      </c>
      <c r="C147" s="15">
        <v>8.1</v>
      </c>
      <c r="D147" s="14">
        <v>2400</v>
      </c>
      <c r="E147" s="14">
        <v>2600</v>
      </c>
      <c r="F147" s="16">
        <v>1.08</v>
      </c>
      <c r="G147" s="14">
        <v>140</v>
      </c>
      <c r="H147" s="14">
        <v>1920</v>
      </c>
      <c r="I147" s="14">
        <v>658</v>
      </c>
      <c r="J147" s="14">
        <v>282</v>
      </c>
      <c r="K147" s="14">
        <v>0</v>
      </c>
      <c r="L147" s="14">
        <v>0</v>
      </c>
      <c r="M147" s="14">
        <v>0</v>
      </c>
      <c r="N147" s="15">
        <v>0.5</v>
      </c>
      <c r="O147" s="15">
        <v>296.60000000000002</v>
      </c>
      <c r="P147" s="15">
        <v>266.89999999999998</v>
      </c>
      <c r="Q147" s="1">
        <f t="shared" si="0"/>
        <v>1.1112776320719373</v>
      </c>
    </row>
    <row r="148" spans="1:17" x14ac:dyDescent="0.3">
      <c r="A148" s="14">
        <v>147</v>
      </c>
      <c r="B148" s="4" t="s">
        <v>33</v>
      </c>
      <c r="C148" s="15">
        <v>10.7</v>
      </c>
      <c r="D148" s="14">
        <v>2400</v>
      </c>
      <c r="E148" s="14">
        <v>2600</v>
      </c>
      <c r="F148" s="16">
        <v>1.08</v>
      </c>
      <c r="G148" s="14">
        <v>140</v>
      </c>
      <c r="H148" s="14">
        <v>1920</v>
      </c>
      <c r="I148" s="14">
        <v>658</v>
      </c>
      <c r="J148" s="14">
        <v>287</v>
      </c>
      <c r="K148" s="14">
        <v>0</v>
      </c>
      <c r="L148" s="14">
        <v>0</v>
      </c>
      <c r="M148" s="14">
        <v>0</v>
      </c>
      <c r="N148" s="15">
        <v>0.5</v>
      </c>
      <c r="O148" s="15">
        <v>321.2</v>
      </c>
      <c r="P148" s="15">
        <v>289.10000000000002</v>
      </c>
      <c r="Q148" s="1">
        <f t="shared" si="0"/>
        <v>1.1110342442061569</v>
      </c>
    </row>
    <row r="149" spans="1:17" x14ac:dyDescent="0.3">
      <c r="A149" s="14">
        <v>148</v>
      </c>
      <c r="B149" s="4" t="s">
        <v>33</v>
      </c>
      <c r="C149" s="15">
        <v>8.1</v>
      </c>
      <c r="D149" s="14">
        <v>2400</v>
      </c>
      <c r="E149" s="14">
        <v>2600</v>
      </c>
      <c r="F149" s="16">
        <v>1.08</v>
      </c>
      <c r="G149" s="14">
        <v>140</v>
      </c>
      <c r="H149" s="14">
        <v>1920</v>
      </c>
      <c r="I149" s="14">
        <v>787</v>
      </c>
      <c r="J149" s="14">
        <v>282</v>
      </c>
      <c r="K149" s="14">
        <v>0</v>
      </c>
      <c r="L149" s="14">
        <v>0</v>
      </c>
      <c r="M149" s="14">
        <v>0</v>
      </c>
      <c r="N149" s="15">
        <v>0.5</v>
      </c>
      <c r="O149" s="15">
        <v>346</v>
      </c>
      <c r="P149" s="15">
        <v>311.39999999999998</v>
      </c>
      <c r="Q149" s="1">
        <f t="shared" si="0"/>
        <v>1.1111111111111112</v>
      </c>
    </row>
    <row r="150" spans="1:17" x14ac:dyDescent="0.3">
      <c r="A150" s="14">
        <v>149</v>
      </c>
      <c r="B150" s="4" t="s">
        <v>33</v>
      </c>
      <c r="C150" s="15">
        <v>10.7</v>
      </c>
      <c r="D150" s="14">
        <v>2400</v>
      </c>
      <c r="E150" s="14">
        <v>2600</v>
      </c>
      <c r="F150" s="16">
        <v>1.08</v>
      </c>
      <c r="G150" s="14">
        <v>140</v>
      </c>
      <c r="H150" s="14">
        <v>1920</v>
      </c>
      <c r="I150" s="14">
        <v>787</v>
      </c>
      <c r="J150" s="14">
        <v>287</v>
      </c>
      <c r="K150" s="15">
        <v>86</v>
      </c>
      <c r="L150" s="14">
        <v>297</v>
      </c>
      <c r="M150" s="14">
        <v>800</v>
      </c>
      <c r="N150" s="15">
        <v>0.5</v>
      </c>
      <c r="O150" s="15">
        <v>514</v>
      </c>
      <c r="P150" s="15">
        <v>462.6</v>
      </c>
      <c r="Q150" s="1">
        <f t="shared" si="0"/>
        <v>1.1111111111111112</v>
      </c>
    </row>
    <row r="151" spans="1:17" x14ac:dyDescent="0.3">
      <c r="A151" s="14">
        <v>150</v>
      </c>
      <c r="B151" s="4" t="s">
        <v>33</v>
      </c>
      <c r="C151" s="15">
        <v>10.7</v>
      </c>
      <c r="D151" s="14">
        <v>2400</v>
      </c>
      <c r="E151" s="14">
        <v>2600</v>
      </c>
      <c r="F151" s="16">
        <v>1.08</v>
      </c>
      <c r="G151" s="14">
        <v>140</v>
      </c>
      <c r="H151" s="14">
        <v>1920</v>
      </c>
      <c r="I151" s="14">
        <v>787</v>
      </c>
      <c r="J151" s="14">
        <v>287</v>
      </c>
      <c r="K151" s="15">
        <v>172</v>
      </c>
      <c r="L151" s="14">
        <v>297</v>
      </c>
      <c r="M151" s="14">
        <v>800</v>
      </c>
      <c r="N151" s="15">
        <v>0.5</v>
      </c>
      <c r="O151" s="15">
        <v>553.6</v>
      </c>
      <c r="P151" s="15">
        <v>498.2</v>
      </c>
      <c r="Q151" s="1">
        <f t="shared" si="0"/>
        <v>1.1112003211561623</v>
      </c>
    </row>
    <row r="152" spans="1:17" x14ac:dyDescent="0.3">
      <c r="A152" s="14">
        <v>151</v>
      </c>
      <c r="B152" s="4" t="s">
        <v>33</v>
      </c>
      <c r="C152" s="15">
        <v>10.7</v>
      </c>
      <c r="D152" s="14">
        <v>2400</v>
      </c>
      <c r="E152" s="14">
        <v>2600</v>
      </c>
      <c r="F152" s="16">
        <v>1.08</v>
      </c>
      <c r="G152" s="14">
        <v>140</v>
      </c>
      <c r="H152" s="14">
        <v>1920</v>
      </c>
      <c r="I152" s="14">
        <v>1000</v>
      </c>
      <c r="J152" s="14">
        <v>287</v>
      </c>
      <c r="K152" s="15">
        <v>300</v>
      </c>
      <c r="L152" s="14">
        <v>287</v>
      </c>
      <c r="M152" s="14">
        <v>800</v>
      </c>
      <c r="N152" s="15">
        <v>0.3</v>
      </c>
      <c r="O152" s="15">
        <v>474.4</v>
      </c>
      <c r="P152" s="15">
        <v>427</v>
      </c>
      <c r="Q152" s="1">
        <f t="shared" si="0"/>
        <v>1.111007025761124</v>
      </c>
    </row>
    <row r="153" spans="1:17" x14ac:dyDescent="0.3">
      <c r="A153" s="14">
        <v>152</v>
      </c>
      <c r="B153" s="4" t="s">
        <v>33</v>
      </c>
      <c r="C153" s="15">
        <v>10.7</v>
      </c>
      <c r="D153" s="14">
        <v>2400</v>
      </c>
      <c r="E153" s="14">
        <v>2600</v>
      </c>
      <c r="F153" s="16">
        <v>1.08</v>
      </c>
      <c r="G153" s="14">
        <v>140</v>
      </c>
      <c r="H153" s="14">
        <v>1920</v>
      </c>
      <c r="I153" s="14">
        <v>1000</v>
      </c>
      <c r="J153" s="14">
        <v>287</v>
      </c>
      <c r="K153" s="15">
        <v>266.7</v>
      </c>
      <c r="L153" s="14">
        <v>287</v>
      </c>
      <c r="M153" s="14">
        <v>800</v>
      </c>
      <c r="N153" s="15">
        <v>0.4</v>
      </c>
      <c r="O153" s="15">
        <v>553.6</v>
      </c>
      <c r="P153" s="15">
        <v>498.2</v>
      </c>
      <c r="Q153" s="1">
        <f t="shared" si="0"/>
        <v>1.1112003211561623</v>
      </c>
    </row>
    <row r="154" spans="1:17" hidden="1" x14ac:dyDescent="0.3">
      <c r="A154" s="18">
        <v>153</v>
      </c>
      <c r="B154" s="31" t="s">
        <v>34</v>
      </c>
      <c r="C154" s="20">
        <v>20.67</v>
      </c>
      <c r="D154" s="18">
        <v>1829</v>
      </c>
      <c r="E154" s="18">
        <v>1829</v>
      </c>
      <c r="F154" s="20">
        <v>1</v>
      </c>
      <c r="G154" s="18">
        <v>143</v>
      </c>
      <c r="H154" s="18">
        <v>1727</v>
      </c>
      <c r="I154" s="18">
        <v>1935</v>
      </c>
      <c r="J154" s="18">
        <v>496</v>
      </c>
      <c r="K154" s="18">
        <v>71</v>
      </c>
      <c r="L154" s="18">
        <v>386</v>
      </c>
      <c r="M154" s="18">
        <v>406</v>
      </c>
      <c r="N154" s="19">
        <v>1</v>
      </c>
      <c r="O154" s="19">
        <v>491.7</v>
      </c>
      <c r="P154" s="19">
        <v>455.1</v>
      </c>
    </row>
    <row r="155" spans="1:17" hidden="1" x14ac:dyDescent="0.3">
      <c r="A155" s="18">
        <v>154</v>
      </c>
      <c r="B155" s="31" t="s">
        <v>34</v>
      </c>
      <c r="C155" s="20">
        <v>17.91</v>
      </c>
      <c r="D155" s="18">
        <v>1829</v>
      </c>
      <c r="E155" s="18">
        <v>1829</v>
      </c>
      <c r="F155" s="20">
        <v>1</v>
      </c>
      <c r="G155" s="18">
        <v>143</v>
      </c>
      <c r="H155" s="18">
        <v>1727</v>
      </c>
      <c r="I155" s="18">
        <v>1935</v>
      </c>
      <c r="J155" s="18">
        <v>496</v>
      </c>
      <c r="K155" s="18">
        <v>71</v>
      </c>
      <c r="L155" s="18">
        <v>386</v>
      </c>
      <c r="M155" s="18">
        <v>406</v>
      </c>
      <c r="N155" s="19">
        <v>1</v>
      </c>
      <c r="O155" s="19">
        <v>0</v>
      </c>
      <c r="P155" s="19">
        <v>353.1</v>
      </c>
    </row>
    <row r="156" spans="1:17" hidden="1" x14ac:dyDescent="0.3">
      <c r="A156" s="18">
        <v>155</v>
      </c>
      <c r="B156" s="31" t="s">
        <v>34</v>
      </c>
      <c r="C156" s="20">
        <v>17.91</v>
      </c>
      <c r="D156" s="18">
        <v>1829</v>
      </c>
      <c r="E156" s="18">
        <v>1829</v>
      </c>
      <c r="F156" s="20">
        <v>1</v>
      </c>
      <c r="G156" s="18">
        <v>143</v>
      </c>
      <c r="H156" s="18">
        <v>1727</v>
      </c>
      <c r="I156" s="18">
        <v>1935</v>
      </c>
      <c r="J156" s="18">
        <v>496</v>
      </c>
      <c r="K156" s="18">
        <v>71</v>
      </c>
      <c r="L156" s="18">
        <v>386</v>
      </c>
      <c r="M156" s="18">
        <v>406</v>
      </c>
      <c r="N156" s="19">
        <v>1</v>
      </c>
      <c r="O156" s="19">
        <v>180.5</v>
      </c>
      <c r="P156" s="19">
        <v>384.5</v>
      </c>
    </row>
    <row r="157" spans="1:17" hidden="1" x14ac:dyDescent="0.3">
      <c r="A157" s="18">
        <v>156</v>
      </c>
      <c r="B157" s="31" t="s">
        <v>34</v>
      </c>
      <c r="C157" s="20">
        <v>20.67</v>
      </c>
      <c r="D157" s="18">
        <v>1829</v>
      </c>
      <c r="E157" s="18">
        <v>1829</v>
      </c>
      <c r="F157" s="20">
        <v>1</v>
      </c>
      <c r="G157" s="18">
        <v>143</v>
      </c>
      <c r="H157" s="18">
        <v>1727</v>
      </c>
      <c r="I157" s="18">
        <v>1935</v>
      </c>
      <c r="J157" s="18">
        <v>496</v>
      </c>
      <c r="K157" s="18">
        <v>71</v>
      </c>
      <c r="L157" s="18">
        <v>386</v>
      </c>
      <c r="M157" s="18">
        <v>406</v>
      </c>
      <c r="N157" s="19">
        <v>1</v>
      </c>
      <c r="O157" s="19">
        <v>180.5</v>
      </c>
      <c r="P157" s="19">
        <v>431.6</v>
      </c>
    </row>
    <row r="158" spans="1:17" hidden="1" x14ac:dyDescent="0.3">
      <c r="A158" s="18">
        <v>157</v>
      </c>
      <c r="B158" s="31" t="s">
        <v>34</v>
      </c>
      <c r="C158" s="20">
        <v>20.67</v>
      </c>
      <c r="D158" s="18">
        <v>1829</v>
      </c>
      <c r="E158" s="18">
        <v>1829</v>
      </c>
      <c r="F158" s="20">
        <v>1</v>
      </c>
      <c r="G158" s="18">
        <v>143</v>
      </c>
      <c r="H158" s="18">
        <v>1727</v>
      </c>
      <c r="I158" s="18">
        <v>1000</v>
      </c>
      <c r="J158" s="18">
        <v>441</v>
      </c>
      <c r="K158" s="18">
        <v>71</v>
      </c>
      <c r="L158" s="18">
        <v>386</v>
      </c>
      <c r="M158" s="18">
        <v>406</v>
      </c>
      <c r="N158" s="19">
        <v>1</v>
      </c>
      <c r="O158" s="19">
        <v>486.5</v>
      </c>
      <c r="P158" s="19">
        <v>426.3</v>
      </c>
    </row>
    <row r="159" spans="1:17" hidden="1" x14ac:dyDescent="0.3">
      <c r="A159" s="18">
        <v>158</v>
      </c>
      <c r="B159" s="31" t="s">
        <v>34</v>
      </c>
      <c r="C159" s="20">
        <v>22.74</v>
      </c>
      <c r="D159" s="18">
        <v>1829</v>
      </c>
      <c r="E159" s="18">
        <v>1829</v>
      </c>
      <c r="F159" s="20">
        <v>1</v>
      </c>
      <c r="G159" s="18">
        <v>143</v>
      </c>
      <c r="H159" s="18">
        <v>1727</v>
      </c>
      <c r="I159" s="18">
        <v>1420</v>
      </c>
      <c r="J159" s="18">
        <v>448</v>
      </c>
      <c r="K159" s="18">
        <v>71</v>
      </c>
      <c r="L159" s="18">
        <v>462</v>
      </c>
      <c r="M159" s="18">
        <v>406</v>
      </c>
      <c r="N159" s="19">
        <v>1</v>
      </c>
      <c r="O159" s="19">
        <v>486.5</v>
      </c>
      <c r="P159" s="19">
        <v>499.6</v>
      </c>
    </row>
    <row r="160" spans="1:17" hidden="1" x14ac:dyDescent="0.3">
      <c r="A160" s="18">
        <v>159</v>
      </c>
      <c r="B160" s="31" t="s">
        <v>34</v>
      </c>
      <c r="C160" s="20">
        <v>22.74</v>
      </c>
      <c r="D160" s="18">
        <v>1829</v>
      </c>
      <c r="E160" s="18">
        <v>1829</v>
      </c>
      <c r="F160" s="20">
        <v>1</v>
      </c>
      <c r="G160" s="18">
        <v>143</v>
      </c>
      <c r="H160" s="18">
        <v>1727</v>
      </c>
      <c r="I160" s="18">
        <v>1420</v>
      </c>
      <c r="J160" s="18">
        <v>448</v>
      </c>
      <c r="K160" s="18">
        <v>71</v>
      </c>
      <c r="L160" s="18">
        <v>386</v>
      </c>
      <c r="M160" s="18">
        <v>406</v>
      </c>
      <c r="N160" s="19">
        <v>1</v>
      </c>
      <c r="O160" s="19">
        <v>486.5</v>
      </c>
      <c r="P160" s="19">
        <v>468.2</v>
      </c>
    </row>
    <row r="161" spans="1:16" hidden="1" x14ac:dyDescent="0.3">
      <c r="A161" s="18">
        <v>160</v>
      </c>
      <c r="B161" s="31" t="s">
        <v>34</v>
      </c>
      <c r="C161" s="20">
        <v>17.23</v>
      </c>
      <c r="D161" s="18">
        <v>1829</v>
      </c>
      <c r="E161" s="18">
        <v>1829</v>
      </c>
      <c r="F161" s="20">
        <v>1</v>
      </c>
      <c r="G161" s="18">
        <v>143</v>
      </c>
      <c r="H161" s="18">
        <v>1727</v>
      </c>
      <c r="I161" s="18">
        <v>1935</v>
      </c>
      <c r="J161" s="18">
        <v>496</v>
      </c>
      <c r="K161" s="18">
        <v>71</v>
      </c>
      <c r="L161" s="18">
        <v>462</v>
      </c>
      <c r="M161" s="18">
        <v>406</v>
      </c>
      <c r="N161" s="19">
        <v>1</v>
      </c>
      <c r="O161" s="19">
        <v>486.5</v>
      </c>
      <c r="P161" s="19">
        <v>536.20000000000005</v>
      </c>
    </row>
    <row r="162" spans="1:16" hidden="1" x14ac:dyDescent="0.3">
      <c r="A162" s="18">
        <v>161</v>
      </c>
      <c r="B162" s="31" t="s">
        <v>35</v>
      </c>
      <c r="C162" s="20">
        <v>22.81</v>
      </c>
      <c r="D162" s="18">
        <v>1200</v>
      </c>
      <c r="E162" s="18">
        <v>1800</v>
      </c>
      <c r="F162" s="20">
        <v>1.5</v>
      </c>
      <c r="G162" s="18">
        <v>190</v>
      </c>
      <c r="H162" s="18">
        <v>1105</v>
      </c>
      <c r="I162" s="18">
        <v>1537</v>
      </c>
      <c r="J162" s="18">
        <v>387</v>
      </c>
      <c r="K162" s="19">
        <v>126.9</v>
      </c>
      <c r="L162" s="18">
        <v>354</v>
      </c>
      <c r="M162" s="18">
        <v>400</v>
      </c>
      <c r="N162" s="19">
        <v>1</v>
      </c>
      <c r="O162" s="19">
        <v>893.8</v>
      </c>
      <c r="P162" s="19">
        <v>547.20000000000005</v>
      </c>
    </row>
    <row r="163" spans="1:16" hidden="1" x14ac:dyDescent="0.3">
      <c r="A163" s="18">
        <v>162</v>
      </c>
      <c r="B163" s="31" t="s">
        <v>35</v>
      </c>
      <c r="C163" s="20">
        <v>22.81</v>
      </c>
      <c r="D163" s="18">
        <v>2000</v>
      </c>
      <c r="E163" s="18">
        <v>1800</v>
      </c>
      <c r="F163" s="20">
        <v>0.9</v>
      </c>
      <c r="G163" s="18">
        <v>190</v>
      </c>
      <c r="H163" s="18">
        <v>1105</v>
      </c>
      <c r="I163" s="18">
        <v>2561</v>
      </c>
      <c r="J163" s="18">
        <v>387</v>
      </c>
      <c r="K163" s="19">
        <v>126.9</v>
      </c>
      <c r="L163" s="18">
        <v>354</v>
      </c>
      <c r="M163" s="18">
        <v>400</v>
      </c>
      <c r="N163" s="19">
        <v>1</v>
      </c>
      <c r="O163" s="19">
        <v>2230.6</v>
      </c>
      <c r="P163" s="19">
        <v>991.8</v>
      </c>
    </row>
    <row r="164" spans="1:16" hidden="1" x14ac:dyDescent="0.3">
      <c r="A164" s="18">
        <v>163</v>
      </c>
      <c r="B164" s="31" t="s">
        <v>35</v>
      </c>
      <c r="C164" s="20">
        <v>26.73</v>
      </c>
      <c r="D164" s="18">
        <v>1200</v>
      </c>
      <c r="E164" s="18">
        <v>1800</v>
      </c>
      <c r="F164" s="20">
        <v>1.5</v>
      </c>
      <c r="G164" s="18">
        <v>190</v>
      </c>
      <c r="H164" s="18">
        <v>1905</v>
      </c>
      <c r="I164" s="18">
        <v>1161</v>
      </c>
      <c r="J164" s="18">
        <v>387</v>
      </c>
      <c r="K164" s="19">
        <v>126.9</v>
      </c>
      <c r="L164" s="18">
        <v>354</v>
      </c>
      <c r="M164" s="18">
        <v>400</v>
      </c>
      <c r="N164" s="19">
        <v>1</v>
      </c>
      <c r="O164" s="19">
        <v>0</v>
      </c>
      <c r="P164" s="19">
        <v>711.4</v>
      </c>
    </row>
    <row r="165" spans="1:16" hidden="1" x14ac:dyDescent="0.3">
      <c r="A165" s="18">
        <v>164</v>
      </c>
      <c r="B165" s="31" t="s">
        <v>35</v>
      </c>
      <c r="C165" s="20">
        <v>25.16</v>
      </c>
      <c r="D165" s="18">
        <v>1200</v>
      </c>
      <c r="E165" s="18">
        <v>1800</v>
      </c>
      <c r="F165" s="20">
        <v>1.5</v>
      </c>
      <c r="G165" s="18">
        <v>190</v>
      </c>
      <c r="H165" s="18">
        <v>1105</v>
      </c>
      <c r="I165" s="18">
        <v>1537</v>
      </c>
      <c r="J165" s="18">
        <v>387</v>
      </c>
      <c r="K165" s="19">
        <v>126.9</v>
      </c>
      <c r="L165" s="18">
        <v>354</v>
      </c>
      <c r="M165" s="18">
        <v>400</v>
      </c>
      <c r="N165" s="19">
        <v>1</v>
      </c>
      <c r="O165" s="19">
        <v>0</v>
      </c>
      <c r="P165" s="19">
        <v>529</v>
      </c>
    </row>
    <row r="166" spans="1:16" hidden="1" x14ac:dyDescent="0.3">
      <c r="A166" s="14">
        <v>165</v>
      </c>
      <c r="B166" s="33" t="s">
        <v>39</v>
      </c>
      <c r="C166" s="16">
        <v>23.14</v>
      </c>
      <c r="D166" s="14">
        <v>1219</v>
      </c>
      <c r="E166" s="14">
        <v>1422</v>
      </c>
      <c r="F166" s="16">
        <v>1.17</v>
      </c>
      <c r="G166" s="14">
        <v>194</v>
      </c>
      <c r="H166" s="14">
        <v>1143</v>
      </c>
      <c r="I166" s="14">
        <v>464</v>
      </c>
      <c r="J166" s="14">
        <v>465</v>
      </c>
      <c r="K166" s="15">
        <v>154.80000000000001</v>
      </c>
      <c r="L166" s="14">
        <v>407</v>
      </c>
      <c r="M166" s="14">
        <v>284</v>
      </c>
      <c r="N166" s="15">
        <v>1</v>
      </c>
      <c r="O166" s="15">
        <v>444.6</v>
      </c>
      <c r="P166" s="15">
        <v>461.1</v>
      </c>
    </row>
    <row r="167" spans="1:16" hidden="1" x14ac:dyDescent="0.3">
      <c r="A167" s="14">
        <v>166</v>
      </c>
      <c r="B167" s="33" t="s">
        <v>39</v>
      </c>
      <c r="C167" s="16">
        <v>23.14</v>
      </c>
      <c r="D167" s="14">
        <v>1219</v>
      </c>
      <c r="E167" s="14">
        <v>1422</v>
      </c>
      <c r="F167" s="16">
        <v>1.17</v>
      </c>
      <c r="G167" s="14">
        <v>194</v>
      </c>
      <c r="H167" s="14">
        <v>1143</v>
      </c>
      <c r="I167" s="14">
        <v>400</v>
      </c>
      <c r="J167" s="14">
        <v>465</v>
      </c>
      <c r="K167" s="15">
        <v>154.80000000000001</v>
      </c>
      <c r="L167" s="14">
        <v>407</v>
      </c>
      <c r="M167" s="14">
        <v>284</v>
      </c>
      <c r="N167" s="15">
        <v>1</v>
      </c>
      <c r="O167" s="15">
        <v>711.8</v>
      </c>
      <c r="P167" s="15">
        <v>562.79999999999995</v>
      </c>
    </row>
    <row r="168" spans="1:16" hidden="1" x14ac:dyDescent="0.3">
      <c r="A168" s="14">
        <v>167</v>
      </c>
      <c r="B168" s="33" t="s">
        <v>39</v>
      </c>
      <c r="C168" s="16">
        <v>15.83</v>
      </c>
      <c r="D168" s="14">
        <v>1219</v>
      </c>
      <c r="E168" s="14">
        <v>1422</v>
      </c>
      <c r="F168" s="16">
        <v>1.17</v>
      </c>
      <c r="G168" s="14">
        <v>143</v>
      </c>
      <c r="H168" s="14">
        <v>1143</v>
      </c>
      <c r="I168" s="14">
        <v>774</v>
      </c>
      <c r="J168" s="14">
        <v>391</v>
      </c>
      <c r="K168" s="15">
        <v>160</v>
      </c>
      <c r="L168" s="14">
        <v>438</v>
      </c>
      <c r="M168" s="14">
        <v>284</v>
      </c>
      <c r="N168" s="15">
        <v>1</v>
      </c>
      <c r="O168" s="15">
        <v>484.6</v>
      </c>
      <c r="P168" s="15">
        <v>428.8</v>
      </c>
    </row>
    <row r="169" spans="1:16" hidden="1" x14ac:dyDescent="0.3">
      <c r="A169" s="14">
        <v>168</v>
      </c>
      <c r="B169" s="33" t="s">
        <v>39</v>
      </c>
      <c r="C169" s="16">
        <v>15.83</v>
      </c>
      <c r="D169" s="14">
        <v>1219</v>
      </c>
      <c r="E169" s="14">
        <v>1422</v>
      </c>
      <c r="F169" s="16">
        <v>1.17</v>
      </c>
      <c r="G169" s="14">
        <v>143</v>
      </c>
      <c r="H169" s="14">
        <v>1143</v>
      </c>
      <c r="I169" s="14">
        <v>774</v>
      </c>
      <c r="J169" s="14">
        <v>410</v>
      </c>
      <c r="K169" s="15">
        <v>160</v>
      </c>
      <c r="L169" s="14">
        <v>438</v>
      </c>
      <c r="M169" s="14">
        <v>284</v>
      </c>
      <c r="N169" s="15">
        <v>1</v>
      </c>
      <c r="O169" s="15">
        <v>484.6</v>
      </c>
      <c r="P169" s="15">
        <v>428.8</v>
      </c>
    </row>
    <row r="170" spans="1:16" hidden="1" x14ac:dyDescent="0.3">
      <c r="A170" s="14">
        <v>169</v>
      </c>
      <c r="B170" s="33" t="s">
        <v>39</v>
      </c>
      <c r="C170" s="16">
        <v>15.13</v>
      </c>
      <c r="D170" s="14">
        <v>1219</v>
      </c>
      <c r="E170" s="14">
        <v>1422</v>
      </c>
      <c r="F170" s="16">
        <v>1.17</v>
      </c>
      <c r="G170" s="14">
        <v>143</v>
      </c>
      <c r="H170" s="14">
        <v>1143</v>
      </c>
      <c r="I170" s="14">
        <v>774</v>
      </c>
      <c r="J170" s="14">
        <v>391</v>
      </c>
      <c r="K170" s="15">
        <v>133.5</v>
      </c>
      <c r="L170" s="14">
        <v>438</v>
      </c>
      <c r="M170" s="14">
        <v>474</v>
      </c>
      <c r="N170" s="15">
        <v>1</v>
      </c>
      <c r="O170" s="15">
        <v>484.6</v>
      </c>
      <c r="P170" s="15">
        <v>411.4</v>
      </c>
    </row>
    <row r="171" spans="1:16" hidden="1" x14ac:dyDescent="0.3">
      <c r="A171" s="14">
        <v>170</v>
      </c>
      <c r="B171" s="33" t="s">
        <v>39</v>
      </c>
      <c r="C171" s="16">
        <v>15.13</v>
      </c>
      <c r="D171" s="14">
        <v>1219</v>
      </c>
      <c r="E171" s="14">
        <v>1422</v>
      </c>
      <c r="F171" s="16">
        <v>1.17</v>
      </c>
      <c r="G171" s="14">
        <v>143</v>
      </c>
      <c r="H171" s="14">
        <v>1143</v>
      </c>
      <c r="I171" s="14">
        <v>774</v>
      </c>
      <c r="J171" s="14">
        <v>410</v>
      </c>
      <c r="K171" s="15">
        <v>133.5</v>
      </c>
      <c r="L171" s="14">
        <v>438</v>
      </c>
      <c r="M171" s="14">
        <v>474</v>
      </c>
      <c r="N171" s="15">
        <v>1</v>
      </c>
      <c r="O171" s="15">
        <v>484.6</v>
      </c>
      <c r="P171" s="15">
        <v>388.7</v>
      </c>
    </row>
    <row r="172" spans="1:16" hidden="1" x14ac:dyDescent="0.3">
      <c r="A172" s="14">
        <v>171</v>
      </c>
      <c r="B172" s="33" t="s">
        <v>39</v>
      </c>
      <c r="C172" s="16">
        <v>15.13</v>
      </c>
      <c r="D172" s="14">
        <v>1219</v>
      </c>
      <c r="E172" s="14">
        <v>1422</v>
      </c>
      <c r="F172" s="16">
        <v>1.17</v>
      </c>
      <c r="G172" s="14">
        <v>143</v>
      </c>
      <c r="H172" s="14">
        <v>1143</v>
      </c>
      <c r="I172" s="14">
        <v>774</v>
      </c>
      <c r="J172" s="14">
        <v>391</v>
      </c>
      <c r="K172" s="15">
        <v>21.8</v>
      </c>
      <c r="L172" s="14">
        <v>438</v>
      </c>
      <c r="M172" s="14">
        <v>203</v>
      </c>
      <c r="N172" s="15">
        <v>1</v>
      </c>
      <c r="O172" s="15">
        <v>484.6</v>
      </c>
      <c r="P172" s="15">
        <v>334.7</v>
      </c>
    </row>
    <row r="173" spans="1:16" hidden="1" x14ac:dyDescent="0.3">
      <c r="A173" s="14">
        <v>172</v>
      </c>
      <c r="B173" s="33" t="s">
        <v>39</v>
      </c>
      <c r="C173" s="16">
        <v>15.13</v>
      </c>
      <c r="D173" s="14">
        <v>1219</v>
      </c>
      <c r="E173" s="14">
        <v>1422</v>
      </c>
      <c r="F173" s="16">
        <v>1.17</v>
      </c>
      <c r="G173" s="14">
        <v>143</v>
      </c>
      <c r="H173" s="14">
        <v>1143</v>
      </c>
      <c r="I173" s="14">
        <v>774</v>
      </c>
      <c r="J173" s="14">
        <v>391</v>
      </c>
      <c r="K173" s="15">
        <v>155.19999999999999</v>
      </c>
      <c r="L173" s="14">
        <v>438</v>
      </c>
      <c r="M173" s="14">
        <v>399</v>
      </c>
      <c r="N173" s="15">
        <v>1</v>
      </c>
      <c r="O173" s="15">
        <v>484.6</v>
      </c>
      <c r="P173" s="15">
        <v>423.6</v>
      </c>
    </row>
    <row r="174" spans="1:16" hidden="1" x14ac:dyDescent="0.3">
      <c r="A174" s="14">
        <v>173</v>
      </c>
      <c r="B174" s="33" t="s">
        <v>39</v>
      </c>
      <c r="C174" s="16">
        <v>15.13</v>
      </c>
      <c r="D174" s="14">
        <v>1219</v>
      </c>
      <c r="E174" s="14">
        <v>1422</v>
      </c>
      <c r="F174" s="16">
        <v>1.17</v>
      </c>
      <c r="G174" s="14">
        <v>143</v>
      </c>
      <c r="H174" s="14">
        <v>1143</v>
      </c>
      <c r="I174" s="14">
        <v>774</v>
      </c>
      <c r="J174" s="14">
        <v>391</v>
      </c>
      <c r="K174" s="15">
        <v>133.5</v>
      </c>
      <c r="L174" s="14">
        <v>438</v>
      </c>
      <c r="M174" s="14">
        <v>474</v>
      </c>
      <c r="N174" s="15">
        <v>1</v>
      </c>
      <c r="O174" s="15">
        <v>303.3</v>
      </c>
      <c r="P174" s="15">
        <v>341.7</v>
      </c>
    </row>
    <row r="175" spans="1:16" hidden="1" x14ac:dyDescent="0.3">
      <c r="A175" s="14">
        <v>174</v>
      </c>
      <c r="B175" s="33" t="s">
        <v>39</v>
      </c>
      <c r="C175" s="16">
        <v>15.13</v>
      </c>
      <c r="D175" s="14">
        <v>1219</v>
      </c>
      <c r="E175" s="14">
        <v>1422</v>
      </c>
      <c r="F175" s="16">
        <v>1.17</v>
      </c>
      <c r="G175" s="14">
        <v>143</v>
      </c>
      <c r="H175" s="14">
        <v>1143</v>
      </c>
      <c r="I175" s="14">
        <v>774</v>
      </c>
      <c r="J175" s="14">
        <v>391</v>
      </c>
      <c r="K175" s="15">
        <v>133.5</v>
      </c>
      <c r="L175" s="14">
        <v>438</v>
      </c>
      <c r="M175" s="14">
        <v>474</v>
      </c>
      <c r="N175" s="15">
        <v>1</v>
      </c>
      <c r="O175" s="15">
        <v>481.1</v>
      </c>
      <c r="P175" s="15">
        <v>418.4</v>
      </c>
    </row>
    <row r="176" spans="1:16" hidden="1" x14ac:dyDescent="0.3">
      <c r="A176" s="14">
        <v>175</v>
      </c>
      <c r="B176" s="33" t="s">
        <v>39</v>
      </c>
      <c r="C176" s="16">
        <v>20.11</v>
      </c>
      <c r="D176" s="14">
        <v>1219</v>
      </c>
      <c r="E176" s="14">
        <v>1422</v>
      </c>
      <c r="F176" s="16">
        <v>1.17</v>
      </c>
      <c r="G176" s="14">
        <v>143</v>
      </c>
      <c r="H176" s="14">
        <v>1143</v>
      </c>
      <c r="I176" s="14">
        <v>774</v>
      </c>
      <c r="J176" s="14">
        <v>391</v>
      </c>
      <c r="K176" s="15">
        <v>133.5</v>
      </c>
      <c r="L176" s="14">
        <v>438</v>
      </c>
      <c r="M176" s="14">
        <v>474</v>
      </c>
      <c r="N176" s="15">
        <v>1</v>
      </c>
      <c r="O176" s="15">
        <v>481.1</v>
      </c>
      <c r="P176" s="15">
        <v>320.7</v>
      </c>
    </row>
    <row r="177" spans="1:16" hidden="1" x14ac:dyDescent="0.3">
      <c r="A177" s="14">
        <v>176</v>
      </c>
      <c r="B177" s="33" t="s">
        <v>39</v>
      </c>
      <c r="C177" s="16">
        <v>20.11</v>
      </c>
      <c r="D177" s="14">
        <v>1219</v>
      </c>
      <c r="E177" s="14">
        <v>1422</v>
      </c>
      <c r="F177" s="16">
        <v>1.17</v>
      </c>
      <c r="G177" s="14">
        <v>143</v>
      </c>
      <c r="H177" s="14">
        <v>1143</v>
      </c>
      <c r="I177" s="14">
        <v>774</v>
      </c>
      <c r="J177" s="14">
        <v>391</v>
      </c>
      <c r="K177" s="15">
        <v>166.7</v>
      </c>
      <c r="L177" s="14">
        <v>438</v>
      </c>
      <c r="M177" s="14">
        <v>237</v>
      </c>
      <c r="N177" s="15">
        <v>1</v>
      </c>
      <c r="O177" s="15">
        <v>481.1</v>
      </c>
      <c r="P177" s="15">
        <v>334.7</v>
      </c>
    </row>
    <row r="178" spans="1:16" hidden="1" x14ac:dyDescent="0.3">
      <c r="A178" s="14">
        <v>177</v>
      </c>
      <c r="B178" s="33" t="s">
        <v>39</v>
      </c>
      <c r="C178" s="16">
        <v>20.11</v>
      </c>
      <c r="D178" s="14">
        <v>1219</v>
      </c>
      <c r="E178" s="14">
        <v>1422</v>
      </c>
      <c r="F178" s="16">
        <v>1.17</v>
      </c>
      <c r="G178" s="14">
        <v>143</v>
      </c>
      <c r="H178" s="14">
        <v>1143</v>
      </c>
      <c r="I178" s="14">
        <v>1175</v>
      </c>
      <c r="J178" s="14">
        <v>391</v>
      </c>
      <c r="K178" s="15">
        <v>133.5</v>
      </c>
      <c r="L178" s="14">
        <v>438</v>
      </c>
      <c r="M178" s="14">
        <v>474</v>
      </c>
      <c r="N178" s="15">
        <v>1</v>
      </c>
      <c r="O178" s="15">
        <v>481.1</v>
      </c>
      <c r="P178" s="15">
        <v>409.6</v>
      </c>
    </row>
    <row r="179" spans="1:16" hidden="1" x14ac:dyDescent="0.3">
      <c r="A179" s="14">
        <v>178</v>
      </c>
      <c r="B179" s="33" t="s">
        <v>39</v>
      </c>
      <c r="C179" s="16">
        <v>20.11</v>
      </c>
      <c r="D179" s="14">
        <v>1219</v>
      </c>
      <c r="E179" s="14">
        <v>1422</v>
      </c>
      <c r="F179" s="16">
        <v>1.17</v>
      </c>
      <c r="G179" s="14">
        <v>143</v>
      </c>
      <c r="H179" s="14">
        <v>1143</v>
      </c>
      <c r="I179" s="14">
        <v>800</v>
      </c>
      <c r="J179" s="14">
        <v>438</v>
      </c>
      <c r="K179" s="15">
        <v>166.7</v>
      </c>
      <c r="L179" s="14">
        <v>438</v>
      </c>
      <c r="M179" s="14">
        <v>237</v>
      </c>
      <c r="N179" s="15">
        <v>1</v>
      </c>
      <c r="O179" s="15">
        <v>481.1</v>
      </c>
      <c r="P179" s="15">
        <v>418.4</v>
      </c>
    </row>
    <row r="180" spans="1:16" hidden="1" x14ac:dyDescent="0.3">
      <c r="A180" s="14">
        <v>179</v>
      </c>
      <c r="B180" s="33" t="s">
        <v>39</v>
      </c>
      <c r="C180" s="16">
        <v>20.11</v>
      </c>
      <c r="D180" s="14">
        <v>1219</v>
      </c>
      <c r="E180" s="14">
        <v>1422</v>
      </c>
      <c r="F180" s="16">
        <v>1.17</v>
      </c>
      <c r="G180" s="14">
        <v>143</v>
      </c>
      <c r="H180" s="14">
        <v>1143</v>
      </c>
      <c r="I180" s="14">
        <v>774</v>
      </c>
      <c r="J180" s="14">
        <v>410</v>
      </c>
      <c r="K180" s="15">
        <v>133.5</v>
      </c>
      <c r="L180" s="14">
        <v>438</v>
      </c>
      <c r="M180" s="14">
        <v>474</v>
      </c>
      <c r="N180" s="15">
        <v>1</v>
      </c>
      <c r="O180" s="14">
        <v>143</v>
      </c>
      <c r="P180" s="15">
        <v>353.9</v>
      </c>
    </row>
    <row r="181" spans="1:16" hidden="1" x14ac:dyDescent="0.3">
      <c r="A181" s="14">
        <v>180</v>
      </c>
      <c r="B181" s="33" t="s">
        <v>39</v>
      </c>
      <c r="C181" s="16">
        <v>20.11</v>
      </c>
      <c r="D181" s="14">
        <v>1219</v>
      </c>
      <c r="E181" s="14">
        <v>1422</v>
      </c>
      <c r="F181" s="16">
        <v>1.17</v>
      </c>
      <c r="G181" s="14">
        <v>143</v>
      </c>
      <c r="H181" s="14">
        <v>1143</v>
      </c>
      <c r="I181" s="14">
        <v>774</v>
      </c>
      <c r="J181" s="14">
        <v>410</v>
      </c>
      <c r="K181" s="15">
        <v>166.7</v>
      </c>
      <c r="L181" s="14">
        <v>438</v>
      </c>
      <c r="M181" s="14">
        <v>237</v>
      </c>
      <c r="N181" s="15">
        <v>1</v>
      </c>
      <c r="O181" s="14">
        <v>143</v>
      </c>
      <c r="P181" s="15">
        <v>383.5</v>
      </c>
    </row>
    <row r="182" spans="1:16" hidden="1" x14ac:dyDescent="0.3">
      <c r="A182" s="14">
        <v>181</v>
      </c>
      <c r="B182" s="33" t="s">
        <v>39</v>
      </c>
      <c r="C182" s="16">
        <v>20.11</v>
      </c>
      <c r="D182" s="14">
        <v>1219</v>
      </c>
      <c r="E182" s="27">
        <v>1422</v>
      </c>
      <c r="F182" s="16">
        <v>1.17</v>
      </c>
      <c r="G182" s="14">
        <v>143</v>
      </c>
      <c r="H182" s="14">
        <v>1143</v>
      </c>
      <c r="I182" s="14">
        <v>258</v>
      </c>
      <c r="J182" s="14">
        <v>391</v>
      </c>
      <c r="K182" s="15">
        <v>133.5</v>
      </c>
      <c r="L182" s="14">
        <v>438</v>
      </c>
      <c r="M182" s="14">
        <v>474</v>
      </c>
      <c r="N182" s="15">
        <v>1</v>
      </c>
      <c r="O182" s="14">
        <v>143</v>
      </c>
      <c r="P182" s="15">
        <v>380</v>
      </c>
    </row>
    <row r="183" spans="1:16" hidden="1" x14ac:dyDescent="0.3">
      <c r="A183" s="14">
        <v>182</v>
      </c>
      <c r="B183" s="33" t="s">
        <v>39</v>
      </c>
      <c r="C183" s="16">
        <v>20.11</v>
      </c>
      <c r="D183" s="14">
        <v>1219</v>
      </c>
      <c r="E183" s="27">
        <v>1422</v>
      </c>
      <c r="F183" s="16">
        <v>1.17</v>
      </c>
      <c r="G183" s="14">
        <v>143</v>
      </c>
      <c r="H183" s="14">
        <v>1143</v>
      </c>
      <c r="I183" s="14">
        <v>774</v>
      </c>
      <c r="J183" s="14">
        <v>391</v>
      </c>
      <c r="K183" s="15">
        <v>166.7</v>
      </c>
      <c r="L183" s="14">
        <v>438</v>
      </c>
      <c r="M183" s="14">
        <v>237</v>
      </c>
      <c r="N183" s="15">
        <v>1</v>
      </c>
      <c r="O183" s="14">
        <v>143</v>
      </c>
      <c r="P183" s="15">
        <v>373</v>
      </c>
    </row>
    <row r="184" spans="1:16" hidden="1" x14ac:dyDescent="0.3">
      <c r="A184" s="14">
        <v>183</v>
      </c>
      <c r="B184" s="33" t="s">
        <v>39</v>
      </c>
      <c r="C184" s="16">
        <v>20.11</v>
      </c>
      <c r="D184" s="14">
        <v>1219</v>
      </c>
      <c r="E184" s="27">
        <v>1422</v>
      </c>
      <c r="F184" s="16">
        <v>1.17</v>
      </c>
      <c r="G184" s="14">
        <v>143</v>
      </c>
      <c r="H184" s="14">
        <v>1143</v>
      </c>
      <c r="I184" s="14">
        <v>774</v>
      </c>
      <c r="J184" s="14">
        <v>391</v>
      </c>
      <c r="K184" s="15">
        <v>103.2</v>
      </c>
      <c r="L184" s="14">
        <v>410</v>
      </c>
      <c r="M184" s="14">
        <v>284</v>
      </c>
      <c r="N184" s="15">
        <v>1</v>
      </c>
      <c r="O184" s="14">
        <v>143</v>
      </c>
      <c r="P184" s="15">
        <v>392.2</v>
      </c>
    </row>
    <row r="185" spans="1:16" hidden="1" x14ac:dyDescent="0.3">
      <c r="A185" s="14">
        <v>184</v>
      </c>
      <c r="B185" s="33" t="s">
        <v>39</v>
      </c>
      <c r="C185" s="16">
        <v>20.11</v>
      </c>
      <c r="D185" s="14">
        <v>1219</v>
      </c>
      <c r="E185" s="27">
        <v>1422</v>
      </c>
      <c r="F185" s="16">
        <v>1.17</v>
      </c>
      <c r="G185" s="14">
        <v>143</v>
      </c>
      <c r="H185" s="14">
        <v>1143</v>
      </c>
      <c r="I185" s="14">
        <v>774</v>
      </c>
      <c r="J185" s="14">
        <v>410</v>
      </c>
      <c r="K185" s="15">
        <v>117.1</v>
      </c>
      <c r="L185" s="14">
        <v>417</v>
      </c>
      <c r="M185" s="14">
        <v>129</v>
      </c>
      <c r="N185" s="15">
        <v>1</v>
      </c>
      <c r="O185" s="14">
        <v>143</v>
      </c>
      <c r="P185" s="15">
        <v>395.7</v>
      </c>
    </row>
    <row r="186" spans="1:16" hidden="1" x14ac:dyDescent="0.3">
      <c r="A186" s="14">
        <v>185</v>
      </c>
      <c r="B186" s="33" t="s">
        <v>39</v>
      </c>
      <c r="C186" s="16">
        <v>27.62</v>
      </c>
      <c r="D186" s="14">
        <v>1219</v>
      </c>
      <c r="E186" s="27">
        <v>1422</v>
      </c>
      <c r="F186" s="16">
        <v>1.17</v>
      </c>
      <c r="G186" s="14">
        <v>143</v>
      </c>
      <c r="H186" s="14">
        <v>1143</v>
      </c>
      <c r="I186" s="14">
        <v>774</v>
      </c>
      <c r="J186" s="14">
        <v>391</v>
      </c>
      <c r="K186" s="15">
        <v>29</v>
      </c>
      <c r="L186" s="14">
        <v>438</v>
      </c>
      <c r="M186" s="14">
        <v>203</v>
      </c>
      <c r="N186" s="15">
        <v>1</v>
      </c>
      <c r="O186" s="14">
        <v>143</v>
      </c>
      <c r="P186" s="15">
        <v>468.9</v>
      </c>
    </row>
    <row r="187" spans="1:16" hidden="1" x14ac:dyDescent="0.3">
      <c r="A187" s="18">
        <v>186</v>
      </c>
      <c r="B187" s="32" t="s">
        <v>40</v>
      </c>
      <c r="C187" s="19">
        <v>9.1999999999999993</v>
      </c>
      <c r="D187" s="18">
        <v>1200</v>
      </c>
      <c r="E187" s="28">
        <v>1400</v>
      </c>
      <c r="F187" s="20">
        <v>1.17</v>
      </c>
      <c r="G187" s="18">
        <v>190</v>
      </c>
      <c r="H187" s="18">
        <v>960</v>
      </c>
      <c r="I187" s="18">
        <v>0</v>
      </c>
      <c r="J187" s="18">
        <v>0</v>
      </c>
      <c r="K187" s="19">
        <v>0</v>
      </c>
      <c r="L187" s="18">
        <v>0</v>
      </c>
      <c r="M187" s="18">
        <v>0</v>
      </c>
      <c r="N187" s="20">
        <v>1</v>
      </c>
      <c r="O187" s="19">
        <v>89</v>
      </c>
      <c r="P187" s="19">
        <v>220</v>
      </c>
    </row>
    <row r="188" spans="1:16" x14ac:dyDescent="0.3">
      <c r="A188" s="18">
        <v>187</v>
      </c>
      <c r="B188" s="32" t="s">
        <v>40</v>
      </c>
      <c r="C188" s="19">
        <v>9.1999999999999993</v>
      </c>
      <c r="D188" s="18">
        <v>1200</v>
      </c>
      <c r="E188" s="28">
        <v>1400</v>
      </c>
      <c r="F188" s="20">
        <v>1.17</v>
      </c>
      <c r="G188" s="18">
        <v>190</v>
      </c>
      <c r="H188" s="18">
        <v>960</v>
      </c>
      <c r="I188" s="18">
        <v>0</v>
      </c>
      <c r="J188" s="18">
        <v>0</v>
      </c>
      <c r="K188" s="19">
        <v>0</v>
      </c>
      <c r="L188" s="18">
        <v>0</v>
      </c>
      <c r="M188" s="18">
        <v>0</v>
      </c>
      <c r="N188" s="20">
        <v>0.5</v>
      </c>
      <c r="O188" s="19">
        <v>89</v>
      </c>
      <c r="P188" s="19">
        <v>117</v>
      </c>
    </row>
    <row r="189" spans="1:16" hidden="1" x14ac:dyDescent="0.3">
      <c r="A189" s="18">
        <v>188</v>
      </c>
      <c r="B189" s="32" t="s">
        <v>40</v>
      </c>
      <c r="C189" s="19">
        <v>12.6</v>
      </c>
      <c r="D189" s="18">
        <v>1200</v>
      </c>
      <c r="E189" s="28">
        <v>1400</v>
      </c>
      <c r="F189" s="20">
        <v>1.17</v>
      </c>
      <c r="G189" s="18">
        <v>190</v>
      </c>
      <c r="H189" s="18">
        <v>960</v>
      </c>
      <c r="I189" s="18">
        <v>400</v>
      </c>
      <c r="J189" s="18">
        <v>488</v>
      </c>
      <c r="K189" s="19">
        <v>0</v>
      </c>
      <c r="L189" s="18">
        <v>0</v>
      </c>
      <c r="M189" s="18">
        <v>0</v>
      </c>
      <c r="N189" s="20">
        <v>1</v>
      </c>
      <c r="O189" s="19">
        <v>89</v>
      </c>
      <c r="P189" s="19">
        <v>218</v>
      </c>
    </row>
    <row r="190" spans="1:16" hidden="1" x14ac:dyDescent="0.3">
      <c r="A190" s="18">
        <v>189</v>
      </c>
      <c r="B190" s="32" t="s">
        <v>40</v>
      </c>
      <c r="C190" s="19">
        <v>12.6</v>
      </c>
      <c r="D190" s="18">
        <v>1200</v>
      </c>
      <c r="E190" s="28">
        <v>1400</v>
      </c>
      <c r="F190" s="20">
        <v>1.17</v>
      </c>
      <c r="G190" s="18">
        <v>190</v>
      </c>
      <c r="H190" s="18">
        <v>960</v>
      </c>
      <c r="I190" s="18">
        <v>400</v>
      </c>
      <c r="J190" s="18">
        <v>488</v>
      </c>
      <c r="K190" s="19">
        <v>200</v>
      </c>
      <c r="L190" s="18">
        <v>330</v>
      </c>
      <c r="M190" s="18">
        <v>1400</v>
      </c>
      <c r="N190" s="20">
        <v>1</v>
      </c>
      <c r="O190" s="19">
        <v>89</v>
      </c>
      <c r="P190" s="19">
        <v>279</v>
      </c>
    </row>
    <row r="191" spans="1:16" x14ac:dyDescent="0.3">
      <c r="A191" s="18">
        <v>190</v>
      </c>
      <c r="B191" s="32" t="s">
        <v>40</v>
      </c>
      <c r="C191" s="19">
        <v>9.1999999999999993</v>
      </c>
      <c r="D191" s="18">
        <v>1200</v>
      </c>
      <c r="E191" s="28">
        <v>1400</v>
      </c>
      <c r="F191" s="20">
        <v>1.17</v>
      </c>
      <c r="G191" s="18">
        <v>190</v>
      </c>
      <c r="H191" s="18">
        <v>960</v>
      </c>
      <c r="I191" s="18">
        <v>400</v>
      </c>
      <c r="J191" s="18">
        <v>488</v>
      </c>
      <c r="K191" s="19">
        <v>200</v>
      </c>
      <c r="L191" s="18">
        <v>330</v>
      </c>
      <c r="M191" s="18">
        <v>1400</v>
      </c>
      <c r="N191" s="20">
        <v>0.5</v>
      </c>
      <c r="O191" s="19">
        <v>89</v>
      </c>
      <c r="P191" s="19">
        <v>220</v>
      </c>
    </row>
    <row r="192" spans="1:16" hidden="1" x14ac:dyDescent="0.3">
      <c r="A192" s="18">
        <v>191</v>
      </c>
      <c r="B192" s="32" t="s">
        <v>40</v>
      </c>
      <c r="C192" s="19">
        <v>12.6</v>
      </c>
      <c r="D192" s="18">
        <v>1200</v>
      </c>
      <c r="E192" s="28">
        <v>1400</v>
      </c>
      <c r="F192" s="20">
        <v>1.17</v>
      </c>
      <c r="G192" s="18">
        <v>190</v>
      </c>
      <c r="H192" s="18">
        <v>960</v>
      </c>
      <c r="I192" s="18">
        <v>400</v>
      </c>
      <c r="J192" s="18">
        <v>488</v>
      </c>
      <c r="K192" s="19">
        <v>200</v>
      </c>
      <c r="L192" s="18">
        <v>330</v>
      </c>
      <c r="M192" s="18">
        <v>280</v>
      </c>
      <c r="N192" s="20">
        <v>1</v>
      </c>
      <c r="O192" s="19">
        <v>89</v>
      </c>
      <c r="P192" s="19">
        <v>368</v>
      </c>
    </row>
    <row r="193" spans="1:17" hidden="1" x14ac:dyDescent="0.3">
      <c r="A193" s="18">
        <v>192</v>
      </c>
      <c r="B193" s="32" t="s">
        <v>40</v>
      </c>
      <c r="C193" s="19">
        <v>13.1</v>
      </c>
      <c r="D193" s="18">
        <v>1200</v>
      </c>
      <c r="E193" s="28">
        <v>1400</v>
      </c>
      <c r="F193" s="20">
        <v>1.17</v>
      </c>
      <c r="G193" s="18">
        <v>190</v>
      </c>
      <c r="H193" s="18">
        <v>960</v>
      </c>
      <c r="I193" s="18">
        <v>1018</v>
      </c>
      <c r="J193" s="18">
        <v>477</v>
      </c>
      <c r="K193" s="19">
        <v>0</v>
      </c>
      <c r="L193" s="18">
        <v>0</v>
      </c>
      <c r="M193" s="18">
        <v>0</v>
      </c>
      <c r="N193" s="20">
        <v>1</v>
      </c>
      <c r="O193" s="19">
        <v>89</v>
      </c>
      <c r="P193" s="19">
        <v>293</v>
      </c>
    </row>
    <row r="194" spans="1:17" x14ac:dyDescent="0.3">
      <c r="A194" s="18">
        <v>193</v>
      </c>
      <c r="B194" s="32" t="s">
        <v>40</v>
      </c>
      <c r="C194" s="19">
        <v>13.1</v>
      </c>
      <c r="D194" s="18">
        <v>1200</v>
      </c>
      <c r="E194" s="28">
        <v>1400</v>
      </c>
      <c r="F194" s="20">
        <v>1.17</v>
      </c>
      <c r="G194" s="18">
        <v>190</v>
      </c>
      <c r="H194" s="18">
        <v>960</v>
      </c>
      <c r="I194" s="18">
        <v>1018</v>
      </c>
      <c r="J194" s="18">
        <v>477</v>
      </c>
      <c r="K194" s="19">
        <v>0</v>
      </c>
      <c r="L194" s="18">
        <v>0</v>
      </c>
      <c r="M194" s="18">
        <v>0</v>
      </c>
      <c r="N194" s="20">
        <v>0.5</v>
      </c>
      <c r="O194" s="19">
        <v>89</v>
      </c>
      <c r="P194" s="19">
        <v>169</v>
      </c>
    </row>
    <row r="195" spans="1:17" hidden="1" x14ac:dyDescent="0.3">
      <c r="A195" s="18">
        <v>194</v>
      </c>
      <c r="B195" s="32" t="s">
        <v>40</v>
      </c>
      <c r="C195" s="19">
        <v>13.1</v>
      </c>
      <c r="D195" s="18">
        <v>1200</v>
      </c>
      <c r="E195" s="28">
        <v>1400</v>
      </c>
      <c r="F195" s="20">
        <v>1.17</v>
      </c>
      <c r="G195" s="18">
        <v>190</v>
      </c>
      <c r="H195" s="18">
        <v>960</v>
      </c>
      <c r="I195" s="18">
        <v>1018</v>
      </c>
      <c r="J195" s="18">
        <v>477</v>
      </c>
      <c r="K195" s="19">
        <v>200</v>
      </c>
      <c r="L195" s="18">
        <v>330</v>
      </c>
      <c r="M195" s="18">
        <v>700</v>
      </c>
      <c r="N195" s="20">
        <v>1</v>
      </c>
      <c r="O195" s="19">
        <v>89</v>
      </c>
      <c r="P195" s="19">
        <v>253</v>
      </c>
    </row>
    <row r="196" spans="1:17" x14ac:dyDescent="0.3">
      <c r="A196" s="18">
        <v>195</v>
      </c>
      <c r="B196" s="32" t="s">
        <v>40</v>
      </c>
      <c r="C196" s="19">
        <v>9.1999999999999993</v>
      </c>
      <c r="D196" s="18">
        <v>1200</v>
      </c>
      <c r="E196" s="28">
        <v>1400</v>
      </c>
      <c r="F196" s="20">
        <v>1.17</v>
      </c>
      <c r="G196" s="18">
        <v>190</v>
      </c>
      <c r="H196" s="18">
        <v>960</v>
      </c>
      <c r="I196" s="18">
        <v>1018</v>
      </c>
      <c r="J196" s="18">
        <v>477</v>
      </c>
      <c r="K196" s="19">
        <v>200</v>
      </c>
      <c r="L196" s="18">
        <v>330</v>
      </c>
      <c r="M196" s="18">
        <v>700</v>
      </c>
      <c r="N196" s="20">
        <v>0.5</v>
      </c>
      <c r="O196" s="19">
        <v>89</v>
      </c>
      <c r="P196" s="19">
        <v>223</v>
      </c>
    </row>
    <row r="197" spans="1:17" hidden="1" x14ac:dyDescent="0.3">
      <c r="A197" s="18">
        <v>196</v>
      </c>
      <c r="B197" s="34" t="s">
        <v>40</v>
      </c>
      <c r="C197" s="19">
        <v>9.1999999999999993</v>
      </c>
      <c r="D197" s="18">
        <v>1200</v>
      </c>
      <c r="E197" s="28">
        <v>1400</v>
      </c>
      <c r="F197" s="20">
        <v>1.17</v>
      </c>
      <c r="G197" s="18">
        <v>190</v>
      </c>
      <c r="H197" s="18">
        <v>960</v>
      </c>
      <c r="I197" s="18">
        <v>1018</v>
      </c>
      <c r="J197" s="18">
        <v>477</v>
      </c>
      <c r="K197" s="19">
        <v>284</v>
      </c>
      <c r="L197" s="18">
        <v>509</v>
      </c>
      <c r="M197" s="18">
        <v>280</v>
      </c>
      <c r="N197" s="20">
        <v>1</v>
      </c>
      <c r="O197" s="19">
        <v>89</v>
      </c>
      <c r="P197" s="19">
        <v>390</v>
      </c>
    </row>
    <row r="198" spans="1:17" x14ac:dyDescent="0.3">
      <c r="A198" s="29" t="s">
        <v>36</v>
      </c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0"/>
      <c r="N198" s="30"/>
      <c r="O198" s="30"/>
      <c r="P198" s="30"/>
      <c r="Q198" s="3"/>
    </row>
  </sheetData>
  <autoFilter ref="A1:P198" xr:uid="{00000000-0009-0000-0000-000000000000}">
    <filterColumn colId="13">
      <filters blank="1">
        <filter val="0.3"/>
        <filter val="0.37"/>
        <filter val="0.4"/>
        <filter val="0.5"/>
        <filter val="0.50"/>
      </filters>
    </filterColumn>
    <sortState xmlns:xlrd2="http://schemas.microsoft.com/office/spreadsheetml/2017/richdata2" ref="A2:P198">
      <sortCondition ref="A1"/>
    </sortState>
  </autoFilter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6" filterMode="1">
    <tabColor theme="7"/>
  </sheetPr>
  <dimension ref="A1:CF263"/>
  <sheetViews>
    <sheetView topLeftCell="A149" zoomScale="115" zoomScaleNormal="115" workbookViewId="0">
      <selection activeCell="C171" sqref="C171:C174"/>
    </sheetView>
  </sheetViews>
  <sheetFormatPr defaultColWidth="8" defaultRowHeight="14.25" x14ac:dyDescent="0.25"/>
  <cols>
    <col min="1" max="5" width="8" style="82"/>
    <col min="6" max="6" width="11" style="82" customWidth="1"/>
    <col min="7" max="30" width="8" style="82"/>
    <col min="31" max="31" width="8" style="104"/>
    <col min="32" max="71" width="8" style="82" hidden="1" customWidth="1"/>
    <col min="72" max="73" width="8" style="82" customWidth="1"/>
    <col min="74" max="74" width="14.140625" style="79" customWidth="1"/>
    <col min="75" max="82" width="8" style="82"/>
    <col min="83" max="84" width="8" style="104"/>
    <col min="85" max="16384" width="8" style="82"/>
  </cols>
  <sheetData>
    <row r="1" spans="1:84" ht="42.75" x14ac:dyDescent="0.25">
      <c r="A1" s="61" t="s">
        <v>152</v>
      </c>
      <c r="B1" s="62" t="s">
        <v>153</v>
      </c>
      <c r="C1" s="62" t="s">
        <v>154</v>
      </c>
      <c r="D1" s="63" t="s">
        <v>155</v>
      </c>
      <c r="E1" s="64" t="s">
        <v>156</v>
      </c>
      <c r="F1" s="65" t="s">
        <v>157</v>
      </c>
      <c r="G1" s="64" t="s">
        <v>158</v>
      </c>
      <c r="H1" s="64" t="s">
        <v>159</v>
      </c>
      <c r="I1" s="66" t="s">
        <v>160</v>
      </c>
      <c r="J1" s="63" t="s">
        <v>161</v>
      </c>
      <c r="K1" s="66" t="s">
        <v>162</v>
      </c>
      <c r="L1" s="67" t="s">
        <v>163</v>
      </c>
      <c r="M1" s="63" t="s">
        <v>164</v>
      </c>
      <c r="N1" s="64" t="s">
        <v>165</v>
      </c>
      <c r="O1" s="64" t="s">
        <v>166</v>
      </c>
      <c r="P1" s="66" t="s">
        <v>167</v>
      </c>
      <c r="Q1" s="63" t="s">
        <v>168</v>
      </c>
      <c r="R1" s="64" t="s">
        <v>169</v>
      </c>
      <c r="S1" s="64" t="s">
        <v>170</v>
      </c>
      <c r="T1" s="64" t="s">
        <v>171</v>
      </c>
      <c r="U1" s="66" t="s">
        <v>172</v>
      </c>
      <c r="V1" s="68" t="s">
        <v>173</v>
      </c>
      <c r="W1" s="65" t="s">
        <v>174</v>
      </c>
      <c r="X1" s="66" t="s">
        <v>175</v>
      </c>
      <c r="Y1" s="67" t="s">
        <v>176</v>
      </c>
      <c r="Z1" s="69" t="s">
        <v>177</v>
      </c>
      <c r="AA1" s="63" t="s">
        <v>178</v>
      </c>
      <c r="AB1" s="64" t="s">
        <v>179</v>
      </c>
      <c r="AC1" s="70" t="s">
        <v>180</v>
      </c>
      <c r="AD1" s="71" t="s">
        <v>181</v>
      </c>
      <c r="AE1" s="72" t="s">
        <v>182</v>
      </c>
      <c r="AF1" s="73" t="s">
        <v>183</v>
      </c>
      <c r="AG1" s="74" t="s">
        <v>184</v>
      </c>
      <c r="AH1" s="74"/>
      <c r="AI1" s="75" t="s">
        <v>185</v>
      </c>
      <c r="AJ1" s="73" t="s">
        <v>183</v>
      </c>
      <c r="AK1" s="74" t="s">
        <v>186</v>
      </c>
      <c r="AL1" s="74"/>
      <c r="AM1" s="75" t="s">
        <v>185</v>
      </c>
      <c r="AN1" s="73" t="s">
        <v>183</v>
      </c>
      <c r="AO1" s="74" t="s">
        <v>187</v>
      </c>
      <c r="AP1" s="74"/>
      <c r="AQ1" s="75" t="s">
        <v>185</v>
      </c>
      <c r="AR1" s="73" t="s">
        <v>183</v>
      </c>
      <c r="AS1" s="74" t="s">
        <v>188</v>
      </c>
      <c r="AT1" s="74"/>
      <c r="AU1" s="75" t="s">
        <v>185</v>
      </c>
      <c r="AV1" s="73" t="s">
        <v>183</v>
      </c>
      <c r="AW1" s="74" t="s">
        <v>189</v>
      </c>
      <c r="AX1" s="74"/>
      <c r="AY1" s="75" t="s">
        <v>185</v>
      </c>
      <c r="AZ1" s="73" t="s">
        <v>183</v>
      </c>
      <c r="BA1" s="71" t="s">
        <v>190</v>
      </c>
      <c r="BB1" s="76" t="s">
        <v>191</v>
      </c>
      <c r="BC1" s="75" t="s">
        <v>185</v>
      </c>
      <c r="BD1" s="77" t="s">
        <v>192</v>
      </c>
      <c r="BE1" s="73" t="s">
        <v>183</v>
      </c>
      <c r="BF1" s="74" t="s">
        <v>193</v>
      </c>
      <c r="BG1" s="74"/>
      <c r="BH1" s="75" t="s">
        <v>185</v>
      </c>
      <c r="BI1" s="73" t="s">
        <v>183</v>
      </c>
      <c r="BJ1" s="78" t="s">
        <v>194</v>
      </c>
      <c r="BK1" s="78"/>
      <c r="BL1" s="75" t="s">
        <v>185</v>
      </c>
      <c r="BM1" s="73" t="s">
        <v>195</v>
      </c>
      <c r="BN1" s="76" t="s">
        <v>196</v>
      </c>
      <c r="BO1" s="76" t="s">
        <v>197</v>
      </c>
      <c r="BP1" s="78" t="s">
        <v>198</v>
      </c>
      <c r="BQ1" s="78"/>
      <c r="BR1" s="78"/>
      <c r="BS1" s="76" t="s">
        <v>199</v>
      </c>
      <c r="BT1" s="76" t="s">
        <v>23</v>
      </c>
      <c r="BU1" s="75" t="s">
        <v>200</v>
      </c>
      <c r="BV1" s="79" t="s">
        <v>201</v>
      </c>
      <c r="BW1" s="64" t="s">
        <v>158</v>
      </c>
      <c r="BX1" s="64" t="s">
        <v>159</v>
      </c>
      <c r="BY1" s="67" t="s">
        <v>163</v>
      </c>
      <c r="BZ1" s="64" t="s">
        <v>165</v>
      </c>
      <c r="CA1" s="64" t="s">
        <v>170</v>
      </c>
      <c r="CB1" s="64" t="s">
        <v>171</v>
      </c>
      <c r="CC1" s="68" t="s">
        <v>173</v>
      </c>
      <c r="CD1" s="65" t="s">
        <v>174</v>
      </c>
      <c r="CE1" s="80" t="s">
        <v>202</v>
      </c>
      <c r="CF1" s="81" t="s">
        <v>203</v>
      </c>
    </row>
    <row r="2" spans="1:84" ht="14.25" hidden="1" customHeight="1" x14ac:dyDescent="0.25">
      <c r="A2" s="83">
        <v>1</v>
      </c>
      <c r="B2" s="84" t="s">
        <v>204</v>
      </c>
      <c r="C2" s="85" t="s">
        <v>205</v>
      </c>
      <c r="D2" s="86">
        <v>2400</v>
      </c>
      <c r="E2" s="87">
        <v>2400</v>
      </c>
      <c r="F2" s="88">
        <f>E2*D2</f>
        <v>5760000</v>
      </c>
      <c r="G2" s="88">
        <v>139.19999999999999</v>
      </c>
      <c r="H2" s="87">
        <v>1920</v>
      </c>
      <c r="I2" s="89">
        <v>1</v>
      </c>
      <c r="J2" s="90">
        <v>30</v>
      </c>
      <c r="K2" s="91">
        <v>19.100000000000001</v>
      </c>
      <c r="L2" s="92">
        <v>19.100000000000001</v>
      </c>
      <c r="M2" s="93">
        <v>1.04</v>
      </c>
      <c r="N2" s="88">
        <v>13.5</v>
      </c>
      <c r="O2" s="94" t="s">
        <v>206</v>
      </c>
      <c r="P2" s="95" t="s">
        <v>207</v>
      </c>
      <c r="Q2" s="96">
        <v>1.1999999999999999E-3</v>
      </c>
      <c r="R2" s="97">
        <v>4.4999999999999999E-4</v>
      </c>
      <c r="S2" s="97">
        <v>2.7000000000000001E-3</v>
      </c>
      <c r="T2" s="87">
        <v>487</v>
      </c>
      <c r="U2" s="98">
        <v>800</v>
      </c>
      <c r="V2" s="96">
        <v>0</v>
      </c>
      <c r="W2" s="87">
        <v>0</v>
      </c>
      <c r="X2" s="98">
        <v>0</v>
      </c>
      <c r="Y2" s="99">
        <v>0</v>
      </c>
      <c r="Z2" s="99">
        <v>1</v>
      </c>
      <c r="AA2" s="90">
        <v>6.4</v>
      </c>
      <c r="AB2" s="88">
        <v>6.4</v>
      </c>
      <c r="AC2" s="91">
        <v>1</v>
      </c>
      <c r="AD2" s="100">
        <v>0.5</v>
      </c>
      <c r="AE2" s="101">
        <v>0.5</v>
      </c>
      <c r="AF2" s="102">
        <v>0.34</v>
      </c>
      <c r="AG2" s="100">
        <v>0</v>
      </c>
      <c r="AH2" s="100">
        <v>0</v>
      </c>
      <c r="AI2" s="101">
        <v>0.34</v>
      </c>
      <c r="AJ2" s="102">
        <v>0.21</v>
      </c>
      <c r="AK2" s="100">
        <v>0</v>
      </c>
      <c r="AL2" s="100">
        <v>0</v>
      </c>
      <c r="AM2" s="101">
        <v>0.21</v>
      </c>
      <c r="AN2" s="102">
        <v>0.64</v>
      </c>
      <c r="AO2" s="100">
        <v>0</v>
      </c>
      <c r="AP2" s="100">
        <v>0</v>
      </c>
      <c r="AQ2" s="101">
        <v>0.64</v>
      </c>
      <c r="AR2" s="102">
        <v>0.47</v>
      </c>
      <c r="AS2" s="100">
        <v>0</v>
      </c>
      <c r="AT2" s="100">
        <v>0</v>
      </c>
      <c r="AU2" s="101">
        <v>0.47</v>
      </c>
      <c r="AV2" s="102">
        <v>0.18</v>
      </c>
      <c r="AW2" s="100">
        <v>0</v>
      </c>
      <c r="AX2" s="100">
        <v>0</v>
      </c>
      <c r="AY2" s="101">
        <v>0.18</v>
      </c>
      <c r="AZ2" s="102">
        <v>0.22</v>
      </c>
      <c r="BA2" s="100">
        <v>0.28000000000000003</v>
      </c>
      <c r="BB2" s="100">
        <v>0</v>
      </c>
      <c r="BC2" s="101">
        <v>0.5</v>
      </c>
      <c r="BD2" s="103">
        <v>0.19</v>
      </c>
      <c r="BE2" s="102">
        <v>0.52</v>
      </c>
      <c r="BF2" s="100">
        <v>0</v>
      </c>
      <c r="BG2" s="100">
        <v>0</v>
      </c>
      <c r="BH2" s="101">
        <v>0.52</v>
      </c>
      <c r="BI2" s="102">
        <v>0.52</v>
      </c>
      <c r="BJ2" s="100">
        <v>0</v>
      </c>
      <c r="BK2" s="100">
        <v>0</v>
      </c>
      <c r="BL2" s="101">
        <v>0.52</v>
      </c>
      <c r="BM2" s="102">
        <v>1.44</v>
      </c>
      <c r="BN2" s="100">
        <v>2.36</v>
      </c>
      <c r="BO2" s="100">
        <v>0.77</v>
      </c>
      <c r="BP2" s="100">
        <v>1.05</v>
      </c>
      <c r="BQ2" s="100">
        <v>2.71</v>
      </c>
      <c r="BR2" s="100">
        <v>1</v>
      </c>
      <c r="BS2" s="100">
        <v>2.61</v>
      </c>
      <c r="BT2" s="100">
        <v>0.95</v>
      </c>
      <c r="BU2" s="101">
        <v>0.95</v>
      </c>
      <c r="BV2" s="79">
        <v>5760000</v>
      </c>
      <c r="BW2" s="88">
        <v>139.19999999999999</v>
      </c>
      <c r="BX2" s="87">
        <v>1920</v>
      </c>
      <c r="BY2" s="92">
        <v>19.100000000000001</v>
      </c>
      <c r="BZ2" s="88">
        <v>13.5</v>
      </c>
      <c r="CA2" s="97">
        <v>2.7000000000000001E-3</v>
      </c>
      <c r="CB2" s="87">
        <v>487</v>
      </c>
      <c r="CC2" s="96">
        <v>0</v>
      </c>
      <c r="CD2" s="87">
        <v>0</v>
      </c>
      <c r="CE2" s="104">
        <f>BT2/(G2*E2)*1000</f>
        <v>2.8436302681992334E-3</v>
      </c>
      <c r="CF2" s="105">
        <f t="shared" ref="CF2:CF65" si="0">AE2</f>
        <v>0.5</v>
      </c>
    </row>
    <row r="3" spans="1:84" hidden="1" x14ac:dyDescent="0.25">
      <c r="A3" s="106">
        <v>2</v>
      </c>
      <c r="B3" s="107"/>
      <c r="C3" s="108" t="s">
        <v>208</v>
      </c>
      <c r="D3" s="109">
        <v>2400</v>
      </c>
      <c r="E3" s="110">
        <v>1200</v>
      </c>
      <c r="F3" s="111">
        <f t="shared" ref="F3:F66" si="1">E3*D3</f>
        <v>2880000</v>
      </c>
      <c r="G3" s="111">
        <v>139.19999999999999</v>
      </c>
      <c r="H3" s="110">
        <v>960</v>
      </c>
      <c r="I3" s="112">
        <v>2</v>
      </c>
      <c r="J3" s="113">
        <v>30</v>
      </c>
      <c r="K3" s="114">
        <v>19.100000000000001</v>
      </c>
      <c r="L3" s="115">
        <v>19.100000000000001</v>
      </c>
      <c r="M3" s="116">
        <v>1.04</v>
      </c>
      <c r="N3" s="111">
        <v>13.5</v>
      </c>
      <c r="O3" s="117" t="s">
        <v>206</v>
      </c>
      <c r="P3" s="118" t="s">
        <v>207</v>
      </c>
      <c r="Q3" s="119">
        <v>2.3999999999999998E-3</v>
      </c>
      <c r="R3" s="120">
        <v>0</v>
      </c>
      <c r="S3" s="120">
        <v>4.8999999999999998E-3</v>
      </c>
      <c r="T3" s="110">
        <v>487</v>
      </c>
      <c r="U3" s="121">
        <v>1200</v>
      </c>
      <c r="V3" s="119">
        <v>5.2999999999999998E-4</v>
      </c>
      <c r="W3" s="110">
        <v>739</v>
      </c>
      <c r="X3" s="121">
        <v>400</v>
      </c>
      <c r="Y3" s="122">
        <v>0</v>
      </c>
      <c r="Z3" s="122">
        <v>1</v>
      </c>
      <c r="AA3" s="113">
        <v>9.6</v>
      </c>
      <c r="AB3" s="111">
        <v>16.3</v>
      </c>
      <c r="AC3" s="114">
        <v>1.7</v>
      </c>
      <c r="AD3" s="123">
        <v>0.42</v>
      </c>
      <c r="AE3" s="124">
        <v>0.55000000000000004</v>
      </c>
      <c r="AF3" s="125">
        <v>0.34</v>
      </c>
      <c r="AG3" s="123">
        <v>0.16</v>
      </c>
      <c r="AH3" s="123">
        <v>0</v>
      </c>
      <c r="AI3" s="124">
        <v>0.5</v>
      </c>
      <c r="AJ3" s="125">
        <v>0.21</v>
      </c>
      <c r="AK3" s="123">
        <v>0.41</v>
      </c>
      <c r="AL3" s="123">
        <v>0</v>
      </c>
      <c r="AM3" s="124">
        <v>0.62</v>
      </c>
      <c r="AN3" s="125">
        <v>0.62</v>
      </c>
      <c r="AO3" s="123">
        <v>0.25</v>
      </c>
      <c r="AP3" s="123">
        <v>0</v>
      </c>
      <c r="AQ3" s="124">
        <v>0.87</v>
      </c>
      <c r="AR3" s="125">
        <v>0.47</v>
      </c>
      <c r="AS3" s="123">
        <v>0.19</v>
      </c>
      <c r="AT3" s="123">
        <v>0</v>
      </c>
      <c r="AU3" s="124">
        <v>0.59</v>
      </c>
      <c r="AV3" s="125">
        <v>0.18</v>
      </c>
      <c r="AW3" s="123">
        <v>0.39</v>
      </c>
      <c r="AX3" s="123">
        <v>0</v>
      </c>
      <c r="AY3" s="124">
        <v>0.57999999999999996</v>
      </c>
      <c r="AZ3" s="125">
        <v>0.14000000000000001</v>
      </c>
      <c r="BA3" s="123">
        <v>0.37</v>
      </c>
      <c r="BB3" s="123">
        <v>0</v>
      </c>
      <c r="BC3" s="124">
        <v>0.51</v>
      </c>
      <c r="BD3" s="126">
        <v>0.48</v>
      </c>
      <c r="BE3" s="125">
        <v>0.26</v>
      </c>
      <c r="BF3" s="123">
        <v>0</v>
      </c>
      <c r="BG3" s="123">
        <v>0</v>
      </c>
      <c r="BH3" s="124">
        <v>0.26</v>
      </c>
      <c r="BI3" s="125">
        <v>0.52</v>
      </c>
      <c r="BJ3" s="123">
        <v>0.24</v>
      </c>
      <c r="BK3" s="123">
        <v>0</v>
      </c>
      <c r="BL3" s="124">
        <v>0.76</v>
      </c>
      <c r="BM3" s="125">
        <v>1.0900000000000001</v>
      </c>
      <c r="BN3" s="123">
        <v>0.88</v>
      </c>
      <c r="BO3" s="123">
        <v>0.62</v>
      </c>
      <c r="BP3" s="123">
        <v>0.93</v>
      </c>
      <c r="BQ3" s="123">
        <v>0.95</v>
      </c>
      <c r="BR3" s="123">
        <v>1.08</v>
      </c>
      <c r="BS3" s="123">
        <v>1.1399999999999999</v>
      </c>
      <c r="BT3" s="123">
        <v>2.1</v>
      </c>
      <c r="BU3" s="124">
        <v>0.72</v>
      </c>
      <c r="BV3" s="79">
        <v>2880000</v>
      </c>
      <c r="BW3" s="111">
        <v>139.19999999999999</v>
      </c>
      <c r="BX3" s="110">
        <v>960</v>
      </c>
      <c r="BY3" s="115">
        <v>19.100000000000001</v>
      </c>
      <c r="BZ3" s="111">
        <v>13.5</v>
      </c>
      <c r="CA3" s="120">
        <v>4.8999999999999998E-3</v>
      </c>
      <c r="CB3" s="110">
        <v>487</v>
      </c>
      <c r="CC3" s="119">
        <v>5.2999999999999998E-4</v>
      </c>
      <c r="CD3" s="110">
        <v>739</v>
      </c>
      <c r="CE3" s="104">
        <f t="shared" ref="CE3:CE66" si="2">BT3/(G3*E3)*1000</f>
        <v>1.257183908045977E-2</v>
      </c>
      <c r="CF3" s="105">
        <f t="shared" si="0"/>
        <v>0.55000000000000004</v>
      </c>
    </row>
    <row r="4" spans="1:84" hidden="1" x14ac:dyDescent="0.25">
      <c r="A4" s="127">
        <v>3</v>
      </c>
      <c r="B4" s="107"/>
      <c r="C4" s="108" t="s">
        <v>209</v>
      </c>
      <c r="D4" s="128">
        <v>2400</v>
      </c>
      <c r="E4" s="129">
        <v>2400</v>
      </c>
      <c r="F4" s="111">
        <f t="shared" si="1"/>
        <v>5760000</v>
      </c>
      <c r="G4" s="129">
        <v>139.19999999999999</v>
      </c>
      <c r="H4" s="129">
        <v>1920</v>
      </c>
      <c r="I4" s="112">
        <v>1</v>
      </c>
      <c r="J4" s="113">
        <v>30</v>
      </c>
      <c r="K4" s="130">
        <v>19.100000000000001</v>
      </c>
      <c r="L4" s="115">
        <v>19.100000000000001</v>
      </c>
      <c r="M4" s="116">
        <v>1.04</v>
      </c>
      <c r="N4" s="111">
        <v>13.5</v>
      </c>
      <c r="O4" s="117" t="s">
        <v>206</v>
      </c>
      <c r="P4" s="118" t="s">
        <v>207</v>
      </c>
      <c r="Q4" s="119">
        <v>1.1999999999999999E-3</v>
      </c>
      <c r="R4" s="120">
        <v>4.4999999999999999E-4</v>
      </c>
      <c r="S4" s="120">
        <v>2.7000000000000001E-3</v>
      </c>
      <c r="T4" s="110">
        <v>487</v>
      </c>
      <c r="U4" s="121">
        <v>800</v>
      </c>
      <c r="V4" s="119">
        <v>5.2999999999999998E-4</v>
      </c>
      <c r="W4" s="110">
        <v>739</v>
      </c>
      <c r="X4" s="121">
        <v>400</v>
      </c>
      <c r="Y4" s="122">
        <v>0</v>
      </c>
      <c r="Z4" s="122">
        <v>1</v>
      </c>
      <c r="AA4" s="113">
        <v>6.3</v>
      </c>
      <c r="AB4" s="111">
        <v>12</v>
      </c>
      <c r="AC4" s="114">
        <v>1.9</v>
      </c>
      <c r="AD4" s="123">
        <v>0.45</v>
      </c>
      <c r="AE4" s="124">
        <v>0.59</v>
      </c>
      <c r="AF4" s="125">
        <v>0.34</v>
      </c>
      <c r="AG4" s="123">
        <v>0.16</v>
      </c>
      <c r="AH4" s="123">
        <v>0</v>
      </c>
      <c r="AI4" s="124">
        <v>0.5</v>
      </c>
      <c r="AJ4" s="125">
        <v>0.21</v>
      </c>
      <c r="AK4" s="123">
        <v>0.41</v>
      </c>
      <c r="AL4" s="123">
        <v>0</v>
      </c>
      <c r="AM4" s="124">
        <v>0.62</v>
      </c>
      <c r="AN4" s="125">
        <v>0.49</v>
      </c>
      <c r="AO4" s="123">
        <v>0.25</v>
      </c>
      <c r="AP4" s="123">
        <v>0</v>
      </c>
      <c r="AQ4" s="124">
        <v>0.74</v>
      </c>
      <c r="AR4" s="125">
        <v>0.47</v>
      </c>
      <c r="AS4" s="123">
        <v>0.19</v>
      </c>
      <c r="AT4" s="123">
        <v>0</v>
      </c>
      <c r="AU4" s="124">
        <v>0.59</v>
      </c>
      <c r="AV4" s="125">
        <v>0.18</v>
      </c>
      <c r="AW4" s="123">
        <v>0.39</v>
      </c>
      <c r="AX4" s="123">
        <v>0</v>
      </c>
      <c r="AY4" s="124">
        <v>0.57999999999999996</v>
      </c>
      <c r="AZ4" s="125">
        <v>0.22</v>
      </c>
      <c r="BA4" s="123">
        <v>0.65</v>
      </c>
      <c r="BB4" s="123">
        <v>0</v>
      </c>
      <c r="BC4" s="124">
        <v>0.87</v>
      </c>
      <c r="BD4" s="126">
        <v>0.48</v>
      </c>
      <c r="BE4" s="125">
        <v>0.52</v>
      </c>
      <c r="BF4" s="123">
        <v>0</v>
      </c>
      <c r="BG4" s="123">
        <v>0</v>
      </c>
      <c r="BH4" s="124">
        <v>0.52</v>
      </c>
      <c r="BI4" s="125">
        <v>0.52</v>
      </c>
      <c r="BJ4" s="123">
        <v>0.24</v>
      </c>
      <c r="BK4" s="123">
        <v>0</v>
      </c>
      <c r="BL4" s="124">
        <v>0.76</v>
      </c>
      <c r="BM4" s="125">
        <v>1.17</v>
      </c>
      <c r="BN4" s="123">
        <v>0.94</v>
      </c>
      <c r="BO4" s="123">
        <v>0.79</v>
      </c>
      <c r="BP4" s="123">
        <v>1</v>
      </c>
      <c r="BQ4" s="123">
        <v>1.02</v>
      </c>
      <c r="BR4" s="123">
        <v>0.68</v>
      </c>
      <c r="BS4" s="123">
        <v>1.23</v>
      </c>
      <c r="BT4" s="123">
        <v>1.1299999999999999</v>
      </c>
      <c r="BU4" s="124">
        <v>0.78</v>
      </c>
      <c r="BV4" s="79">
        <v>5760000</v>
      </c>
      <c r="BW4" s="129">
        <v>139.19999999999999</v>
      </c>
      <c r="BX4" s="129">
        <v>1920</v>
      </c>
      <c r="BY4" s="115">
        <v>19.100000000000001</v>
      </c>
      <c r="BZ4" s="111">
        <v>13.5</v>
      </c>
      <c r="CA4" s="120">
        <v>2.7000000000000001E-3</v>
      </c>
      <c r="CB4" s="110">
        <v>487</v>
      </c>
      <c r="CC4" s="119">
        <v>5.2999999999999998E-4</v>
      </c>
      <c r="CD4" s="110">
        <v>739</v>
      </c>
      <c r="CE4" s="104">
        <f t="shared" si="2"/>
        <v>3.3824233716475095E-3</v>
      </c>
      <c r="CF4" s="105">
        <f t="shared" si="0"/>
        <v>0.59</v>
      </c>
    </row>
    <row r="5" spans="1:84" hidden="1" x14ac:dyDescent="0.25">
      <c r="A5" s="131">
        <v>4</v>
      </c>
      <c r="B5" s="107"/>
      <c r="C5" s="108" t="s">
        <v>210</v>
      </c>
      <c r="D5" s="132">
        <v>2400</v>
      </c>
      <c r="E5" s="129">
        <v>2400</v>
      </c>
      <c r="F5" s="111">
        <f t="shared" si="1"/>
        <v>5760000</v>
      </c>
      <c r="G5" s="129">
        <v>139.19999999999999</v>
      </c>
      <c r="H5" s="129">
        <v>1920</v>
      </c>
      <c r="I5" s="112">
        <v>1</v>
      </c>
      <c r="J5" s="113">
        <v>30</v>
      </c>
      <c r="K5" s="130">
        <v>19.100000000000001</v>
      </c>
      <c r="L5" s="115">
        <v>19.100000000000001</v>
      </c>
      <c r="M5" s="116">
        <v>1.04</v>
      </c>
      <c r="N5" s="111">
        <v>13.5</v>
      </c>
      <c r="O5" s="117" t="s">
        <v>206</v>
      </c>
      <c r="P5" s="118" t="s">
        <v>207</v>
      </c>
      <c r="Q5" s="119">
        <v>1.1999999999999999E-3</v>
      </c>
      <c r="R5" s="120">
        <v>4.4999999999999999E-4</v>
      </c>
      <c r="S5" s="120">
        <v>2.7000000000000001E-3</v>
      </c>
      <c r="T5" s="110">
        <v>487</v>
      </c>
      <c r="U5" s="121">
        <v>800</v>
      </c>
      <c r="V5" s="119">
        <v>5.2999999999999998E-4</v>
      </c>
      <c r="W5" s="110">
        <v>739</v>
      </c>
      <c r="X5" s="121">
        <v>400</v>
      </c>
      <c r="Y5" s="122">
        <v>0</v>
      </c>
      <c r="Z5" s="122">
        <v>1</v>
      </c>
      <c r="AA5" s="113">
        <v>5.4</v>
      </c>
      <c r="AB5" s="111">
        <v>10.6</v>
      </c>
      <c r="AC5" s="114">
        <v>2</v>
      </c>
      <c r="AD5" s="123">
        <v>0.47</v>
      </c>
      <c r="AE5" s="124">
        <v>0.61</v>
      </c>
      <c r="AF5" s="125">
        <v>0.34</v>
      </c>
      <c r="AG5" s="123">
        <v>0.16</v>
      </c>
      <c r="AH5" s="123">
        <v>0</v>
      </c>
      <c r="AI5" s="124">
        <v>0.5</v>
      </c>
      <c r="AJ5" s="125">
        <v>0.21</v>
      </c>
      <c r="AK5" s="123">
        <v>0.41</v>
      </c>
      <c r="AL5" s="123">
        <v>0</v>
      </c>
      <c r="AM5" s="124">
        <v>0.62</v>
      </c>
      <c r="AN5" s="125">
        <v>0.47</v>
      </c>
      <c r="AO5" s="123">
        <v>0.25</v>
      </c>
      <c r="AP5" s="123">
        <v>0</v>
      </c>
      <c r="AQ5" s="124">
        <v>0.73</v>
      </c>
      <c r="AR5" s="125">
        <v>0.47</v>
      </c>
      <c r="AS5" s="123">
        <v>0.19</v>
      </c>
      <c r="AT5" s="123">
        <v>0</v>
      </c>
      <c r="AU5" s="124">
        <v>0.59</v>
      </c>
      <c r="AV5" s="125">
        <v>0.18</v>
      </c>
      <c r="AW5" s="123">
        <v>0.39</v>
      </c>
      <c r="AX5" s="123">
        <v>0</v>
      </c>
      <c r="AY5" s="124">
        <v>0.57999999999999996</v>
      </c>
      <c r="AZ5" s="125">
        <v>0.22</v>
      </c>
      <c r="BA5" s="123">
        <v>0.65</v>
      </c>
      <c r="BB5" s="123">
        <v>0</v>
      </c>
      <c r="BC5" s="124">
        <v>0.87</v>
      </c>
      <c r="BD5" s="126">
        <v>0.48</v>
      </c>
      <c r="BE5" s="125">
        <v>0.52</v>
      </c>
      <c r="BF5" s="123">
        <v>0</v>
      </c>
      <c r="BG5" s="123">
        <v>0</v>
      </c>
      <c r="BH5" s="124">
        <v>0.52</v>
      </c>
      <c r="BI5" s="125">
        <v>0.52</v>
      </c>
      <c r="BJ5" s="123">
        <v>0.24</v>
      </c>
      <c r="BK5" s="123">
        <v>0</v>
      </c>
      <c r="BL5" s="124">
        <v>0.76</v>
      </c>
      <c r="BM5" s="125">
        <v>1.22</v>
      </c>
      <c r="BN5" s="123">
        <v>0.98</v>
      </c>
      <c r="BO5" s="123">
        <v>0.84</v>
      </c>
      <c r="BP5" s="123">
        <v>1.03</v>
      </c>
      <c r="BQ5" s="123">
        <v>1.06</v>
      </c>
      <c r="BR5" s="123">
        <v>0.7</v>
      </c>
      <c r="BS5" s="123">
        <v>1.27</v>
      </c>
      <c r="BT5" s="123">
        <v>1.17</v>
      </c>
      <c r="BU5" s="124">
        <v>0.81</v>
      </c>
      <c r="BV5" s="79">
        <v>5760000</v>
      </c>
      <c r="BW5" s="129">
        <v>139.19999999999999</v>
      </c>
      <c r="BX5" s="129">
        <v>1920</v>
      </c>
      <c r="BY5" s="115">
        <v>19.100000000000001</v>
      </c>
      <c r="BZ5" s="111">
        <v>13.5</v>
      </c>
      <c r="CA5" s="120">
        <v>2.7000000000000001E-3</v>
      </c>
      <c r="CB5" s="110">
        <v>487</v>
      </c>
      <c r="CC5" s="119">
        <v>5.2999999999999998E-4</v>
      </c>
      <c r="CD5" s="110">
        <v>739</v>
      </c>
      <c r="CE5" s="104">
        <f t="shared" si="2"/>
        <v>3.5021551724137932E-3</v>
      </c>
      <c r="CF5" s="105">
        <f t="shared" si="0"/>
        <v>0.61</v>
      </c>
    </row>
    <row r="6" spans="1:84" hidden="1" x14ac:dyDescent="0.25">
      <c r="A6" s="106">
        <v>5</v>
      </c>
      <c r="B6" s="107"/>
      <c r="C6" s="108" t="s">
        <v>211</v>
      </c>
      <c r="D6" s="109">
        <v>2400</v>
      </c>
      <c r="E6" s="110">
        <v>1200</v>
      </c>
      <c r="F6" s="111">
        <f t="shared" si="1"/>
        <v>2880000</v>
      </c>
      <c r="G6" s="111">
        <v>139.19999999999999</v>
      </c>
      <c r="H6" s="110">
        <v>960</v>
      </c>
      <c r="I6" s="112">
        <v>2</v>
      </c>
      <c r="J6" s="113">
        <v>30</v>
      </c>
      <c r="K6" s="114">
        <v>19.100000000000001</v>
      </c>
      <c r="L6" s="115">
        <v>19.100000000000001</v>
      </c>
      <c r="M6" s="116">
        <v>1.04</v>
      </c>
      <c r="N6" s="111">
        <v>13.5</v>
      </c>
      <c r="O6" s="117" t="s">
        <v>206</v>
      </c>
      <c r="P6" s="118" t="s">
        <v>207</v>
      </c>
      <c r="Q6" s="119">
        <v>2.3999999999999998E-3</v>
      </c>
      <c r="R6" s="120">
        <v>0</v>
      </c>
      <c r="S6" s="120">
        <v>4.8999999999999998E-3</v>
      </c>
      <c r="T6" s="110">
        <v>487</v>
      </c>
      <c r="U6" s="121">
        <v>1200</v>
      </c>
      <c r="V6" s="119">
        <v>0</v>
      </c>
      <c r="W6" s="110">
        <v>0</v>
      </c>
      <c r="X6" s="121">
        <v>0</v>
      </c>
      <c r="Y6" s="122">
        <v>0</v>
      </c>
      <c r="Z6" s="122">
        <v>1</v>
      </c>
      <c r="AA6" s="113">
        <v>7.2</v>
      </c>
      <c r="AB6" s="111">
        <v>17.600000000000001</v>
      </c>
      <c r="AC6" s="114">
        <v>2.5</v>
      </c>
      <c r="AD6" s="123">
        <v>0.44</v>
      </c>
      <c r="AE6" s="124">
        <v>0.59</v>
      </c>
      <c r="AF6" s="125">
        <v>0.34</v>
      </c>
      <c r="AG6" s="123">
        <v>0</v>
      </c>
      <c r="AH6" s="123">
        <v>0</v>
      </c>
      <c r="AI6" s="124">
        <v>0.34</v>
      </c>
      <c r="AJ6" s="125">
        <v>0.21</v>
      </c>
      <c r="AK6" s="123">
        <v>0</v>
      </c>
      <c r="AL6" s="123">
        <v>0</v>
      </c>
      <c r="AM6" s="124">
        <v>0.21</v>
      </c>
      <c r="AN6" s="125">
        <v>0.42</v>
      </c>
      <c r="AO6" s="123">
        <v>0</v>
      </c>
      <c r="AP6" s="123">
        <v>0</v>
      </c>
      <c r="AQ6" s="124">
        <v>0.42</v>
      </c>
      <c r="AR6" s="125">
        <v>0.47</v>
      </c>
      <c r="AS6" s="123">
        <v>0</v>
      </c>
      <c r="AT6" s="123">
        <v>0</v>
      </c>
      <c r="AU6" s="124">
        <v>0.47</v>
      </c>
      <c r="AV6" s="125">
        <v>0.18</v>
      </c>
      <c r="AW6" s="123">
        <v>0</v>
      </c>
      <c r="AX6" s="123">
        <v>0</v>
      </c>
      <c r="AY6" s="124">
        <v>0.18</v>
      </c>
      <c r="AZ6" s="125">
        <v>0.14000000000000001</v>
      </c>
      <c r="BA6" s="123">
        <v>0</v>
      </c>
      <c r="BB6" s="123">
        <v>0</v>
      </c>
      <c r="BC6" s="124">
        <v>0.14000000000000001</v>
      </c>
      <c r="BD6" s="126">
        <v>0.19</v>
      </c>
      <c r="BE6" s="125">
        <v>0.26</v>
      </c>
      <c r="BF6" s="123">
        <v>0</v>
      </c>
      <c r="BG6" s="123">
        <v>0</v>
      </c>
      <c r="BH6" s="124">
        <v>0.26</v>
      </c>
      <c r="BI6" s="125">
        <v>0.52</v>
      </c>
      <c r="BJ6" s="123">
        <v>0</v>
      </c>
      <c r="BK6" s="123">
        <v>0</v>
      </c>
      <c r="BL6" s="124">
        <v>0.52</v>
      </c>
      <c r="BM6" s="125">
        <v>1.73</v>
      </c>
      <c r="BN6" s="123">
        <v>2.82</v>
      </c>
      <c r="BO6" s="123">
        <v>1.42</v>
      </c>
      <c r="BP6" s="123">
        <v>1.26</v>
      </c>
      <c r="BQ6" s="123">
        <v>3.24</v>
      </c>
      <c r="BR6" s="123">
        <v>4.3600000000000003</v>
      </c>
      <c r="BS6" s="123">
        <v>3.12</v>
      </c>
      <c r="BT6" s="123">
        <v>2.2799999999999998</v>
      </c>
      <c r="BU6" s="124">
        <v>1.1399999999999999</v>
      </c>
      <c r="BV6" s="79">
        <v>2880000</v>
      </c>
      <c r="BW6" s="111">
        <v>139.19999999999999</v>
      </c>
      <c r="BX6" s="110">
        <v>960</v>
      </c>
      <c r="BY6" s="115">
        <v>19.100000000000001</v>
      </c>
      <c r="BZ6" s="111">
        <v>13.5</v>
      </c>
      <c r="CA6" s="120">
        <v>4.8999999999999998E-3</v>
      </c>
      <c r="CB6" s="110">
        <v>487</v>
      </c>
      <c r="CC6" s="119">
        <v>0</v>
      </c>
      <c r="CD6" s="110">
        <v>0</v>
      </c>
      <c r="CE6" s="104">
        <f t="shared" si="2"/>
        <v>1.3649425287356321E-2</v>
      </c>
      <c r="CF6" s="105">
        <f t="shared" si="0"/>
        <v>0.59</v>
      </c>
    </row>
    <row r="7" spans="1:84" hidden="1" x14ac:dyDescent="0.25">
      <c r="A7" s="133">
        <v>6</v>
      </c>
      <c r="B7" s="134"/>
      <c r="C7" s="135" t="s">
        <v>212</v>
      </c>
      <c r="D7" s="136">
        <v>2400</v>
      </c>
      <c r="E7" s="137">
        <v>1200</v>
      </c>
      <c r="F7" s="138">
        <f t="shared" si="1"/>
        <v>2880000</v>
      </c>
      <c r="G7" s="138">
        <v>139.19999999999999</v>
      </c>
      <c r="H7" s="137">
        <v>960</v>
      </c>
      <c r="I7" s="139">
        <v>2</v>
      </c>
      <c r="J7" s="140">
        <v>30</v>
      </c>
      <c r="K7" s="141">
        <v>19.100000000000001</v>
      </c>
      <c r="L7" s="142">
        <v>19.100000000000001</v>
      </c>
      <c r="M7" s="143">
        <v>1.04</v>
      </c>
      <c r="N7" s="138">
        <v>13.5</v>
      </c>
      <c r="O7" s="144" t="s">
        <v>206</v>
      </c>
      <c r="P7" s="145" t="s">
        <v>207</v>
      </c>
      <c r="Q7" s="146">
        <v>2.3999999999999998E-3</v>
      </c>
      <c r="R7" s="147">
        <v>0</v>
      </c>
      <c r="S7" s="147">
        <v>4.8999999999999998E-3</v>
      </c>
      <c r="T7" s="137">
        <v>487</v>
      </c>
      <c r="U7" s="148">
        <v>1200</v>
      </c>
      <c r="V7" s="146">
        <v>0</v>
      </c>
      <c r="W7" s="137">
        <v>0</v>
      </c>
      <c r="X7" s="148">
        <v>0</v>
      </c>
      <c r="Y7" s="149">
        <v>0</v>
      </c>
      <c r="Z7" s="149">
        <v>1</v>
      </c>
      <c r="AA7" s="140">
        <v>9.1999999999999993</v>
      </c>
      <c r="AB7" s="138">
        <v>22.8</v>
      </c>
      <c r="AC7" s="141">
        <v>2.5</v>
      </c>
      <c r="AD7" s="150">
        <v>0.47</v>
      </c>
      <c r="AE7" s="151">
        <v>0.65</v>
      </c>
      <c r="AF7" s="152">
        <v>0.34</v>
      </c>
      <c r="AG7" s="150">
        <v>0</v>
      </c>
      <c r="AH7" s="150">
        <v>0</v>
      </c>
      <c r="AI7" s="151">
        <v>0.34</v>
      </c>
      <c r="AJ7" s="152">
        <v>0.21</v>
      </c>
      <c r="AK7" s="150">
        <v>0</v>
      </c>
      <c r="AL7" s="150">
        <v>0</v>
      </c>
      <c r="AM7" s="151">
        <v>0.21</v>
      </c>
      <c r="AN7" s="152">
        <v>0.41</v>
      </c>
      <c r="AO7" s="150">
        <v>0</v>
      </c>
      <c r="AP7" s="150">
        <v>0</v>
      </c>
      <c r="AQ7" s="151">
        <v>0.41</v>
      </c>
      <c r="AR7" s="152">
        <v>0.47</v>
      </c>
      <c r="AS7" s="150">
        <v>0</v>
      </c>
      <c r="AT7" s="150">
        <v>0</v>
      </c>
      <c r="AU7" s="151">
        <v>0.47</v>
      </c>
      <c r="AV7" s="152">
        <v>0.18</v>
      </c>
      <c r="AW7" s="150">
        <v>0</v>
      </c>
      <c r="AX7" s="150">
        <v>0</v>
      </c>
      <c r="AY7" s="151">
        <v>0.18</v>
      </c>
      <c r="AZ7" s="152">
        <v>0.14000000000000001</v>
      </c>
      <c r="BA7" s="150">
        <v>0</v>
      </c>
      <c r="BB7" s="150">
        <v>0</v>
      </c>
      <c r="BC7" s="151">
        <v>0.14000000000000001</v>
      </c>
      <c r="BD7" s="153">
        <v>0.19</v>
      </c>
      <c r="BE7" s="152">
        <v>0.26</v>
      </c>
      <c r="BF7" s="150">
        <v>0</v>
      </c>
      <c r="BG7" s="150">
        <v>0</v>
      </c>
      <c r="BH7" s="151">
        <v>0.26</v>
      </c>
      <c r="BI7" s="152">
        <v>0.52</v>
      </c>
      <c r="BJ7" s="150">
        <v>0</v>
      </c>
      <c r="BK7" s="150">
        <v>0</v>
      </c>
      <c r="BL7" s="151">
        <v>0.52</v>
      </c>
      <c r="BM7" s="152">
        <v>1.89</v>
      </c>
      <c r="BN7" s="150">
        <v>3.1</v>
      </c>
      <c r="BO7" s="150">
        <v>1.59</v>
      </c>
      <c r="BP7" s="150">
        <v>1.38</v>
      </c>
      <c r="BQ7" s="150">
        <v>3.55</v>
      </c>
      <c r="BR7" s="150">
        <v>4.78</v>
      </c>
      <c r="BS7" s="150">
        <v>3.42</v>
      </c>
      <c r="BT7" s="150">
        <v>2.5</v>
      </c>
      <c r="BU7" s="151">
        <v>1.25</v>
      </c>
      <c r="BV7" s="79">
        <v>2880000</v>
      </c>
      <c r="BW7" s="138">
        <v>139.19999999999999</v>
      </c>
      <c r="BX7" s="137">
        <v>960</v>
      </c>
      <c r="BY7" s="142">
        <v>19.100000000000001</v>
      </c>
      <c r="BZ7" s="138">
        <v>13.5</v>
      </c>
      <c r="CA7" s="147">
        <v>4.8999999999999998E-3</v>
      </c>
      <c r="CB7" s="137">
        <v>487</v>
      </c>
      <c r="CC7" s="146">
        <v>0</v>
      </c>
      <c r="CD7" s="137">
        <v>0</v>
      </c>
      <c r="CE7" s="104">
        <f t="shared" si="2"/>
        <v>1.496647509578544E-2</v>
      </c>
      <c r="CF7" s="105">
        <f t="shared" si="0"/>
        <v>0.65</v>
      </c>
    </row>
    <row r="8" spans="1:84" ht="14.25" hidden="1" customHeight="1" x14ac:dyDescent="0.25">
      <c r="A8" s="83">
        <v>7</v>
      </c>
      <c r="B8" s="84" t="s">
        <v>213</v>
      </c>
      <c r="C8" s="85" t="s">
        <v>214</v>
      </c>
      <c r="D8" s="86">
        <v>1830</v>
      </c>
      <c r="E8" s="87">
        <v>1830</v>
      </c>
      <c r="F8" s="100">
        <f t="shared" si="1"/>
        <v>3348900</v>
      </c>
      <c r="G8" s="87">
        <v>143</v>
      </c>
      <c r="H8" s="87">
        <v>1727</v>
      </c>
      <c r="I8" s="89">
        <v>1</v>
      </c>
      <c r="J8" s="154">
        <v>24</v>
      </c>
      <c r="K8" s="155">
        <v>19.2</v>
      </c>
      <c r="L8" s="156">
        <v>22</v>
      </c>
      <c r="M8" s="157">
        <v>1.1200000000000001</v>
      </c>
      <c r="N8" s="100">
        <v>20.67</v>
      </c>
      <c r="O8" s="94" t="s">
        <v>215</v>
      </c>
      <c r="P8" s="95" t="s">
        <v>216</v>
      </c>
      <c r="Q8" s="96">
        <v>1.48E-3</v>
      </c>
      <c r="R8" s="97">
        <v>6.6699999999999997E-3</v>
      </c>
      <c r="S8" s="97">
        <v>7.4099999999999999E-3</v>
      </c>
      <c r="T8" s="87">
        <v>496</v>
      </c>
      <c r="U8" s="95" t="s">
        <v>217</v>
      </c>
      <c r="V8" s="96">
        <v>1.2199999999999999E-3</v>
      </c>
      <c r="W8" s="87">
        <v>386</v>
      </c>
      <c r="X8" s="98">
        <v>406</v>
      </c>
      <c r="Y8" s="158">
        <v>1.86</v>
      </c>
      <c r="Z8" s="99">
        <v>1</v>
      </c>
      <c r="AA8" s="90">
        <v>2.8</v>
      </c>
      <c r="AB8" s="159">
        <v>8.6</v>
      </c>
      <c r="AC8" s="91">
        <v>3.1</v>
      </c>
      <c r="AD8" s="100">
        <v>1.36</v>
      </c>
      <c r="AE8" s="101">
        <v>1.74</v>
      </c>
      <c r="AF8" s="102">
        <v>0.85</v>
      </c>
      <c r="AG8" s="100">
        <v>0.22</v>
      </c>
      <c r="AH8" s="100">
        <v>0.47</v>
      </c>
      <c r="AI8" s="101">
        <v>1.51</v>
      </c>
      <c r="AJ8" s="102">
        <v>0.28999999999999998</v>
      </c>
      <c r="AK8" s="100">
        <v>0.47</v>
      </c>
      <c r="AL8" s="100">
        <v>0</v>
      </c>
      <c r="AM8" s="101">
        <v>0.76</v>
      </c>
      <c r="AN8" s="102">
        <v>0.34</v>
      </c>
      <c r="AO8" s="100">
        <v>0.3</v>
      </c>
      <c r="AP8" s="100">
        <v>0.62</v>
      </c>
      <c r="AQ8" s="101">
        <v>1.25</v>
      </c>
      <c r="AR8" s="102">
        <v>0.69</v>
      </c>
      <c r="AS8" s="100">
        <v>0.27</v>
      </c>
      <c r="AT8" s="100">
        <v>0.47</v>
      </c>
      <c r="AU8" s="101">
        <v>1.42</v>
      </c>
      <c r="AV8" s="102">
        <v>0.45</v>
      </c>
      <c r="AW8" s="100">
        <v>0.47</v>
      </c>
      <c r="AX8" s="100">
        <v>0</v>
      </c>
      <c r="AY8" s="101">
        <v>0.92</v>
      </c>
      <c r="AZ8" s="102">
        <v>0.33</v>
      </c>
      <c r="BA8" s="100">
        <v>1.75</v>
      </c>
      <c r="BB8" s="100">
        <v>0.15</v>
      </c>
      <c r="BC8" s="101">
        <v>2.23</v>
      </c>
      <c r="BD8" s="103">
        <v>0.52</v>
      </c>
      <c r="BE8" s="102">
        <v>0.56000000000000005</v>
      </c>
      <c r="BF8" s="100">
        <v>0</v>
      </c>
      <c r="BG8" s="100">
        <v>0.43</v>
      </c>
      <c r="BH8" s="101">
        <v>0.99</v>
      </c>
      <c r="BI8" s="102">
        <v>0.56000000000000005</v>
      </c>
      <c r="BJ8" s="100">
        <v>0.28000000000000003</v>
      </c>
      <c r="BK8" s="100">
        <v>0.56000000000000005</v>
      </c>
      <c r="BL8" s="101">
        <v>1.4</v>
      </c>
      <c r="BM8" s="102">
        <v>1.1499999999999999</v>
      </c>
      <c r="BN8" s="100">
        <v>2.29</v>
      </c>
      <c r="BO8" s="100">
        <v>1.4</v>
      </c>
      <c r="BP8" s="100">
        <v>1.23</v>
      </c>
      <c r="BQ8" s="100">
        <v>1.88</v>
      </c>
      <c r="BR8" s="100">
        <v>0.78</v>
      </c>
      <c r="BS8" s="100">
        <v>3.35</v>
      </c>
      <c r="BT8" s="100">
        <v>1.76</v>
      </c>
      <c r="BU8" s="101">
        <v>1.24</v>
      </c>
      <c r="BV8" s="79">
        <v>3348900</v>
      </c>
      <c r="BW8" s="87">
        <v>143</v>
      </c>
      <c r="BX8" s="87">
        <v>1727</v>
      </c>
      <c r="BY8" s="156">
        <v>22</v>
      </c>
      <c r="BZ8" s="100">
        <v>20.67</v>
      </c>
      <c r="CA8" s="97">
        <v>7.4099999999999999E-3</v>
      </c>
      <c r="CB8" s="87">
        <v>496</v>
      </c>
      <c r="CC8" s="96">
        <v>1.2199999999999999E-3</v>
      </c>
      <c r="CD8" s="87">
        <v>386</v>
      </c>
      <c r="CE8" s="104">
        <f t="shared" si="2"/>
        <v>6.7255149222362337E-3</v>
      </c>
      <c r="CF8" s="105">
        <f t="shared" si="0"/>
        <v>1.74</v>
      </c>
    </row>
    <row r="9" spans="1:84" hidden="1" x14ac:dyDescent="0.25">
      <c r="A9" s="106">
        <v>8</v>
      </c>
      <c r="B9" s="107"/>
      <c r="C9" s="108" t="s">
        <v>218</v>
      </c>
      <c r="D9" s="109">
        <v>1830</v>
      </c>
      <c r="E9" s="110">
        <v>1830</v>
      </c>
      <c r="F9" s="123">
        <f t="shared" si="1"/>
        <v>3348900</v>
      </c>
      <c r="G9" s="110">
        <v>143</v>
      </c>
      <c r="H9" s="110">
        <v>1727</v>
      </c>
      <c r="I9" s="112">
        <v>1</v>
      </c>
      <c r="J9" s="160">
        <v>24</v>
      </c>
      <c r="K9" s="161">
        <v>19.2</v>
      </c>
      <c r="L9" s="162">
        <v>22</v>
      </c>
      <c r="M9" s="163">
        <v>1.04</v>
      </c>
      <c r="N9" s="123">
        <v>17.91</v>
      </c>
      <c r="O9" s="117" t="s">
        <v>215</v>
      </c>
      <c r="P9" s="118" t="s">
        <v>216</v>
      </c>
      <c r="Q9" s="119">
        <v>1.48E-3</v>
      </c>
      <c r="R9" s="120">
        <v>6.6699999999999997E-3</v>
      </c>
      <c r="S9" s="120">
        <v>7.4099999999999999E-3</v>
      </c>
      <c r="T9" s="110">
        <v>496</v>
      </c>
      <c r="U9" s="118" t="s">
        <v>217</v>
      </c>
      <c r="V9" s="119">
        <v>1.2199999999999999E-3</v>
      </c>
      <c r="W9" s="110">
        <v>386</v>
      </c>
      <c r="X9" s="121">
        <v>406</v>
      </c>
      <c r="Y9" s="122">
        <v>0</v>
      </c>
      <c r="Z9" s="122">
        <v>1</v>
      </c>
      <c r="AA9" s="113">
        <v>4.3</v>
      </c>
      <c r="AB9" s="164">
        <v>9.9</v>
      </c>
      <c r="AC9" s="114">
        <v>2.2999999999999998</v>
      </c>
      <c r="AD9" s="123">
        <v>0.9</v>
      </c>
      <c r="AE9" s="124">
        <v>1.35</v>
      </c>
      <c r="AF9" s="125">
        <v>0.79</v>
      </c>
      <c r="AG9" s="123">
        <v>0.22</v>
      </c>
      <c r="AH9" s="123">
        <v>0</v>
      </c>
      <c r="AI9" s="124">
        <v>1.01</v>
      </c>
      <c r="AJ9" s="125">
        <v>0.21</v>
      </c>
      <c r="AK9" s="123">
        <v>0.47</v>
      </c>
      <c r="AL9" s="123">
        <v>0</v>
      </c>
      <c r="AM9" s="124">
        <v>0.68</v>
      </c>
      <c r="AN9" s="125">
        <v>0.6</v>
      </c>
      <c r="AO9" s="123">
        <v>0.3</v>
      </c>
      <c r="AP9" s="123">
        <v>0</v>
      </c>
      <c r="AQ9" s="124">
        <v>0.87</v>
      </c>
      <c r="AR9" s="125">
        <v>0.64</v>
      </c>
      <c r="AS9" s="123">
        <v>0.27</v>
      </c>
      <c r="AT9" s="123">
        <v>0</v>
      </c>
      <c r="AU9" s="124">
        <v>0.91</v>
      </c>
      <c r="AV9" s="125">
        <v>0.42</v>
      </c>
      <c r="AW9" s="123">
        <v>0.47</v>
      </c>
      <c r="AX9" s="123">
        <v>0</v>
      </c>
      <c r="AY9" s="124">
        <v>0.89</v>
      </c>
      <c r="AZ9" s="125">
        <v>0.31</v>
      </c>
      <c r="BA9" s="123">
        <v>1.75</v>
      </c>
      <c r="BB9" s="123">
        <v>0</v>
      </c>
      <c r="BC9" s="124">
        <v>2.06</v>
      </c>
      <c r="BD9" s="126">
        <v>0.52</v>
      </c>
      <c r="BE9" s="125">
        <v>0.52</v>
      </c>
      <c r="BF9" s="123">
        <v>0</v>
      </c>
      <c r="BG9" s="123">
        <v>0</v>
      </c>
      <c r="BH9" s="124">
        <v>0.52</v>
      </c>
      <c r="BI9" s="125">
        <v>0.52</v>
      </c>
      <c r="BJ9" s="123">
        <v>0.28000000000000003</v>
      </c>
      <c r="BK9" s="123">
        <v>0</v>
      </c>
      <c r="BL9" s="124">
        <v>0.8</v>
      </c>
      <c r="BM9" s="125">
        <v>1.33</v>
      </c>
      <c r="BN9" s="123">
        <v>1.99</v>
      </c>
      <c r="BO9" s="123">
        <v>1.56</v>
      </c>
      <c r="BP9" s="123">
        <v>1.49</v>
      </c>
      <c r="BQ9" s="123">
        <v>1.51</v>
      </c>
      <c r="BR9" s="123">
        <v>0.66</v>
      </c>
      <c r="BS9" s="123">
        <v>2.6</v>
      </c>
      <c r="BT9" s="123">
        <v>2.59</v>
      </c>
      <c r="BU9" s="124">
        <v>1.68</v>
      </c>
      <c r="BV9" s="79">
        <v>3348900</v>
      </c>
      <c r="BW9" s="110">
        <v>143</v>
      </c>
      <c r="BX9" s="110">
        <v>1727</v>
      </c>
      <c r="BY9" s="162">
        <v>22</v>
      </c>
      <c r="BZ9" s="123">
        <v>17.91</v>
      </c>
      <c r="CA9" s="120">
        <v>7.4099999999999999E-3</v>
      </c>
      <c r="CB9" s="110">
        <v>496</v>
      </c>
      <c r="CC9" s="119">
        <v>1.2199999999999999E-3</v>
      </c>
      <c r="CD9" s="110">
        <v>386</v>
      </c>
      <c r="CE9" s="104">
        <f t="shared" si="2"/>
        <v>9.8972066185180931E-3</v>
      </c>
      <c r="CF9" s="105">
        <f t="shared" si="0"/>
        <v>1.35</v>
      </c>
    </row>
    <row r="10" spans="1:84" hidden="1" x14ac:dyDescent="0.25">
      <c r="A10" s="106">
        <v>9</v>
      </c>
      <c r="B10" s="107"/>
      <c r="C10" s="108" t="s">
        <v>219</v>
      </c>
      <c r="D10" s="109">
        <v>1830</v>
      </c>
      <c r="E10" s="110">
        <v>1830</v>
      </c>
      <c r="F10" s="123">
        <f t="shared" si="1"/>
        <v>3348900</v>
      </c>
      <c r="G10" s="110">
        <v>143</v>
      </c>
      <c r="H10" s="110">
        <v>1727</v>
      </c>
      <c r="I10" s="112">
        <v>1</v>
      </c>
      <c r="J10" s="160">
        <v>24</v>
      </c>
      <c r="K10" s="161">
        <v>19.2</v>
      </c>
      <c r="L10" s="162">
        <v>22</v>
      </c>
      <c r="M10" s="163">
        <v>1.04</v>
      </c>
      <c r="N10" s="123">
        <v>17.91</v>
      </c>
      <c r="O10" s="117" t="s">
        <v>215</v>
      </c>
      <c r="P10" s="118" t="s">
        <v>216</v>
      </c>
      <c r="Q10" s="119">
        <v>1.48E-3</v>
      </c>
      <c r="R10" s="120">
        <v>6.6699999999999997E-3</v>
      </c>
      <c r="S10" s="120">
        <v>7.4099999999999999E-3</v>
      </c>
      <c r="T10" s="110">
        <v>496</v>
      </c>
      <c r="U10" s="118" t="s">
        <v>217</v>
      </c>
      <c r="V10" s="119">
        <v>1.2199999999999999E-3</v>
      </c>
      <c r="W10" s="110">
        <v>386</v>
      </c>
      <c r="X10" s="121">
        <v>406</v>
      </c>
      <c r="Y10" s="165">
        <v>0.69</v>
      </c>
      <c r="Z10" s="122">
        <v>1</v>
      </c>
      <c r="AA10" s="113">
        <v>4.8</v>
      </c>
      <c r="AB10" s="164">
        <v>9.6999999999999993</v>
      </c>
      <c r="AC10" s="114">
        <v>2</v>
      </c>
      <c r="AD10" s="123">
        <v>1.02</v>
      </c>
      <c r="AE10" s="124">
        <v>1.47</v>
      </c>
      <c r="AF10" s="125">
        <v>0.79</v>
      </c>
      <c r="AG10" s="123">
        <v>0.22</v>
      </c>
      <c r="AH10" s="123">
        <v>0.17</v>
      </c>
      <c r="AI10" s="124">
        <v>1.18</v>
      </c>
      <c r="AJ10" s="125">
        <v>0.28999999999999998</v>
      </c>
      <c r="AK10" s="123">
        <v>0.47</v>
      </c>
      <c r="AL10" s="123">
        <v>0</v>
      </c>
      <c r="AM10" s="124">
        <v>0.76</v>
      </c>
      <c r="AN10" s="125">
        <v>0.7</v>
      </c>
      <c r="AO10" s="123">
        <v>0.3</v>
      </c>
      <c r="AP10" s="123">
        <v>0.24</v>
      </c>
      <c r="AQ10" s="124">
        <v>1.21</v>
      </c>
      <c r="AR10" s="125">
        <v>0.64</v>
      </c>
      <c r="AS10" s="123">
        <v>0.27</v>
      </c>
      <c r="AT10" s="123">
        <v>0.17</v>
      </c>
      <c r="AU10" s="124">
        <v>1.08</v>
      </c>
      <c r="AV10" s="125">
        <v>0.42</v>
      </c>
      <c r="AW10" s="123">
        <v>0.47</v>
      </c>
      <c r="AX10" s="123">
        <v>0</v>
      </c>
      <c r="AY10" s="124">
        <v>0.89</v>
      </c>
      <c r="AZ10" s="125">
        <v>0.31</v>
      </c>
      <c r="BA10" s="123">
        <v>1.75</v>
      </c>
      <c r="BB10" s="123">
        <v>0.06</v>
      </c>
      <c r="BC10" s="124">
        <v>2.11</v>
      </c>
      <c r="BD10" s="126">
        <v>0.52</v>
      </c>
      <c r="BE10" s="125">
        <v>0.52</v>
      </c>
      <c r="BF10" s="123">
        <v>0</v>
      </c>
      <c r="BG10" s="123">
        <v>0.16</v>
      </c>
      <c r="BH10" s="124">
        <v>0.68</v>
      </c>
      <c r="BI10" s="125">
        <v>0.52</v>
      </c>
      <c r="BJ10" s="123">
        <v>0.28000000000000003</v>
      </c>
      <c r="BK10" s="123">
        <v>0.21</v>
      </c>
      <c r="BL10" s="124">
        <v>1.01</v>
      </c>
      <c r="BM10" s="125">
        <v>1.24</v>
      </c>
      <c r="BN10" s="123">
        <v>1.94</v>
      </c>
      <c r="BO10" s="123">
        <v>1.22</v>
      </c>
      <c r="BP10" s="123">
        <v>1.36</v>
      </c>
      <c r="BQ10" s="123">
        <v>1.65</v>
      </c>
      <c r="BR10" s="123">
        <v>0.7</v>
      </c>
      <c r="BS10" s="123">
        <v>2.83</v>
      </c>
      <c r="BT10" s="123">
        <v>2.16</v>
      </c>
      <c r="BU10" s="124">
        <v>1.45</v>
      </c>
      <c r="BV10" s="79">
        <v>3348900</v>
      </c>
      <c r="BW10" s="110">
        <v>143</v>
      </c>
      <c r="BX10" s="110">
        <v>1727</v>
      </c>
      <c r="BY10" s="162">
        <v>22</v>
      </c>
      <c r="BZ10" s="123">
        <v>17.91</v>
      </c>
      <c r="CA10" s="120">
        <v>7.4099999999999999E-3</v>
      </c>
      <c r="CB10" s="110">
        <v>496</v>
      </c>
      <c r="CC10" s="119">
        <v>1.2199999999999999E-3</v>
      </c>
      <c r="CD10" s="110">
        <v>386</v>
      </c>
      <c r="CE10" s="104">
        <f t="shared" si="2"/>
        <v>8.2540410409262868E-3</v>
      </c>
      <c r="CF10" s="105">
        <f t="shared" si="0"/>
        <v>1.47</v>
      </c>
    </row>
    <row r="11" spans="1:84" hidden="1" x14ac:dyDescent="0.25">
      <c r="A11" s="106">
        <v>10</v>
      </c>
      <c r="B11" s="107"/>
      <c r="C11" s="108" t="s">
        <v>220</v>
      </c>
      <c r="D11" s="109">
        <v>1830</v>
      </c>
      <c r="E11" s="110">
        <v>1830</v>
      </c>
      <c r="F11" s="123">
        <f t="shared" si="1"/>
        <v>3348900</v>
      </c>
      <c r="G11" s="110">
        <v>143</v>
      </c>
      <c r="H11" s="110">
        <v>1727</v>
      </c>
      <c r="I11" s="112">
        <v>1</v>
      </c>
      <c r="J11" s="160">
        <v>24</v>
      </c>
      <c r="K11" s="161">
        <v>19.2</v>
      </c>
      <c r="L11" s="162">
        <v>22</v>
      </c>
      <c r="M11" s="163">
        <v>1.17</v>
      </c>
      <c r="N11" s="123">
        <v>22.36</v>
      </c>
      <c r="O11" s="117" t="s">
        <v>215</v>
      </c>
      <c r="P11" s="118" t="s">
        <v>216</v>
      </c>
      <c r="Q11" s="119">
        <v>1.48E-3</v>
      </c>
      <c r="R11" s="120">
        <v>6.6699999999999997E-3</v>
      </c>
      <c r="S11" s="120">
        <v>7.4099999999999999E-3</v>
      </c>
      <c r="T11" s="110">
        <v>496</v>
      </c>
      <c r="U11" s="118" t="s">
        <v>217</v>
      </c>
      <c r="V11" s="119">
        <v>1.2199999999999999E-3</v>
      </c>
      <c r="W11" s="110">
        <v>386</v>
      </c>
      <c r="X11" s="121">
        <v>406</v>
      </c>
      <c r="Y11" s="165">
        <v>0.69</v>
      </c>
      <c r="Z11" s="122">
        <v>1</v>
      </c>
      <c r="AA11" s="113">
        <v>3.3</v>
      </c>
      <c r="AB11" s="164">
        <v>7.9</v>
      </c>
      <c r="AC11" s="114">
        <v>2.4</v>
      </c>
      <c r="AD11" s="123">
        <v>1.06</v>
      </c>
      <c r="AE11" s="124">
        <v>1.65</v>
      </c>
      <c r="AF11" s="125">
        <v>0.88</v>
      </c>
      <c r="AG11" s="123">
        <v>0.22</v>
      </c>
      <c r="AH11" s="123">
        <v>0.17</v>
      </c>
      <c r="AI11" s="124">
        <v>1.28</v>
      </c>
      <c r="AJ11" s="125">
        <v>0.28999999999999998</v>
      </c>
      <c r="AK11" s="123">
        <v>0.47</v>
      </c>
      <c r="AL11" s="123">
        <v>0</v>
      </c>
      <c r="AM11" s="124">
        <v>0.76</v>
      </c>
      <c r="AN11" s="125">
        <v>0.63</v>
      </c>
      <c r="AO11" s="123">
        <v>0.3</v>
      </c>
      <c r="AP11" s="123">
        <v>0.25</v>
      </c>
      <c r="AQ11" s="124">
        <v>1.1399999999999999</v>
      </c>
      <c r="AR11" s="125">
        <v>0.71</v>
      </c>
      <c r="AS11" s="123">
        <v>0.27</v>
      </c>
      <c r="AT11" s="123">
        <v>0.17</v>
      </c>
      <c r="AU11" s="124">
        <v>1.1499999999999999</v>
      </c>
      <c r="AV11" s="125">
        <v>0.47</v>
      </c>
      <c r="AW11" s="123">
        <v>0.47</v>
      </c>
      <c r="AX11" s="123">
        <v>0</v>
      </c>
      <c r="AY11" s="124">
        <v>0.94</v>
      </c>
      <c r="AZ11" s="125">
        <v>0.35</v>
      </c>
      <c r="BA11" s="123">
        <v>1.75</v>
      </c>
      <c r="BB11" s="123">
        <v>0.06</v>
      </c>
      <c r="BC11" s="124">
        <v>2.15</v>
      </c>
      <c r="BD11" s="126">
        <v>0.52</v>
      </c>
      <c r="BE11" s="125">
        <v>0.57999999999999996</v>
      </c>
      <c r="BF11" s="123">
        <v>0</v>
      </c>
      <c r="BG11" s="123">
        <v>0.16</v>
      </c>
      <c r="BH11" s="124">
        <v>0.74</v>
      </c>
      <c r="BI11" s="125">
        <v>0.57999999999999996</v>
      </c>
      <c r="BJ11" s="123">
        <v>0.28000000000000003</v>
      </c>
      <c r="BK11" s="123">
        <v>0.21</v>
      </c>
      <c r="BL11" s="124">
        <v>1.07</v>
      </c>
      <c r="BM11" s="125">
        <v>1.29</v>
      </c>
      <c r="BN11" s="123">
        <v>2.17</v>
      </c>
      <c r="BO11" s="123">
        <v>1.44</v>
      </c>
      <c r="BP11" s="123">
        <v>1.43</v>
      </c>
      <c r="BQ11" s="123">
        <v>1.75</v>
      </c>
      <c r="BR11" s="123">
        <v>0.77</v>
      </c>
      <c r="BS11" s="123">
        <v>3.17</v>
      </c>
      <c r="BT11" s="123">
        <v>2.2200000000000002</v>
      </c>
      <c r="BU11" s="124">
        <v>1.54</v>
      </c>
      <c r="BV11" s="79">
        <v>3348900</v>
      </c>
      <c r="BW11" s="110">
        <v>143</v>
      </c>
      <c r="BX11" s="110">
        <v>1727</v>
      </c>
      <c r="BY11" s="162">
        <v>22</v>
      </c>
      <c r="BZ11" s="123">
        <v>22.36</v>
      </c>
      <c r="CA11" s="120">
        <v>7.4099999999999999E-3</v>
      </c>
      <c r="CB11" s="110">
        <v>496</v>
      </c>
      <c r="CC11" s="119">
        <v>1.2199999999999999E-3</v>
      </c>
      <c r="CD11" s="110">
        <v>386</v>
      </c>
      <c r="CE11" s="104">
        <f t="shared" si="2"/>
        <v>8.4833199587297948E-3</v>
      </c>
      <c r="CF11" s="105">
        <f t="shared" si="0"/>
        <v>1.65</v>
      </c>
    </row>
    <row r="12" spans="1:84" hidden="1" x14ac:dyDescent="0.25">
      <c r="A12" s="127">
        <v>11</v>
      </c>
      <c r="B12" s="107"/>
      <c r="C12" s="108" t="s">
        <v>221</v>
      </c>
      <c r="D12" s="132">
        <v>1830</v>
      </c>
      <c r="E12" s="129">
        <v>1830</v>
      </c>
      <c r="F12" s="123">
        <f t="shared" si="1"/>
        <v>3348900</v>
      </c>
      <c r="G12" s="129">
        <v>143</v>
      </c>
      <c r="H12" s="129">
        <v>1727</v>
      </c>
      <c r="I12" s="166">
        <v>1</v>
      </c>
      <c r="J12" s="160">
        <v>24</v>
      </c>
      <c r="K12" s="161">
        <v>19.2</v>
      </c>
      <c r="L12" s="162">
        <v>22</v>
      </c>
      <c r="M12" s="163">
        <v>1.17</v>
      </c>
      <c r="N12" s="123">
        <v>22.36</v>
      </c>
      <c r="O12" s="117" t="s">
        <v>215</v>
      </c>
      <c r="P12" s="118" t="s">
        <v>216</v>
      </c>
      <c r="Q12" s="119">
        <v>7.6999999999999996E-4</v>
      </c>
      <c r="R12" s="120">
        <v>3.4399999999999999E-3</v>
      </c>
      <c r="S12" s="120">
        <v>3.8300000000000001E-3</v>
      </c>
      <c r="T12" s="110">
        <v>441</v>
      </c>
      <c r="U12" s="118" t="s">
        <v>217</v>
      </c>
      <c r="V12" s="119">
        <v>1.2199999999999999E-3</v>
      </c>
      <c r="W12" s="110">
        <v>386</v>
      </c>
      <c r="X12" s="121">
        <v>406</v>
      </c>
      <c r="Y12" s="165">
        <v>1.86</v>
      </c>
      <c r="Z12" s="122">
        <v>1</v>
      </c>
      <c r="AA12" s="113">
        <v>2.2999999999999998</v>
      </c>
      <c r="AB12" s="164">
        <v>5.7</v>
      </c>
      <c r="AC12" s="114">
        <v>2.5</v>
      </c>
      <c r="AD12" s="123">
        <v>1.56</v>
      </c>
      <c r="AE12" s="124">
        <v>1.63</v>
      </c>
      <c r="AF12" s="125">
        <v>0.88</v>
      </c>
      <c r="AG12" s="123">
        <v>0.22</v>
      </c>
      <c r="AH12" s="123">
        <v>0.47</v>
      </c>
      <c r="AI12" s="124">
        <v>1.57</v>
      </c>
      <c r="AJ12" s="125">
        <v>0.28999999999999998</v>
      </c>
      <c r="AK12" s="123">
        <v>0.47</v>
      </c>
      <c r="AL12" s="123">
        <v>0</v>
      </c>
      <c r="AM12" s="124">
        <v>0.76</v>
      </c>
      <c r="AN12" s="125">
        <v>0.49</v>
      </c>
      <c r="AO12" s="123">
        <v>0.3</v>
      </c>
      <c r="AP12" s="123">
        <v>0.67</v>
      </c>
      <c r="AQ12" s="124">
        <v>1.44</v>
      </c>
      <c r="AR12" s="125">
        <v>0.71</v>
      </c>
      <c r="AS12" s="123">
        <v>0.27</v>
      </c>
      <c r="AT12" s="123">
        <v>0.47</v>
      </c>
      <c r="AU12" s="124">
        <v>1.45</v>
      </c>
      <c r="AV12" s="125">
        <v>0.47</v>
      </c>
      <c r="AW12" s="123">
        <v>0.47</v>
      </c>
      <c r="AX12" s="123">
        <v>0</v>
      </c>
      <c r="AY12" s="124">
        <v>0.94</v>
      </c>
      <c r="AZ12" s="125">
        <v>0.3</v>
      </c>
      <c r="BA12" s="123">
        <v>1.34</v>
      </c>
      <c r="BB12" s="123">
        <v>0.15</v>
      </c>
      <c r="BC12" s="124">
        <v>1.79</v>
      </c>
      <c r="BD12" s="126">
        <v>0.52</v>
      </c>
      <c r="BE12" s="125">
        <v>0.57999999999999996</v>
      </c>
      <c r="BF12" s="123">
        <v>0</v>
      </c>
      <c r="BG12" s="123">
        <v>0.43</v>
      </c>
      <c r="BH12" s="124">
        <v>1.01</v>
      </c>
      <c r="BI12" s="125">
        <v>0.57999999999999996</v>
      </c>
      <c r="BJ12" s="123">
        <v>0.28000000000000003</v>
      </c>
      <c r="BK12" s="123">
        <v>0.56000000000000005</v>
      </c>
      <c r="BL12" s="124">
        <v>1.42</v>
      </c>
      <c r="BM12" s="125">
        <v>1.04</v>
      </c>
      <c r="BN12" s="123">
        <v>2.15</v>
      </c>
      <c r="BO12" s="123">
        <v>1.1399999999999999</v>
      </c>
      <c r="BP12" s="123">
        <v>1.1299999999999999</v>
      </c>
      <c r="BQ12" s="123">
        <v>1.73</v>
      </c>
      <c r="BR12" s="123">
        <v>0.91</v>
      </c>
      <c r="BS12" s="123">
        <v>3.13</v>
      </c>
      <c r="BT12" s="123">
        <v>1.61</v>
      </c>
      <c r="BU12" s="124">
        <v>1.1399999999999999</v>
      </c>
      <c r="BV12" s="79">
        <v>3348900</v>
      </c>
      <c r="BW12" s="129">
        <v>143</v>
      </c>
      <c r="BX12" s="129">
        <v>1727</v>
      </c>
      <c r="BY12" s="162">
        <v>22</v>
      </c>
      <c r="BZ12" s="123">
        <v>22.36</v>
      </c>
      <c r="CA12" s="120">
        <v>3.8300000000000001E-3</v>
      </c>
      <c r="CB12" s="110">
        <v>441</v>
      </c>
      <c r="CC12" s="119">
        <v>1.2199999999999999E-3</v>
      </c>
      <c r="CD12" s="110">
        <v>386</v>
      </c>
      <c r="CE12" s="104">
        <f t="shared" si="2"/>
        <v>6.1523176277274638E-3</v>
      </c>
      <c r="CF12" s="105">
        <f t="shared" si="0"/>
        <v>1.63</v>
      </c>
    </row>
    <row r="13" spans="1:84" hidden="1" x14ac:dyDescent="0.25">
      <c r="A13" s="127">
        <v>12</v>
      </c>
      <c r="B13" s="107"/>
      <c r="C13" s="108" t="s">
        <v>222</v>
      </c>
      <c r="D13" s="132">
        <v>1830</v>
      </c>
      <c r="E13" s="129">
        <v>1830</v>
      </c>
      <c r="F13" s="123">
        <f t="shared" si="1"/>
        <v>3348900</v>
      </c>
      <c r="G13" s="129">
        <v>143</v>
      </c>
      <c r="H13" s="129">
        <v>1727</v>
      </c>
      <c r="I13" s="166">
        <v>1</v>
      </c>
      <c r="J13" s="160">
        <v>24</v>
      </c>
      <c r="K13" s="161">
        <v>19.2</v>
      </c>
      <c r="L13" s="162">
        <v>22</v>
      </c>
      <c r="M13" s="163">
        <v>1.19</v>
      </c>
      <c r="N13" s="123">
        <v>23.04</v>
      </c>
      <c r="O13" s="117" t="s">
        <v>215</v>
      </c>
      <c r="P13" s="118" t="s">
        <v>216</v>
      </c>
      <c r="Q13" s="119">
        <v>1.09E-3</v>
      </c>
      <c r="R13" s="120">
        <v>4.8900000000000002E-3</v>
      </c>
      <c r="S13" s="120">
        <v>5.4299999999999999E-3</v>
      </c>
      <c r="T13" s="110">
        <v>448</v>
      </c>
      <c r="U13" s="118" t="s">
        <v>217</v>
      </c>
      <c r="V13" s="119">
        <v>2.3600000000000001E-3</v>
      </c>
      <c r="W13" s="110">
        <v>462</v>
      </c>
      <c r="X13" s="121">
        <v>406</v>
      </c>
      <c r="Y13" s="165">
        <v>1.86</v>
      </c>
      <c r="Z13" s="122">
        <v>1</v>
      </c>
      <c r="AA13" s="113">
        <v>2.5</v>
      </c>
      <c r="AB13" s="164">
        <v>5.6</v>
      </c>
      <c r="AC13" s="114">
        <v>2.2000000000000002</v>
      </c>
      <c r="AD13" s="123">
        <v>1.9</v>
      </c>
      <c r="AE13" s="124">
        <v>1.92</v>
      </c>
      <c r="AF13" s="125">
        <v>0.9</v>
      </c>
      <c r="AG13" s="123">
        <v>0.51</v>
      </c>
      <c r="AH13" s="123">
        <v>0.47</v>
      </c>
      <c r="AI13" s="124">
        <v>1.59</v>
      </c>
      <c r="AJ13" s="125">
        <v>0.28999999999999998</v>
      </c>
      <c r="AK13" s="123">
        <v>1.0900000000000001</v>
      </c>
      <c r="AL13" s="123">
        <v>0</v>
      </c>
      <c r="AM13" s="124">
        <v>1.38</v>
      </c>
      <c r="AN13" s="125">
        <v>0.65</v>
      </c>
      <c r="AO13" s="123">
        <v>0.7</v>
      </c>
      <c r="AP13" s="123">
        <v>0.66</v>
      </c>
      <c r="AQ13" s="124">
        <v>1.96</v>
      </c>
      <c r="AR13" s="125">
        <v>0.72</v>
      </c>
      <c r="AS13" s="123">
        <v>0.62</v>
      </c>
      <c r="AT13" s="123">
        <v>0.47</v>
      </c>
      <c r="AU13" s="124">
        <v>1.54</v>
      </c>
      <c r="AV13" s="125">
        <v>0.48</v>
      </c>
      <c r="AW13" s="123">
        <v>1.0900000000000001</v>
      </c>
      <c r="AX13" s="123">
        <v>0</v>
      </c>
      <c r="AY13" s="124">
        <v>1.57</v>
      </c>
      <c r="AZ13" s="125">
        <v>0.33</v>
      </c>
      <c r="BA13" s="123">
        <v>1.76</v>
      </c>
      <c r="BB13" s="123">
        <v>0.15</v>
      </c>
      <c r="BC13" s="124">
        <v>2.2400000000000002</v>
      </c>
      <c r="BD13" s="126">
        <v>0.52</v>
      </c>
      <c r="BE13" s="125">
        <v>0.59</v>
      </c>
      <c r="BF13" s="123">
        <v>0</v>
      </c>
      <c r="BG13" s="123">
        <v>0.43</v>
      </c>
      <c r="BH13" s="124">
        <v>1.02</v>
      </c>
      <c r="BI13" s="125">
        <v>0.59</v>
      </c>
      <c r="BJ13" s="123">
        <v>0.22</v>
      </c>
      <c r="BK13" s="123">
        <v>0.56000000000000005</v>
      </c>
      <c r="BL13" s="124">
        <v>1.37</v>
      </c>
      <c r="BM13" s="125">
        <v>1.2</v>
      </c>
      <c r="BN13" s="123">
        <v>1.39</v>
      </c>
      <c r="BO13" s="123">
        <v>0.98</v>
      </c>
      <c r="BP13" s="123">
        <v>1.25</v>
      </c>
      <c r="BQ13" s="123">
        <v>1.22</v>
      </c>
      <c r="BR13" s="123">
        <v>0.86</v>
      </c>
      <c r="BS13" s="123">
        <v>3.69</v>
      </c>
      <c r="BT13" s="123">
        <v>1.88</v>
      </c>
      <c r="BU13" s="124">
        <v>1.4</v>
      </c>
      <c r="BV13" s="79">
        <v>3348900</v>
      </c>
      <c r="BW13" s="129">
        <v>143</v>
      </c>
      <c r="BX13" s="129">
        <v>1727</v>
      </c>
      <c r="BY13" s="162">
        <v>22</v>
      </c>
      <c r="BZ13" s="123">
        <v>23.04</v>
      </c>
      <c r="CA13" s="120">
        <v>5.4299999999999999E-3</v>
      </c>
      <c r="CB13" s="110">
        <v>448</v>
      </c>
      <c r="CC13" s="119">
        <v>2.3600000000000001E-3</v>
      </c>
      <c r="CD13" s="110">
        <v>462</v>
      </c>
      <c r="CE13" s="104">
        <f t="shared" si="2"/>
        <v>7.1840727578432488E-3</v>
      </c>
      <c r="CF13" s="105">
        <f t="shared" si="0"/>
        <v>1.92</v>
      </c>
    </row>
    <row r="14" spans="1:84" hidden="1" x14ac:dyDescent="0.25">
      <c r="A14" s="106">
        <v>13</v>
      </c>
      <c r="B14" s="107"/>
      <c r="C14" s="108" t="s">
        <v>223</v>
      </c>
      <c r="D14" s="109">
        <v>1830</v>
      </c>
      <c r="E14" s="110">
        <v>1830</v>
      </c>
      <c r="F14" s="123">
        <f t="shared" si="1"/>
        <v>3348900</v>
      </c>
      <c r="G14" s="110">
        <v>143</v>
      </c>
      <c r="H14" s="110">
        <v>1727</v>
      </c>
      <c r="I14" s="112">
        <v>1</v>
      </c>
      <c r="J14" s="160">
        <v>24</v>
      </c>
      <c r="K14" s="161">
        <v>19.2</v>
      </c>
      <c r="L14" s="162">
        <v>22</v>
      </c>
      <c r="M14" s="163">
        <v>1.19</v>
      </c>
      <c r="N14" s="123">
        <v>23.04</v>
      </c>
      <c r="O14" s="117" t="s">
        <v>215</v>
      </c>
      <c r="P14" s="118" t="s">
        <v>216</v>
      </c>
      <c r="Q14" s="119">
        <v>1.09E-3</v>
      </c>
      <c r="R14" s="120">
        <v>4.8900000000000002E-3</v>
      </c>
      <c r="S14" s="120">
        <v>5.4299999999999999E-3</v>
      </c>
      <c r="T14" s="110">
        <v>228</v>
      </c>
      <c r="U14" s="118" t="s">
        <v>217</v>
      </c>
      <c r="V14" s="119">
        <v>1.2199999999999999E-3</v>
      </c>
      <c r="W14" s="110">
        <v>386</v>
      </c>
      <c r="X14" s="121">
        <v>406</v>
      </c>
      <c r="Y14" s="165">
        <v>1.86</v>
      </c>
      <c r="Z14" s="122">
        <v>1</v>
      </c>
      <c r="AA14" s="113">
        <v>3.1</v>
      </c>
      <c r="AB14" s="164">
        <v>7</v>
      </c>
      <c r="AC14" s="114">
        <v>2.2999999999999998</v>
      </c>
      <c r="AD14" s="123">
        <v>1.73</v>
      </c>
      <c r="AE14" s="124">
        <v>1.78</v>
      </c>
      <c r="AF14" s="125">
        <v>0.9</v>
      </c>
      <c r="AG14" s="123">
        <v>0.22</v>
      </c>
      <c r="AH14" s="123">
        <v>0.47</v>
      </c>
      <c r="AI14" s="124">
        <v>1.58</v>
      </c>
      <c r="AJ14" s="125">
        <v>0.28999999999999998</v>
      </c>
      <c r="AK14" s="123">
        <v>0.47</v>
      </c>
      <c r="AL14" s="123">
        <v>0</v>
      </c>
      <c r="AM14" s="124">
        <v>0.76</v>
      </c>
      <c r="AN14" s="125">
        <v>0.54</v>
      </c>
      <c r="AO14" s="123">
        <v>0.3</v>
      </c>
      <c r="AP14" s="123">
        <v>0.68</v>
      </c>
      <c r="AQ14" s="124">
        <v>1.5</v>
      </c>
      <c r="AR14" s="125">
        <v>0.72</v>
      </c>
      <c r="AS14" s="123">
        <v>0.27</v>
      </c>
      <c r="AT14" s="123">
        <v>0.47</v>
      </c>
      <c r="AU14" s="124">
        <v>1.46</v>
      </c>
      <c r="AV14" s="125">
        <v>0.48</v>
      </c>
      <c r="AW14" s="123">
        <v>0.47</v>
      </c>
      <c r="AX14" s="123">
        <v>0</v>
      </c>
      <c r="AY14" s="124">
        <v>0.95</v>
      </c>
      <c r="AZ14" s="125">
        <v>0.33</v>
      </c>
      <c r="BA14" s="123">
        <v>1.22</v>
      </c>
      <c r="BB14" s="123">
        <v>0.15</v>
      </c>
      <c r="BC14" s="124">
        <v>1.7</v>
      </c>
      <c r="BD14" s="126">
        <v>0.52</v>
      </c>
      <c r="BE14" s="125">
        <v>0.59</v>
      </c>
      <c r="BF14" s="123">
        <v>0</v>
      </c>
      <c r="BG14" s="123">
        <v>0.43</v>
      </c>
      <c r="BH14" s="124">
        <v>1.02</v>
      </c>
      <c r="BI14" s="125">
        <v>0.59</v>
      </c>
      <c r="BJ14" s="123">
        <v>0.28000000000000003</v>
      </c>
      <c r="BK14" s="123">
        <v>0.56000000000000005</v>
      </c>
      <c r="BL14" s="124">
        <v>1.43</v>
      </c>
      <c r="BM14" s="125">
        <v>1.1200000000000001</v>
      </c>
      <c r="BN14" s="123">
        <v>2.34</v>
      </c>
      <c r="BO14" s="123">
        <v>1.19</v>
      </c>
      <c r="BP14" s="123">
        <v>1.22</v>
      </c>
      <c r="BQ14" s="123">
        <v>1.88</v>
      </c>
      <c r="BR14" s="123">
        <v>1.05</v>
      </c>
      <c r="BS14" s="123">
        <v>3.42</v>
      </c>
      <c r="BT14" s="123">
        <v>1.74</v>
      </c>
      <c r="BU14" s="124">
        <v>1.24</v>
      </c>
      <c r="BV14" s="79">
        <v>3348900</v>
      </c>
      <c r="BW14" s="110">
        <v>143</v>
      </c>
      <c r="BX14" s="110">
        <v>1727</v>
      </c>
      <c r="BY14" s="162">
        <v>22</v>
      </c>
      <c r="BZ14" s="123">
        <v>23.04</v>
      </c>
      <c r="CA14" s="120">
        <v>5.4299999999999999E-3</v>
      </c>
      <c r="CB14" s="110">
        <v>228</v>
      </c>
      <c r="CC14" s="119">
        <v>1.2199999999999999E-3</v>
      </c>
      <c r="CD14" s="110">
        <v>386</v>
      </c>
      <c r="CE14" s="104">
        <f t="shared" si="2"/>
        <v>6.6490886163017311E-3</v>
      </c>
      <c r="CF14" s="105">
        <f t="shared" si="0"/>
        <v>1.78</v>
      </c>
    </row>
    <row r="15" spans="1:84" hidden="1" x14ac:dyDescent="0.25">
      <c r="A15" s="106">
        <v>14</v>
      </c>
      <c r="B15" s="107"/>
      <c r="C15" s="108" t="s">
        <v>224</v>
      </c>
      <c r="D15" s="109">
        <v>1830</v>
      </c>
      <c r="E15" s="110">
        <v>1830</v>
      </c>
      <c r="F15" s="123">
        <f t="shared" si="1"/>
        <v>3348900</v>
      </c>
      <c r="G15" s="110">
        <v>143</v>
      </c>
      <c r="H15" s="110">
        <v>1727</v>
      </c>
      <c r="I15" s="112">
        <v>1</v>
      </c>
      <c r="J15" s="160">
        <v>24</v>
      </c>
      <c r="K15" s="161">
        <v>19.2</v>
      </c>
      <c r="L15" s="162">
        <v>22</v>
      </c>
      <c r="M15" s="163">
        <v>1.01</v>
      </c>
      <c r="N15" s="123">
        <v>17.07</v>
      </c>
      <c r="O15" s="117" t="s">
        <v>215</v>
      </c>
      <c r="P15" s="118" t="s">
        <v>216</v>
      </c>
      <c r="Q15" s="119">
        <v>1.48E-3</v>
      </c>
      <c r="R15" s="120">
        <v>6.6699999999999997E-3</v>
      </c>
      <c r="S15" s="120">
        <v>7.4099999999999999E-3</v>
      </c>
      <c r="T15" s="110">
        <v>496</v>
      </c>
      <c r="U15" s="118" t="s">
        <v>217</v>
      </c>
      <c r="V15" s="119">
        <v>2.3600000000000001E-3</v>
      </c>
      <c r="W15" s="110">
        <v>462</v>
      </c>
      <c r="X15" s="121">
        <v>406</v>
      </c>
      <c r="Y15" s="165">
        <v>1.86</v>
      </c>
      <c r="Z15" s="122">
        <v>1</v>
      </c>
      <c r="AA15" s="113">
        <v>3.3</v>
      </c>
      <c r="AB15" s="164">
        <v>12.2</v>
      </c>
      <c r="AC15" s="114">
        <v>3.7</v>
      </c>
      <c r="AD15" s="123">
        <v>1.46</v>
      </c>
      <c r="AE15" s="124">
        <v>2.0499999999999998</v>
      </c>
      <c r="AF15" s="125">
        <v>0.77</v>
      </c>
      <c r="AG15" s="123">
        <v>0.51</v>
      </c>
      <c r="AH15" s="123">
        <v>0.47</v>
      </c>
      <c r="AI15" s="124">
        <v>1.37</v>
      </c>
      <c r="AJ15" s="125">
        <v>0.28999999999999998</v>
      </c>
      <c r="AK15" s="123">
        <v>1.0900000000000001</v>
      </c>
      <c r="AL15" s="123">
        <v>0</v>
      </c>
      <c r="AM15" s="124">
        <v>1.38</v>
      </c>
      <c r="AN15" s="125">
        <v>0.1</v>
      </c>
      <c r="AO15" s="123">
        <v>0.7</v>
      </c>
      <c r="AP15" s="123">
        <v>0.6</v>
      </c>
      <c r="AQ15" s="124">
        <v>1.4</v>
      </c>
      <c r="AR15" s="125">
        <v>0.62</v>
      </c>
      <c r="AS15" s="123">
        <v>0.62</v>
      </c>
      <c r="AT15" s="123">
        <v>0.47</v>
      </c>
      <c r="AU15" s="124">
        <v>1.32</v>
      </c>
      <c r="AV15" s="125">
        <v>0.41</v>
      </c>
      <c r="AW15" s="123">
        <v>1.0900000000000001</v>
      </c>
      <c r="AX15" s="123">
        <v>0</v>
      </c>
      <c r="AY15" s="124">
        <v>1.5</v>
      </c>
      <c r="AZ15" s="125">
        <v>0.3</v>
      </c>
      <c r="BA15" s="123">
        <v>2</v>
      </c>
      <c r="BB15" s="123">
        <v>0.15</v>
      </c>
      <c r="BC15" s="124">
        <v>2.4500000000000002</v>
      </c>
      <c r="BD15" s="126">
        <v>0.52</v>
      </c>
      <c r="BE15" s="125">
        <v>0.51</v>
      </c>
      <c r="BF15" s="123">
        <v>0</v>
      </c>
      <c r="BG15" s="123">
        <v>0.43</v>
      </c>
      <c r="BH15" s="124">
        <v>0.94</v>
      </c>
      <c r="BI15" s="125">
        <v>0.51</v>
      </c>
      <c r="BJ15" s="123">
        <v>0.22</v>
      </c>
      <c r="BK15" s="123">
        <v>0.56000000000000005</v>
      </c>
      <c r="BL15" s="124">
        <v>1.28</v>
      </c>
      <c r="BM15" s="125">
        <v>1.49</v>
      </c>
      <c r="BN15" s="123">
        <v>1.49</v>
      </c>
      <c r="BO15" s="123">
        <v>1.47</v>
      </c>
      <c r="BP15" s="123">
        <v>1.55</v>
      </c>
      <c r="BQ15" s="123">
        <v>1.37</v>
      </c>
      <c r="BR15" s="123">
        <v>0.84</v>
      </c>
      <c r="BS15" s="123">
        <v>3.94</v>
      </c>
      <c r="BT15" s="123">
        <v>2.19</v>
      </c>
      <c r="BU15" s="124">
        <v>1.6</v>
      </c>
      <c r="BV15" s="79">
        <v>3348900</v>
      </c>
      <c r="BW15" s="110">
        <v>143</v>
      </c>
      <c r="BX15" s="110">
        <v>1727</v>
      </c>
      <c r="BY15" s="162">
        <v>22</v>
      </c>
      <c r="BZ15" s="123">
        <v>17.07</v>
      </c>
      <c r="CA15" s="120">
        <v>7.4099999999999999E-3</v>
      </c>
      <c r="CB15" s="110">
        <v>496</v>
      </c>
      <c r="CC15" s="119">
        <v>2.3600000000000001E-3</v>
      </c>
      <c r="CD15" s="110">
        <v>462</v>
      </c>
      <c r="CE15" s="104">
        <f t="shared" si="2"/>
        <v>8.3686804998280399E-3</v>
      </c>
      <c r="CF15" s="105">
        <f t="shared" si="0"/>
        <v>2.0499999999999998</v>
      </c>
    </row>
    <row r="16" spans="1:84" ht="14.25" hidden="1" customHeight="1" x14ac:dyDescent="0.25">
      <c r="A16" s="106">
        <v>15</v>
      </c>
      <c r="B16" s="107"/>
      <c r="C16" s="108" t="s">
        <v>225</v>
      </c>
      <c r="D16" s="109">
        <v>1830</v>
      </c>
      <c r="E16" s="110">
        <v>1830</v>
      </c>
      <c r="F16" s="123">
        <f t="shared" si="1"/>
        <v>3348900</v>
      </c>
      <c r="G16" s="110">
        <v>137</v>
      </c>
      <c r="H16" s="110">
        <v>1727</v>
      </c>
      <c r="I16" s="112">
        <v>1</v>
      </c>
      <c r="J16" s="160">
        <v>24</v>
      </c>
      <c r="K16" s="161">
        <v>19.2</v>
      </c>
      <c r="L16" s="162">
        <v>22</v>
      </c>
      <c r="M16" s="163">
        <v>1.26</v>
      </c>
      <c r="N16" s="123">
        <v>26.18</v>
      </c>
      <c r="O16" s="117" t="s">
        <v>215</v>
      </c>
      <c r="P16" s="118" t="s">
        <v>207</v>
      </c>
      <c r="Q16" s="119">
        <v>1.14E-3</v>
      </c>
      <c r="R16" s="120">
        <v>5.1200000000000004E-3</v>
      </c>
      <c r="S16" s="120">
        <v>5.6800000000000002E-3</v>
      </c>
      <c r="T16" s="110">
        <v>496</v>
      </c>
      <c r="U16" s="118" t="s">
        <v>217</v>
      </c>
      <c r="V16" s="119">
        <v>1.2800000000000001E-3</v>
      </c>
      <c r="W16" s="110">
        <v>386</v>
      </c>
      <c r="X16" s="121">
        <v>406</v>
      </c>
      <c r="Y16" s="165">
        <v>1.93</v>
      </c>
      <c r="Z16" s="122">
        <v>1</v>
      </c>
      <c r="AA16" s="167" t="s">
        <v>226</v>
      </c>
      <c r="AB16" s="168"/>
      <c r="AC16" s="114">
        <v>3.5</v>
      </c>
      <c r="AD16" s="123">
        <v>1.73</v>
      </c>
      <c r="AE16" s="124">
        <v>1.79</v>
      </c>
      <c r="AF16" s="125">
        <v>0.96</v>
      </c>
      <c r="AG16" s="123">
        <v>0.23</v>
      </c>
      <c r="AH16" s="123">
        <v>0.48</v>
      </c>
      <c r="AI16" s="124">
        <v>1.67</v>
      </c>
      <c r="AJ16" s="125">
        <v>0.28999999999999998</v>
      </c>
      <c r="AK16" s="123">
        <v>0.49</v>
      </c>
      <c r="AL16" s="123">
        <v>0</v>
      </c>
      <c r="AM16" s="124">
        <v>0.78</v>
      </c>
      <c r="AN16" s="125">
        <v>0.2</v>
      </c>
      <c r="AO16" s="123">
        <v>0.32</v>
      </c>
      <c r="AP16" s="123">
        <v>0.68</v>
      </c>
      <c r="AQ16" s="124">
        <v>1.19</v>
      </c>
      <c r="AR16" s="125">
        <v>0.77</v>
      </c>
      <c r="AS16" s="123">
        <v>0.28000000000000003</v>
      </c>
      <c r="AT16" s="123">
        <v>0.48</v>
      </c>
      <c r="AU16" s="124">
        <v>1.53</v>
      </c>
      <c r="AV16" s="125">
        <v>0.51</v>
      </c>
      <c r="AW16" s="123">
        <v>0.49</v>
      </c>
      <c r="AX16" s="123">
        <v>0</v>
      </c>
      <c r="AY16" s="124">
        <v>1</v>
      </c>
      <c r="AZ16" s="125">
        <v>0.36</v>
      </c>
      <c r="BA16" s="123">
        <v>1.6</v>
      </c>
      <c r="BB16" s="123">
        <v>0.16</v>
      </c>
      <c r="BC16" s="124">
        <v>2.12</v>
      </c>
      <c r="BD16" s="126">
        <v>0.52</v>
      </c>
      <c r="BE16" s="125">
        <v>0.63</v>
      </c>
      <c r="BF16" s="123">
        <v>0</v>
      </c>
      <c r="BG16" s="123">
        <v>0.44</v>
      </c>
      <c r="BH16" s="124">
        <v>1.07</v>
      </c>
      <c r="BI16" s="125">
        <v>0.63</v>
      </c>
      <c r="BJ16" s="123">
        <v>0.3</v>
      </c>
      <c r="BK16" s="123">
        <v>0.57999999999999996</v>
      </c>
      <c r="BL16" s="124">
        <v>1.5</v>
      </c>
      <c r="BM16" s="125">
        <v>1.07</v>
      </c>
      <c r="BN16" s="123">
        <v>2.29</v>
      </c>
      <c r="BO16" s="123">
        <v>1.51</v>
      </c>
      <c r="BP16" s="123">
        <v>1.17</v>
      </c>
      <c r="BQ16" s="123">
        <v>1.78</v>
      </c>
      <c r="BR16" s="123">
        <v>0.84</v>
      </c>
      <c r="BS16" s="123">
        <v>3.44</v>
      </c>
      <c r="BT16" s="123">
        <v>1.67</v>
      </c>
      <c r="BU16" s="124">
        <v>1.19</v>
      </c>
      <c r="BV16" s="79">
        <v>3348900</v>
      </c>
      <c r="BW16" s="110">
        <v>137</v>
      </c>
      <c r="BX16" s="110">
        <v>1727</v>
      </c>
      <c r="BY16" s="162">
        <v>22</v>
      </c>
      <c r="BZ16" s="123">
        <v>26.18</v>
      </c>
      <c r="CA16" s="120">
        <v>5.6800000000000002E-3</v>
      </c>
      <c r="CB16" s="110">
        <v>496</v>
      </c>
      <c r="CC16" s="119">
        <v>1.2800000000000001E-3</v>
      </c>
      <c r="CD16" s="110">
        <v>386</v>
      </c>
      <c r="CE16" s="104">
        <f t="shared" si="2"/>
        <v>6.6610825256272184E-3</v>
      </c>
      <c r="CF16" s="105">
        <f t="shared" si="0"/>
        <v>1.79</v>
      </c>
    </row>
    <row r="17" spans="1:84" ht="14.25" hidden="1" customHeight="1" x14ac:dyDescent="0.25">
      <c r="A17" s="133">
        <v>16</v>
      </c>
      <c r="B17" s="134"/>
      <c r="C17" s="135" t="s">
        <v>227</v>
      </c>
      <c r="D17" s="136">
        <v>1830</v>
      </c>
      <c r="E17" s="137">
        <v>1830</v>
      </c>
      <c r="F17" s="150">
        <f t="shared" si="1"/>
        <v>3348900</v>
      </c>
      <c r="G17" s="137">
        <v>137</v>
      </c>
      <c r="H17" s="137">
        <v>1727</v>
      </c>
      <c r="I17" s="139">
        <v>1</v>
      </c>
      <c r="J17" s="169">
        <v>24</v>
      </c>
      <c r="K17" s="170">
        <v>19.2</v>
      </c>
      <c r="L17" s="162">
        <v>22</v>
      </c>
      <c r="M17" s="171">
        <v>1.26</v>
      </c>
      <c r="N17" s="150">
        <v>26.18</v>
      </c>
      <c r="O17" s="144" t="s">
        <v>215</v>
      </c>
      <c r="P17" s="145" t="s">
        <v>207</v>
      </c>
      <c r="Q17" s="146">
        <v>1.14E-3</v>
      </c>
      <c r="R17" s="147">
        <v>5.1200000000000004E-3</v>
      </c>
      <c r="S17" s="147">
        <v>5.6800000000000002E-3</v>
      </c>
      <c r="T17" s="137">
        <v>496</v>
      </c>
      <c r="U17" s="145" t="s">
        <v>217</v>
      </c>
      <c r="V17" s="146">
        <v>1.2800000000000001E-3</v>
      </c>
      <c r="W17" s="137">
        <v>386</v>
      </c>
      <c r="X17" s="148">
        <v>406</v>
      </c>
      <c r="Y17" s="172">
        <v>0.69</v>
      </c>
      <c r="Z17" s="149">
        <v>1</v>
      </c>
      <c r="AA17" s="173" t="s">
        <v>226</v>
      </c>
      <c r="AB17" s="174"/>
      <c r="AC17" s="141">
        <v>4.4000000000000004</v>
      </c>
      <c r="AD17" s="150">
        <v>1.55</v>
      </c>
      <c r="AE17" s="151">
        <v>1.56</v>
      </c>
      <c r="AF17" s="152">
        <v>0.96</v>
      </c>
      <c r="AG17" s="150">
        <v>0.23</v>
      </c>
      <c r="AH17" s="150">
        <v>0.17</v>
      </c>
      <c r="AI17" s="151">
        <v>1.36</v>
      </c>
      <c r="AJ17" s="152">
        <v>0.28999999999999998</v>
      </c>
      <c r="AK17" s="150">
        <v>0.49</v>
      </c>
      <c r="AL17" s="150">
        <v>0</v>
      </c>
      <c r="AM17" s="151">
        <v>0.78</v>
      </c>
      <c r="AN17" s="152">
        <v>0</v>
      </c>
      <c r="AO17" s="150">
        <v>0.32</v>
      </c>
      <c r="AP17" s="150">
        <v>0.26</v>
      </c>
      <c r="AQ17" s="151">
        <v>0.56999999999999995</v>
      </c>
      <c r="AR17" s="152">
        <v>0.77</v>
      </c>
      <c r="AS17" s="150">
        <v>0.28000000000000003</v>
      </c>
      <c r="AT17" s="150">
        <v>0.17</v>
      </c>
      <c r="AU17" s="151">
        <v>1.22</v>
      </c>
      <c r="AV17" s="152">
        <v>0.51</v>
      </c>
      <c r="AW17" s="150">
        <v>0.49</v>
      </c>
      <c r="AX17" s="150">
        <v>0</v>
      </c>
      <c r="AY17" s="151">
        <v>1</v>
      </c>
      <c r="AZ17" s="152">
        <v>0.36</v>
      </c>
      <c r="BA17" s="150">
        <v>1.6</v>
      </c>
      <c r="BB17" s="150">
        <v>0.06</v>
      </c>
      <c r="BC17" s="151">
        <v>2.02</v>
      </c>
      <c r="BD17" s="153">
        <v>0.52</v>
      </c>
      <c r="BE17" s="152">
        <v>0.63</v>
      </c>
      <c r="BF17" s="150">
        <v>0</v>
      </c>
      <c r="BG17" s="150">
        <v>0.16</v>
      </c>
      <c r="BH17" s="151">
        <v>0.79</v>
      </c>
      <c r="BI17" s="152">
        <v>0.63</v>
      </c>
      <c r="BJ17" s="150">
        <v>0.3</v>
      </c>
      <c r="BK17" s="150">
        <v>0.21</v>
      </c>
      <c r="BL17" s="151">
        <v>1.1299999999999999</v>
      </c>
      <c r="BM17" s="152">
        <v>1.1499999999999999</v>
      </c>
      <c r="BN17" s="150">
        <v>1.99</v>
      </c>
      <c r="BO17" s="150">
        <v>2.72</v>
      </c>
      <c r="BP17" s="150">
        <v>1.27</v>
      </c>
      <c r="BQ17" s="150">
        <v>1.55</v>
      </c>
      <c r="BR17" s="150">
        <v>0.77</v>
      </c>
      <c r="BS17" s="150">
        <v>3</v>
      </c>
      <c r="BT17" s="150">
        <v>1.98</v>
      </c>
      <c r="BU17" s="151">
        <v>1.38</v>
      </c>
      <c r="BV17" s="79">
        <v>3348900</v>
      </c>
      <c r="BW17" s="137">
        <v>137</v>
      </c>
      <c r="BX17" s="137">
        <v>1727</v>
      </c>
      <c r="BY17" s="162">
        <v>22</v>
      </c>
      <c r="BZ17" s="150">
        <v>26.18</v>
      </c>
      <c r="CA17" s="147">
        <v>5.6800000000000002E-3</v>
      </c>
      <c r="CB17" s="137">
        <v>496</v>
      </c>
      <c r="CC17" s="146">
        <v>1.2800000000000001E-3</v>
      </c>
      <c r="CD17" s="137">
        <v>386</v>
      </c>
      <c r="CE17" s="104">
        <f t="shared" si="2"/>
        <v>7.8975708986478398E-3</v>
      </c>
      <c r="CF17" s="105">
        <f t="shared" si="0"/>
        <v>1.56</v>
      </c>
    </row>
    <row r="18" spans="1:84" ht="24" hidden="1" customHeight="1" x14ac:dyDescent="0.25">
      <c r="A18" s="83">
        <v>17</v>
      </c>
      <c r="B18" s="84" t="s">
        <v>101</v>
      </c>
      <c r="C18" s="85" t="s">
        <v>228</v>
      </c>
      <c r="D18" s="86">
        <v>1800</v>
      </c>
      <c r="E18" s="87">
        <v>1590</v>
      </c>
      <c r="F18" s="88">
        <f t="shared" si="1"/>
        <v>2862000</v>
      </c>
      <c r="G18" s="87">
        <v>150</v>
      </c>
      <c r="H18" s="87">
        <v>1500</v>
      </c>
      <c r="I18" s="89">
        <v>1.1299999999999999</v>
      </c>
      <c r="J18" s="154">
        <v>24</v>
      </c>
      <c r="K18" s="155">
        <v>32.9</v>
      </c>
      <c r="L18" s="156">
        <v>32.9</v>
      </c>
      <c r="M18" s="157">
        <v>1.1499999999999999</v>
      </c>
      <c r="N18" s="88">
        <v>21.8</v>
      </c>
      <c r="O18" s="94" t="s">
        <v>215</v>
      </c>
      <c r="P18" s="95" t="s">
        <v>216</v>
      </c>
      <c r="Q18" s="96">
        <v>4.2599999999999999E-3</v>
      </c>
      <c r="R18" s="97">
        <v>1.34E-3</v>
      </c>
      <c r="S18" s="97">
        <v>9.4299999999999991E-3</v>
      </c>
      <c r="T18" s="87">
        <v>385</v>
      </c>
      <c r="U18" s="95" t="s">
        <v>217</v>
      </c>
      <c r="V18" s="96">
        <v>1.1800000000000001E-3</v>
      </c>
      <c r="W18" s="87">
        <v>385</v>
      </c>
      <c r="X18" s="98">
        <v>400</v>
      </c>
      <c r="Y18" s="158">
        <v>0.49</v>
      </c>
      <c r="Z18" s="92">
        <v>0.5</v>
      </c>
      <c r="AA18" s="175" t="s">
        <v>226</v>
      </c>
      <c r="AB18" s="176"/>
      <c r="AC18" s="177">
        <v>2</v>
      </c>
      <c r="AD18" s="117" t="s">
        <v>229</v>
      </c>
      <c r="AE18" s="178">
        <v>1.6</v>
      </c>
      <c r="AF18" s="102">
        <v>1.1399999999999999</v>
      </c>
      <c r="AG18" s="100">
        <v>0.21</v>
      </c>
      <c r="AH18" s="100">
        <v>0.12</v>
      </c>
      <c r="AI18" s="101">
        <v>1.48</v>
      </c>
      <c r="AJ18" s="102">
        <v>0.35</v>
      </c>
      <c r="AK18" s="100">
        <v>0.49</v>
      </c>
      <c r="AL18" s="100">
        <v>0</v>
      </c>
      <c r="AM18" s="101">
        <v>0.84</v>
      </c>
      <c r="AN18" s="102">
        <v>0.96</v>
      </c>
      <c r="AO18" s="100">
        <v>0.28999999999999998</v>
      </c>
      <c r="AP18" s="100">
        <v>0.34</v>
      </c>
      <c r="AQ18" s="101">
        <v>1.53</v>
      </c>
      <c r="AR18" s="102">
        <v>1.01</v>
      </c>
      <c r="AS18" s="100">
        <v>0.26</v>
      </c>
      <c r="AT18" s="100">
        <v>0.12</v>
      </c>
      <c r="AU18" s="101">
        <v>1.39</v>
      </c>
      <c r="AV18" s="102">
        <v>0.71</v>
      </c>
      <c r="AW18" s="100">
        <v>0.45</v>
      </c>
      <c r="AX18" s="100">
        <v>0</v>
      </c>
      <c r="AY18" s="101">
        <v>1.17</v>
      </c>
      <c r="AZ18" s="102">
        <v>0.44</v>
      </c>
      <c r="BA18" s="100">
        <v>0.97</v>
      </c>
      <c r="BB18" s="100">
        <v>0.04</v>
      </c>
      <c r="BC18" s="101">
        <v>1.45</v>
      </c>
      <c r="BD18" s="103">
        <v>0.65</v>
      </c>
      <c r="BE18" s="102">
        <v>1.02</v>
      </c>
      <c r="BF18" s="100">
        <v>0</v>
      </c>
      <c r="BG18" s="100">
        <v>0.11</v>
      </c>
      <c r="BH18" s="101">
        <v>1.1299999999999999</v>
      </c>
      <c r="BI18" s="102">
        <v>0.57999999999999996</v>
      </c>
      <c r="BJ18" s="100">
        <v>0.27</v>
      </c>
      <c r="BK18" s="100">
        <v>0.15</v>
      </c>
      <c r="BL18" s="101">
        <v>1</v>
      </c>
      <c r="BM18" s="102">
        <v>1.08</v>
      </c>
      <c r="BN18" s="100">
        <v>1.91</v>
      </c>
      <c r="BO18" s="100">
        <v>1.04</v>
      </c>
      <c r="BP18" s="100">
        <v>1.1499999999999999</v>
      </c>
      <c r="BQ18" s="100">
        <v>1.37</v>
      </c>
      <c r="BR18" s="100">
        <v>1.1000000000000001</v>
      </c>
      <c r="BS18" s="100">
        <v>2.4700000000000002</v>
      </c>
      <c r="BT18" s="100">
        <v>1.42</v>
      </c>
      <c r="BU18" s="101">
        <v>1.61</v>
      </c>
      <c r="BV18" s="79">
        <v>2862000</v>
      </c>
      <c r="BW18" s="87">
        <v>150</v>
      </c>
      <c r="BX18" s="87">
        <v>1500</v>
      </c>
      <c r="BY18" s="156">
        <v>32.9</v>
      </c>
      <c r="BZ18" s="88">
        <v>21.8</v>
      </c>
      <c r="CA18" s="97">
        <v>9.4299999999999991E-3</v>
      </c>
      <c r="CB18" s="87">
        <v>385</v>
      </c>
      <c r="CC18" s="96">
        <v>1.1800000000000001E-3</v>
      </c>
      <c r="CD18" s="87">
        <v>385</v>
      </c>
      <c r="CE18" s="104">
        <f t="shared" si="2"/>
        <v>5.9538784067085949E-3</v>
      </c>
      <c r="CF18" s="105">
        <f t="shared" si="0"/>
        <v>1.6</v>
      </c>
    </row>
    <row r="19" spans="1:84" ht="24" hidden="1" x14ac:dyDescent="0.25">
      <c r="A19" s="106">
        <v>18</v>
      </c>
      <c r="B19" s="107"/>
      <c r="C19" s="108" t="s">
        <v>230</v>
      </c>
      <c r="D19" s="109">
        <v>1800</v>
      </c>
      <c r="E19" s="110">
        <v>1190</v>
      </c>
      <c r="F19" s="111">
        <f t="shared" si="1"/>
        <v>2142000</v>
      </c>
      <c r="G19" s="110">
        <v>150</v>
      </c>
      <c r="H19" s="110">
        <v>1100</v>
      </c>
      <c r="I19" s="112">
        <v>1.51</v>
      </c>
      <c r="J19" s="160">
        <v>24</v>
      </c>
      <c r="K19" s="161">
        <v>32.9</v>
      </c>
      <c r="L19" s="162">
        <v>32.9</v>
      </c>
      <c r="M19" s="163">
        <v>1.1499999999999999</v>
      </c>
      <c r="N19" s="111">
        <v>21.8</v>
      </c>
      <c r="O19" s="117" t="s">
        <v>215</v>
      </c>
      <c r="P19" s="118" t="s">
        <v>216</v>
      </c>
      <c r="Q19" s="119">
        <v>4.3400000000000001E-3</v>
      </c>
      <c r="R19" s="120">
        <v>1.4E-3</v>
      </c>
      <c r="S19" s="120">
        <v>9.4599999999999997E-3</v>
      </c>
      <c r="T19" s="110">
        <v>385</v>
      </c>
      <c r="U19" s="118" t="s">
        <v>217</v>
      </c>
      <c r="V19" s="119">
        <v>1.1800000000000001E-3</v>
      </c>
      <c r="W19" s="110">
        <v>385</v>
      </c>
      <c r="X19" s="121">
        <v>400</v>
      </c>
      <c r="Y19" s="165">
        <v>0.49</v>
      </c>
      <c r="Z19" s="115">
        <v>0.5</v>
      </c>
      <c r="AA19" s="167" t="s">
        <v>226</v>
      </c>
      <c r="AB19" s="168"/>
      <c r="AC19" s="179">
        <v>2</v>
      </c>
      <c r="AD19" s="117" t="s">
        <v>229</v>
      </c>
      <c r="AE19" s="180">
        <v>1.72</v>
      </c>
      <c r="AF19" s="125">
        <v>1</v>
      </c>
      <c r="AG19" s="123">
        <v>0.21</v>
      </c>
      <c r="AH19" s="123">
        <v>0.12</v>
      </c>
      <c r="AI19" s="124">
        <v>1.33</v>
      </c>
      <c r="AJ19" s="125">
        <v>0.35</v>
      </c>
      <c r="AK19" s="123">
        <v>0.45</v>
      </c>
      <c r="AL19" s="123">
        <v>0</v>
      </c>
      <c r="AM19" s="124">
        <v>0.8</v>
      </c>
      <c r="AN19" s="125">
        <v>0.9</v>
      </c>
      <c r="AO19" s="123">
        <v>0.28999999999999998</v>
      </c>
      <c r="AP19" s="123">
        <v>0.25</v>
      </c>
      <c r="AQ19" s="124">
        <v>1.37</v>
      </c>
      <c r="AR19" s="125">
        <v>0.86</v>
      </c>
      <c r="AS19" s="123">
        <v>0.25</v>
      </c>
      <c r="AT19" s="123">
        <v>0.12</v>
      </c>
      <c r="AU19" s="124">
        <v>1.23</v>
      </c>
      <c r="AV19" s="125">
        <v>0.57999999999999996</v>
      </c>
      <c r="AW19" s="123">
        <v>0.45</v>
      </c>
      <c r="AX19" s="123">
        <v>0</v>
      </c>
      <c r="AY19" s="124">
        <v>1.03</v>
      </c>
      <c r="AZ19" s="125">
        <v>0.43</v>
      </c>
      <c r="BA19" s="123">
        <v>0.96</v>
      </c>
      <c r="BB19" s="123">
        <v>0.04</v>
      </c>
      <c r="BC19" s="124">
        <v>1.43</v>
      </c>
      <c r="BD19" s="126">
        <v>0.57999999999999996</v>
      </c>
      <c r="BE19" s="125">
        <v>0.76</v>
      </c>
      <c r="BF19" s="123">
        <v>0</v>
      </c>
      <c r="BG19" s="123">
        <v>0.11</v>
      </c>
      <c r="BH19" s="124">
        <v>0.88</v>
      </c>
      <c r="BI19" s="125">
        <v>0.57999999999999996</v>
      </c>
      <c r="BJ19" s="123">
        <v>0.27</v>
      </c>
      <c r="BK19" s="123">
        <v>0.15</v>
      </c>
      <c r="BL19" s="124">
        <v>1</v>
      </c>
      <c r="BM19" s="125">
        <v>1.3</v>
      </c>
      <c r="BN19" s="123">
        <v>2.15</v>
      </c>
      <c r="BO19" s="123">
        <v>1.26</v>
      </c>
      <c r="BP19" s="123">
        <v>1.39</v>
      </c>
      <c r="BQ19" s="123">
        <v>1.67</v>
      </c>
      <c r="BR19" s="123">
        <v>1.2</v>
      </c>
      <c r="BS19" s="123">
        <v>2.97</v>
      </c>
      <c r="BT19" s="123">
        <v>1.96</v>
      </c>
      <c r="BU19" s="124">
        <v>1.73</v>
      </c>
      <c r="BV19" s="79">
        <v>2142000</v>
      </c>
      <c r="BW19" s="110">
        <v>150</v>
      </c>
      <c r="BX19" s="110">
        <v>1100</v>
      </c>
      <c r="BY19" s="162">
        <v>32.9</v>
      </c>
      <c r="BZ19" s="111">
        <v>21.8</v>
      </c>
      <c r="CA19" s="120">
        <v>9.4599999999999997E-3</v>
      </c>
      <c r="CB19" s="110">
        <v>385</v>
      </c>
      <c r="CC19" s="119">
        <v>1.1800000000000001E-3</v>
      </c>
      <c r="CD19" s="110">
        <v>385</v>
      </c>
      <c r="CE19" s="104">
        <f t="shared" si="2"/>
        <v>1.0980392156862745E-2</v>
      </c>
      <c r="CF19" s="105">
        <f t="shared" si="0"/>
        <v>1.72</v>
      </c>
    </row>
    <row r="20" spans="1:84" ht="24" hidden="1" x14ac:dyDescent="0.25">
      <c r="A20" s="106">
        <v>19</v>
      </c>
      <c r="B20" s="107"/>
      <c r="C20" s="108" t="s">
        <v>231</v>
      </c>
      <c r="D20" s="109">
        <v>1800</v>
      </c>
      <c r="E20" s="110">
        <v>1190</v>
      </c>
      <c r="F20" s="111">
        <f t="shared" si="1"/>
        <v>2142000</v>
      </c>
      <c r="G20" s="110">
        <v>150</v>
      </c>
      <c r="H20" s="110">
        <v>1100</v>
      </c>
      <c r="I20" s="112">
        <v>1.51</v>
      </c>
      <c r="J20" s="160">
        <v>24</v>
      </c>
      <c r="K20" s="161">
        <v>32.9</v>
      </c>
      <c r="L20" s="162">
        <v>32.9</v>
      </c>
      <c r="M20" s="163">
        <v>1.1499999999999999</v>
      </c>
      <c r="N20" s="111">
        <v>21.8</v>
      </c>
      <c r="O20" s="117" t="s">
        <v>215</v>
      </c>
      <c r="P20" s="118" t="s">
        <v>216</v>
      </c>
      <c r="Q20" s="119">
        <v>4.3400000000000001E-3</v>
      </c>
      <c r="R20" s="120">
        <v>1.4E-3</v>
      </c>
      <c r="S20" s="120">
        <v>9.4599999999999997E-3</v>
      </c>
      <c r="T20" s="110">
        <v>385</v>
      </c>
      <c r="U20" s="118" t="s">
        <v>217</v>
      </c>
      <c r="V20" s="119">
        <v>1.1800000000000001E-3</v>
      </c>
      <c r="W20" s="110">
        <v>385</v>
      </c>
      <c r="X20" s="121">
        <v>400</v>
      </c>
      <c r="Y20" s="165">
        <v>0.49</v>
      </c>
      <c r="Z20" s="115">
        <v>0.5</v>
      </c>
      <c r="AA20" s="167" t="s">
        <v>226</v>
      </c>
      <c r="AB20" s="168"/>
      <c r="AC20" s="179">
        <v>2</v>
      </c>
      <c r="AD20" s="117" t="s">
        <v>229</v>
      </c>
      <c r="AE20" s="180">
        <v>1.87</v>
      </c>
      <c r="AF20" s="125">
        <v>1</v>
      </c>
      <c r="AG20" s="123">
        <v>0.21</v>
      </c>
      <c r="AH20" s="123">
        <v>0.12</v>
      </c>
      <c r="AI20" s="124">
        <v>1.33</v>
      </c>
      <c r="AJ20" s="125">
        <v>0.35</v>
      </c>
      <c r="AK20" s="123">
        <v>0.45</v>
      </c>
      <c r="AL20" s="123">
        <v>0</v>
      </c>
      <c r="AM20" s="124">
        <v>0.8</v>
      </c>
      <c r="AN20" s="125">
        <v>0.9</v>
      </c>
      <c r="AO20" s="123">
        <v>0.28999999999999998</v>
      </c>
      <c r="AP20" s="123">
        <v>0.25</v>
      </c>
      <c r="AQ20" s="124">
        <v>1.37</v>
      </c>
      <c r="AR20" s="125">
        <v>0.86</v>
      </c>
      <c r="AS20" s="123">
        <v>0.25</v>
      </c>
      <c r="AT20" s="123">
        <v>0.12</v>
      </c>
      <c r="AU20" s="124">
        <v>1.23</v>
      </c>
      <c r="AV20" s="125">
        <v>0.57999999999999996</v>
      </c>
      <c r="AW20" s="123">
        <v>0.45</v>
      </c>
      <c r="AX20" s="123">
        <v>0</v>
      </c>
      <c r="AY20" s="124">
        <v>1.03</v>
      </c>
      <c r="AZ20" s="125">
        <v>0.43</v>
      </c>
      <c r="BA20" s="123">
        <v>0.96</v>
      </c>
      <c r="BB20" s="123">
        <v>0.04</v>
      </c>
      <c r="BC20" s="124">
        <v>1.43</v>
      </c>
      <c r="BD20" s="126">
        <v>0.57999999999999996</v>
      </c>
      <c r="BE20" s="125">
        <v>0.76</v>
      </c>
      <c r="BF20" s="123">
        <v>0</v>
      </c>
      <c r="BG20" s="123">
        <v>0.11</v>
      </c>
      <c r="BH20" s="124">
        <v>0.88</v>
      </c>
      <c r="BI20" s="125">
        <v>0.57999999999999996</v>
      </c>
      <c r="BJ20" s="123">
        <v>0.27</v>
      </c>
      <c r="BK20" s="123">
        <v>0.15</v>
      </c>
      <c r="BL20" s="124">
        <v>1</v>
      </c>
      <c r="BM20" s="125">
        <v>1.41</v>
      </c>
      <c r="BN20" s="123">
        <v>2.33</v>
      </c>
      <c r="BO20" s="123">
        <v>1.37</v>
      </c>
      <c r="BP20" s="123">
        <v>1.52</v>
      </c>
      <c r="BQ20" s="123">
        <v>1.81</v>
      </c>
      <c r="BR20" s="123">
        <v>1.31</v>
      </c>
      <c r="BS20" s="123">
        <v>3.24</v>
      </c>
      <c r="BT20" s="123">
        <v>2.14</v>
      </c>
      <c r="BU20" s="124">
        <v>1.88</v>
      </c>
      <c r="BV20" s="79">
        <v>2142000</v>
      </c>
      <c r="BW20" s="110">
        <v>150</v>
      </c>
      <c r="BX20" s="110">
        <v>1100</v>
      </c>
      <c r="BY20" s="162">
        <v>32.9</v>
      </c>
      <c r="BZ20" s="111">
        <v>21.8</v>
      </c>
      <c r="CA20" s="120">
        <v>9.4599999999999997E-3</v>
      </c>
      <c r="CB20" s="110">
        <v>385</v>
      </c>
      <c r="CC20" s="119">
        <v>1.1800000000000001E-3</v>
      </c>
      <c r="CD20" s="110">
        <v>385</v>
      </c>
      <c r="CE20" s="104">
        <f t="shared" si="2"/>
        <v>1.1988795518207284E-2</v>
      </c>
      <c r="CF20" s="105">
        <f t="shared" si="0"/>
        <v>1.87</v>
      </c>
    </row>
    <row r="21" spans="1:84" ht="24" hidden="1" x14ac:dyDescent="0.25">
      <c r="A21" s="106">
        <v>20</v>
      </c>
      <c r="B21" s="107"/>
      <c r="C21" s="108" t="s">
        <v>232</v>
      </c>
      <c r="D21" s="109">
        <v>1800</v>
      </c>
      <c r="E21" s="110">
        <v>790</v>
      </c>
      <c r="F21" s="111">
        <f t="shared" si="1"/>
        <v>1422000</v>
      </c>
      <c r="G21" s="110">
        <v>150</v>
      </c>
      <c r="H21" s="110">
        <v>700</v>
      </c>
      <c r="I21" s="112">
        <v>2.2799999999999998</v>
      </c>
      <c r="J21" s="160">
        <v>24</v>
      </c>
      <c r="K21" s="161">
        <v>32.9</v>
      </c>
      <c r="L21" s="162">
        <v>32.9</v>
      </c>
      <c r="M21" s="163">
        <v>1.1499999999999999</v>
      </c>
      <c r="N21" s="111">
        <v>21.8</v>
      </c>
      <c r="O21" s="117" t="s">
        <v>215</v>
      </c>
      <c r="P21" s="118" t="s">
        <v>216</v>
      </c>
      <c r="Q21" s="119">
        <v>5.4099999999999999E-3</v>
      </c>
      <c r="R21" s="120">
        <v>1.5499999999999999E-3</v>
      </c>
      <c r="S21" s="120">
        <v>1.1480000000000001E-2</v>
      </c>
      <c r="T21" s="110">
        <v>385</v>
      </c>
      <c r="U21" s="118" t="s">
        <v>217</v>
      </c>
      <c r="V21" s="119">
        <v>1.1800000000000001E-3</v>
      </c>
      <c r="W21" s="110">
        <v>385</v>
      </c>
      <c r="X21" s="121">
        <v>400</v>
      </c>
      <c r="Y21" s="165">
        <v>0.49</v>
      </c>
      <c r="Z21" s="115">
        <v>0.5</v>
      </c>
      <c r="AA21" s="167" t="s">
        <v>226</v>
      </c>
      <c r="AB21" s="168"/>
      <c r="AC21" s="179">
        <v>2</v>
      </c>
      <c r="AD21" s="117" t="s">
        <v>229</v>
      </c>
      <c r="AE21" s="180">
        <v>1.61</v>
      </c>
      <c r="AF21" s="125">
        <v>0.87</v>
      </c>
      <c r="AG21" s="123">
        <v>0.2</v>
      </c>
      <c r="AH21" s="123">
        <v>0.12</v>
      </c>
      <c r="AI21" s="124">
        <v>1.2</v>
      </c>
      <c r="AJ21" s="125">
        <v>0.35</v>
      </c>
      <c r="AK21" s="123">
        <v>0.45</v>
      </c>
      <c r="AL21" s="123">
        <v>0</v>
      </c>
      <c r="AM21" s="124">
        <v>0.8</v>
      </c>
      <c r="AN21" s="125">
        <v>0.91</v>
      </c>
      <c r="AO21" s="123">
        <v>0.28999999999999998</v>
      </c>
      <c r="AP21" s="123">
        <v>0.16</v>
      </c>
      <c r="AQ21" s="124">
        <v>1.26</v>
      </c>
      <c r="AR21" s="125">
        <v>0.66</v>
      </c>
      <c r="AS21" s="123">
        <v>0.24</v>
      </c>
      <c r="AT21" s="123">
        <v>0.12</v>
      </c>
      <c r="AU21" s="124">
        <v>1.03</v>
      </c>
      <c r="AV21" s="125">
        <v>0.47</v>
      </c>
      <c r="AW21" s="123">
        <v>0.45</v>
      </c>
      <c r="AX21" s="123">
        <v>0</v>
      </c>
      <c r="AY21" s="124">
        <v>0.92</v>
      </c>
      <c r="AZ21" s="125">
        <v>0.39</v>
      </c>
      <c r="BA21" s="123">
        <v>0.95</v>
      </c>
      <c r="BB21" s="123">
        <v>0.04</v>
      </c>
      <c r="BC21" s="124">
        <v>1.37</v>
      </c>
      <c r="BD21" s="126">
        <v>0.52</v>
      </c>
      <c r="BE21" s="125">
        <v>0.51</v>
      </c>
      <c r="BF21" s="123">
        <v>0</v>
      </c>
      <c r="BG21" s="123">
        <v>0.11</v>
      </c>
      <c r="BH21" s="124">
        <v>0.62</v>
      </c>
      <c r="BI21" s="125">
        <v>0.57999999999999996</v>
      </c>
      <c r="BJ21" s="123">
        <v>0.27</v>
      </c>
      <c r="BK21" s="123">
        <v>0.15</v>
      </c>
      <c r="BL21" s="124">
        <v>1</v>
      </c>
      <c r="BM21" s="125">
        <v>1.35</v>
      </c>
      <c r="BN21" s="123">
        <v>2.0099999999999998</v>
      </c>
      <c r="BO21" s="123">
        <v>1.28</v>
      </c>
      <c r="BP21" s="123">
        <v>1.57</v>
      </c>
      <c r="BQ21" s="123">
        <v>1.75</v>
      </c>
      <c r="BR21" s="123">
        <v>1.17</v>
      </c>
      <c r="BS21" s="123">
        <v>3.1</v>
      </c>
      <c r="BT21" s="123">
        <v>2.6</v>
      </c>
      <c r="BU21" s="124">
        <v>1.62</v>
      </c>
      <c r="BV21" s="79">
        <v>1422000</v>
      </c>
      <c r="BW21" s="110">
        <v>150</v>
      </c>
      <c r="BX21" s="110">
        <v>700</v>
      </c>
      <c r="BY21" s="162">
        <v>32.9</v>
      </c>
      <c r="BZ21" s="111">
        <v>21.8</v>
      </c>
      <c r="CA21" s="120">
        <v>1.1480000000000001E-2</v>
      </c>
      <c r="CB21" s="110">
        <v>385</v>
      </c>
      <c r="CC21" s="119">
        <v>1.1800000000000001E-3</v>
      </c>
      <c r="CD21" s="110">
        <v>385</v>
      </c>
      <c r="CE21" s="104">
        <f t="shared" si="2"/>
        <v>2.1940928270042195E-2</v>
      </c>
      <c r="CF21" s="105">
        <f t="shared" si="0"/>
        <v>1.61</v>
      </c>
    </row>
    <row r="22" spans="1:84" ht="14.25" hidden="1" customHeight="1" x14ac:dyDescent="0.25">
      <c r="A22" s="106">
        <v>21</v>
      </c>
      <c r="B22" s="107"/>
      <c r="C22" s="108" t="s">
        <v>233</v>
      </c>
      <c r="D22" s="109">
        <v>1800</v>
      </c>
      <c r="E22" s="110">
        <v>1190</v>
      </c>
      <c r="F22" s="111">
        <f t="shared" si="1"/>
        <v>2142000</v>
      </c>
      <c r="G22" s="110">
        <v>190</v>
      </c>
      <c r="H22" s="110">
        <v>1095</v>
      </c>
      <c r="I22" s="112">
        <v>1.51</v>
      </c>
      <c r="J22" s="160">
        <v>24</v>
      </c>
      <c r="K22" s="161">
        <v>32.9</v>
      </c>
      <c r="L22" s="162">
        <v>32.9</v>
      </c>
      <c r="M22" s="163">
        <v>1.17</v>
      </c>
      <c r="N22" s="111">
        <v>22.3</v>
      </c>
      <c r="O22" s="117" t="s">
        <v>215</v>
      </c>
      <c r="P22" s="118" t="s">
        <v>216</v>
      </c>
      <c r="Q22" s="119">
        <v>2.5400000000000002E-3</v>
      </c>
      <c r="R22" s="120">
        <v>1.1100000000000001E-3</v>
      </c>
      <c r="S22" s="120">
        <v>5.7099999999999998E-3</v>
      </c>
      <c r="T22" s="110">
        <v>385</v>
      </c>
      <c r="U22" s="118" t="s">
        <v>217</v>
      </c>
      <c r="V22" s="119">
        <v>0</v>
      </c>
      <c r="W22" s="110">
        <v>385</v>
      </c>
      <c r="X22" s="121">
        <v>400</v>
      </c>
      <c r="Y22" s="165">
        <v>1.96</v>
      </c>
      <c r="Z22" s="115">
        <v>0.5</v>
      </c>
      <c r="AA22" s="167" t="s">
        <v>226</v>
      </c>
      <c r="AB22" s="168"/>
      <c r="AC22" s="114">
        <v>1</v>
      </c>
      <c r="AD22" s="117" t="s">
        <v>229</v>
      </c>
      <c r="AE22" s="180">
        <v>1.7</v>
      </c>
      <c r="AF22" s="125">
        <v>1</v>
      </c>
      <c r="AG22" s="123">
        <v>0</v>
      </c>
      <c r="AH22" s="123">
        <v>0.49</v>
      </c>
      <c r="AI22" s="124">
        <v>1.49</v>
      </c>
      <c r="AJ22" s="125">
        <v>0.38</v>
      </c>
      <c r="AK22" s="123">
        <v>0</v>
      </c>
      <c r="AL22" s="123">
        <v>0</v>
      </c>
      <c r="AM22" s="124">
        <v>0.38</v>
      </c>
      <c r="AN22" s="125">
        <v>1.1200000000000001</v>
      </c>
      <c r="AO22" s="123">
        <v>0</v>
      </c>
      <c r="AP22" s="123">
        <v>0.98</v>
      </c>
      <c r="AQ22" s="124">
        <v>2.0099999999999998</v>
      </c>
      <c r="AR22" s="125">
        <v>0.86</v>
      </c>
      <c r="AS22" s="123">
        <v>0</v>
      </c>
      <c r="AT22" s="123">
        <v>0.49</v>
      </c>
      <c r="AU22" s="124">
        <v>1.35</v>
      </c>
      <c r="AV22" s="125">
        <v>0.57999999999999996</v>
      </c>
      <c r="AW22" s="123">
        <v>0</v>
      </c>
      <c r="AX22" s="123">
        <v>0</v>
      </c>
      <c r="AY22" s="124">
        <v>0.57999999999999996</v>
      </c>
      <c r="AZ22" s="125">
        <v>0.38</v>
      </c>
      <c r="BA22" s="123">
        <v>0.44</v>
      </c>
      <c r="BB22" s="123">
        <v>0.16</v>
      </c>
      <c r="BC22" s="124">
        <v>0.99</v>
      </c>
      <c r="BD22" s="126">
        <v>0.21</v>
      </c>
      <c r="BE22" s="125">
        <v>0.77</v>
      </c>
      <c r="BF22" s="123">
        <v>0</v>
      </c>
      <c r="BG22" s="123">
        <v>0.45</v>
      </c>
      <c r="BH22" s="124">
        <v>1.22</v>
      </c>
      <c r="BI22" s="125">
        <v>0.57999999999999996</v>
      </c>
      <c r="BJ22" s="123">
        <v>0</v>
      </c>
      <c r="BK22" s="123">
        <v>0.59</v>
      </c>
      <c r="BL22" s="124">
        <v>1.17</v>
      </c>
      <c r="BM22" s="125">
        <v>1.1399999999999999</v>
      </c>
      <c r="BN22" s="123">
        <v>4.43</v>
      </c>
      <c r="BO22" s="123">
        <v>0.84</v>
      </c>
      <c r="BP22" s="123">
        <v>1.25</v>
      </c>
      <c r="BQ22" s="123">
        <v>2.91</v>
      </c>
      <c r="BR22" s="123">
        <v>1.72</v>
      </c>
      <c r="BS22" s="123">
        <v>8.24</v>
      </c>
      <c r="BT22" s="123">
        <v>1.39</v>
      </c>
      <c r="BU22" s="124">
        <v>1.45</v>
      </c>
      <c r="BV22" s="79">
        <v>2142000</v>
      </c>
      <c r="BW22" s="110">
        <v>190</v>
      </c>
      <c r="BX22" s="110">
        <v>1095</v>
      </c>
      <c r="BY22" s="162">
        <v>32.9</v>
      </c>
      <c r="BZ22" s="111">
        <v>22.3</v>
      </c>
      <c r="CA22" s="120">
        <v>5.7099999999999998E-3</v>
      </c>
      <c r="CB22" s="110">
        <v>385</v>
      </c>
      <c r="CC22" s="119">
        <v>0</v>
      </c>
      <c r="CD22" s="110">
        <v>385</v>
      </c>
      <c r="CE22" s="104">
        <f t="shared" si="2"/>
        <v>6.1477222467934542E-3</v>
      </c>
      <c r="CF22" s="105">
        <f t="shared" si="0"/>
        <v>1.7</v>
      </c>
    </row>
    <row r="23" spans="1:84" ht="14.25" hidden="1" customHeight="1" x14ac:dyDescent="0.25">
      <c r="A23" s="106">
        <v>22</v>
      </c>
      <c r="B23" s="107"/>
      <c r="C23" s="108" t="s">
        <v>234</v>
      </c>
      <c r="D23" s="109">
        <v>1800</v>
      </c>
      <c r="E23" s="110">
        <v>1190</v>
      </c>
      <c r="F23" s="111">
        <f t="shared" si="1"/>
        <v>2142000</v>
      </c>
      <c r="G23" s="110">
        <v>190</v>
      </c>
      <c r="H23" s="110">
        <v>1095</v>
      </c>
      <c r="I23" s="112">
        <v>1.51</v>
      </c>
      <c r="J23" s="160">
        <v>24</v>
      </c>
      <c r="K23" s="161">
        <v>32.9</v>
      </c>
      <c r="L23" s="162">
        <v>32.9</v>
      </c>
      <c r="M23" s="163">
        <v>1.17</v>
      </c>
      <c r="N23" s="111">
        <v>22.3</v>
      </c>
      <c r="O23" s="117" t="s">
        <v>215</v>
      </c>
      <c r="P23" s="118" t="s">
        <v>216</v>
      </c>
      <c r="Q23" s="119">
        <v>2.5400000000000002E-3</v>
      </c>
      <c r="R23" s="120">
        <v>1.1100000000000001E-3</v>
      </c>
      <c r="S23" s="120">
        <v>5.7099999999999998E-3</v>
      </c>
      <c r="T23" s="110">
        <v>385</v>
      </c>
      <c r="U23" s="118" t="s">
        <v>217</v>
      </c>
      <c r="V23" s="119">
        <v>1.67E-3</v>
      </c>
      <c r="W23" s="110">
        <v>385</v>
      </c>
      <c r="X23" s="121">
        <v>400</v>
      </c>
      <c r="Y23" s="165">
        <v>1.96</v>
      </c>
      <c r="Z23" s="115">
        <v>0.5</v>
      </c>
      <c r="AA23" s="167" t="s">
        <v>226</v>
      </c>
      <c r="AB23" s="168"/>
      <c r="AC23" s="114">
        <v>1.1000000000000001</v>
      </c>
      <c r="AD23" s="117" t="s">
        <v>229</v>
      </c>
      <c r="AE23" s="180">
        <v>1.89</v>
      </c>
      <c r="AF23" s="125">
        <v>1</v>
      </c>
      <c r="AG23" s="123">
        <v>0.3</v>
      </c>
      <c r="AH23" s="123">
        <v>0.49</v>
      </c>
      <c r="AI23" s="124">
        <v>1.75</v>
      </c>
      <c r="AJ23" s="125">
        <v>0.38</v>
      </c>
      <c r="AK23" s="123">
        <v>0.64</v>
      </c>
      <c r="AL23" s="123">
        <v>0</v>
      </c>
      <c r="AM23" s="124">
        <v>1.03</v>
      </c>
      <c r="AN23" s="125">
        <v>1.1200000000000001</v>
      </c>
      <c r="AO23" s="123">
        <v>0.41</v>
      </c>
      <c r="AP23" s="123">
        <v>0.98</v>
      </c>
      <c r="AQ23" s="124">
        <v>2.13</v>
      </c>
      <c r="AR23" s="125">
        <v>0.86</v>
      </c>
      <c r="AS23" s="123">
        <v>0.35</v>
      </c>
      <c r="AT23" s="123">
        <v>0.49</v>
      </c>
      <c r="AU23" s="124">
        <v>1.51</v>
      </c>
      <c r="AV23" s="125">
        <v>0.57999999999999996</v>
      </c>
      <c r="AW23" s="123">
        <v>0.64</v>
      </c>
      <c r="AX23" s="123">
        <v>0</v>
      </c>
      <c r="AY23" s="124">
        <v>1.23</v>
      </c>
      <c r="AZ23" s="125">
        <v>0.38</v>
      </c>
      <c r="BA23" s="123">
        <v>0.99</v>
      </c>
      <c r="BB23" s="123">
        <v>0.16</v>
      </c>
      <c r="BC23" s="124">
        <v>1.53</v>
      </c>
      <c r="BD23" s="126">
        <v>0.57999999999999996</v>
      </c>
      <c r="BE23" s="125">
        <v>0.77</v>
      </c>
      <c r="BF23" s="123">
        <v>0</v>
      </c>
      <c r="BG23" s="123">
        <v>0.45</v>
      </c>
      <c r="BH23" s="124">
        <v>1.22</v>
      </c>
      <c r="BI23" s="125">
        <v>0.57999999999999996</v>
      </c>
      <c r="BJ23" s="123">
        <v>0.35</v>
      </c>
      <c r="BK23" s="123">
        <v>0.59</v>
      </c>
      <c r="BL23" s="124">
        <v>1.52</v>
      </c>
      <c r="BM23" s="125">
        <v>1.08</v>
      </c>
      <c r="BN23" s="123">
        <v>1.84</v>
      </c>
      <c r="BO23" s="123">
        <v>0.89</v>
      </c>
      <c r="BP23" s="123">
        <v>1.25</v>
      </c>
      <c r="BQ23" s="123">
        <v>1.54</v>
      </c>
      <c r="BR23" s="123">
        <v>1.23</v>
      </c>
      <c r="BS23" s="123">
        <v>3.27</v>
      </c>
      <c r="BT23" s="123">
        <v>1.55</v>
      </c>
      <c r="BU23" s="124">
        <v>1.24</v>
      </c>
      <c r="BV23" s="79">
        <v>2142000</v>
      </c>
      <c r="BW23" s="110">
        <v>190</v>
      </c>
      <c r="BX23" s="110">
        <v>1095</v>
      </c>
      <c r="BY23" s="162">
        <v>32.9</v>
      </c>
      <c r="BZ23" s="111">
        <v>22.3</v>
      </c>
      <c r="CA23" s="120">
        <v>5.7099999999999998E-3</v>
      </c>
      <c r="CB23" s="110">
        <v>385</v>
      </c>
      <c r="CC23" s="119">
        <v>1.67E-3</v>
      </c>
      <c r="CD23" s="110">
        <v>385</v>
      </c>
      <c r="CE23" s="104">
        <f t="shared" si="2"/>
        <v>6.8553737284387448E-3</v>
      </c>
      <c r="CF23" s="105">
        <f t="shared" si="0"/>
        <v>1.89</v>
      </c>
    </row>
    <row r="24" spans="1:84" ht="14.25" hidden="1" customHeight="1" x14ac:dyDescent="0.25">
      <c r="A24" s="106">
        <v>23</v>
      </c>
      <c r="B24" s="107"/>
      <c r="C24" s="108" t="s">
        <v>235</v>
      </c>
      <c r="D24" s="109">
        <v>1800</v>
      </c>
      <c r="E24" s="110">
        <v>1190</v>
      </c>
      <c r="F24" s="111">
        <f t="shared" si="1"/>
        <v>2142000</v>
      </c>
      <c r="G24" s="110">
        <v>190</v>
      </c>
      <c r="H24" s="110">
        <v>1095</v>
      </c>
      <c r="I24" s="112">
        <v>1.51</v>
      </c>
      <c r="J24" s="160">
        <v>24</v>
      </c>
      <c r="K24" s="161">
        <v>32.9</v>
      </c>
      <c r="L24" s="162">
        <v>32.9</v>
      </c>
      <c r="M24" s="163">
        <v>1.17</v>
      </c>
      <c r="N24" s="111">
        <v>22.3</v>
      </c>
      <c r="O24" s="117" t="s">
        <v>215</v>
      </c>
      <c r="P24" s="118" t="s">
        <v>216</v>
      </c>
      <c r="Q24" s="119">
        <v>2.5400000000000002E-3</v>
      </c>
      <c r="R24" s="120">
        <v>1.1100000000000001E-3</v>
      </c>
      <c r="S24" s="120">
        <v>5.7099999999999998E-3</v>
      </c>
      <c r="T24" s="110">
        <v>385</v>
      </c>
      <c r="U24" s="118" t="s">
        <v>217</v>
      </c>
      <c r="V24" s="119">
        <v>3.3400000000000001E-3</v>
      </c>
      <c r="W24" s="110">
        <v>385</v>
      </c>
      <c r="X24" s="121">
        <v>400</v>
      </c>
      <c r="Y24" s="165">
        <v>1.96</v>
      </c>
      <c r="Z24" s="115">
        <v>0.5</v>
      </c>
      <c r="AA24" s="167" t="s">
        <v>226</v>
      </c>
      <c r="AB24" s="168"/>
      <c r="AC24" s="114">
        <v>3.4</v>
      </c>
      <c r="AD24" s="117" t="s">
        <v>229</v>
      </c>
      <c r="AE24" s="180">
        <v>2.2799999999999998</v>
      </c>
      <c r="AF24" s="125">
        <v>1</v>
      </c>
      <c r="AG24" s="123">
        <v>0.59</v>
      </c>
      <c r="AH24" s="123">
        <v>0.49</v>
      </c>
      <c r="AI24" s="124">
        <v>1.75</v>
      </c>
      <c r="AJ24" s="125">
        <v>0.38</v>
      </c>
      <c r="AK24" s="123">
        <v>1.29</v>
      </c>
      <c r="AL24" s="123">
        <v>0</v>
      </c>
      <c r="AM24" s="124">
        <v>1.67</v>
      </c>
      <c r="AN24" s="125">
        <v>0.26</v>
      </c>
      <c r="AO24" s="123">
        <v>0.82</v>
      </c>
      <c r="AP24" s="123">
        <v>0.98</v>
      </c>
      <c r="AQ24" s="124">
        <v>2.04</v>
      </c>
      <c r="AR24" s="125">
        <v>0.86</v>
      </c>
      <c r="AS24" s="123">
        <v>0.71</v>
      </c>
      <c r="AT24" s="123">
        <v>0.49</v>
      </c>
      <c r="AU24" s="124">
        <v>1.51</v>
      </c>
      <c r="AV24" s="125">
        <v>0.57999999999999996</v>
      </c>
      <c r="AW24" s="123">
        <v>1.29</v>
      </c>
      <c r="AX24" s="123">
        <v>0</v>
      </c>
      <c r="AY24" s="124">
        <v>1.87</v>
      </c>
      <c r="AZ24" s="125">
        <v>0.38</v>
      </c>
      <c r="BA24" s="123">
        <v>1.22</v>
      </c>
      <c r="BB24" s="123">
        <v>0.16</v>
      </c>
      <c r="BC24" s="124">
        <v>1.76</v>
      </c>
      <c r="BD24" s="126">
        <v>0.57999999999999996</v>
      </c>
      <c r="BE24" s="125">
        <v>0.77</v>
      </c>
      <c r="BF24" s="123">
        <v>0</v>
      </c>
      <c r="BG24" s="123">
        <v>0.45</v>
      </c>
      <c r="BH24" s="124">
        <v>1.22</v>
      </c>
      <c r="BI24" s="125">
        <v>0.57999999999999996</v>
      </c>
      <c r="BJ24" s="123">
        <v>0.26</v>
      </c>
      <c r="BK24" s="123">
        <v>0.59</v>
      </c>
      <c r="BL24" s="124">
        <v>1.43</v>
      </c>
      <c r="BM24" s="125">
        <v>1.3</v>
      </c>
      <c r="BN24" s="123">
        <v>1.37</v>
      </c>
      <c r="BO24" s="123">
        <v>1.1200000000000001</v>
      </c>
      <c r="BP24" s="123">
        <v>1.51</v>
      </c>
      <c r="BQ24" s="123">
        <v>1.22</v>
      </c>
      <c r="BR24" s="123">
        <v>1.3</v>
      </c>
      <c r="BS24" s="123">
        <v>3.96</v>
      </c>
      <c r="BT24" s="123">
        <v>1.87</v>
      </c>
      <c r="BU24" s="124">
        <v>1.6</v>
      </c>
      <c r="BV24" s="79">
        <v>2142000</v>
      </c>
      <c r="BW24" s="110">
        <v>190</v>
      </c>
      <c r="BX24" s="110">
        <v>1095</v>
      </c>
      <c r="BY24" s="162">
        <v>32.9</v>
      </c>
      <c r="BZ24" s="111">
        <v>22.3</v>
      </c>
      <c r="CA24" s="120">
        <v>5.7099999999999998E-3</v>
      </c>
      <c r="CB24" s="110">
        <v>385</v>
      </c>
      <c r="CC24" s="119">
        <v>3.3400000000000001E-3</v>
      </c>
      <c r="CD24" s="110">
        <v>385</v>
      </c>
      <c r="CE24" s="104">
        <f t="shared" si="2"/>
        <v>8.2706766917293242E-3</v>
      </c>
      <c r="CF24" s="105">
        <f t="shared" si="0"/>
        <v>2.2799999999999998</v>
      </c>
    </row>
    <row r="25" spans="1:84" ht="14.25" hidden="1" customHeight="1" x14ac:dyDescent="0.25">
      <c r="A25" s="106">
        <v>24</v>
      </c>
      <c r="B25" s="107"/>
      <c r="C25" s="108" t="s">
        <v>236</v>
      </c>
      <c r="D25" s="109">
        <v>1800</v>
      </c>
      <c r="E25" s="110">
        <v>1190</v>
      </c>
      <c r="F25" s="111">
        <f t="shared" si="1"/>
        <v>2142000</v>
      </c>
      <c r="G25" s="110">
        <v>190</v>
      </c>
      <c r="H25" s="110">
        <v>1095</v>
      </c>
      <c r="I25" s="112">
        <v>1.51</v>
      </c>
      <c r="J25" s="160">
        <v>24</v>
      </c>
      <c r="K25" s="161">
        <v>32.9</v>
      </c>
      <c r="L25" s="162">
        <v>32.9</v>
      </c>
      <c r="M25" s="163">
        <v>1.17</v>
      </c>
      <c r="N25" s="111">
        <v>22.3</v>
      </c>
      <c r="O25" s="117" t="s">
        <v>215</v>
      </c>
      <c r="P25" s="118" t="s">
        <v>216</v>
      </c>
      <c r="Q25" s="119">
        <v>4.4799999999999996E-3</v>
      </c>
      <c r="R25" s="120">
        <v>1.1100000000000001E-3</v>
      </c>
      <c r="S25" s="120">
        <v>9.5899999999999996E-3</v>
      </c>
      <c r="T25" s="110">
        <v>385</v>
      </c>
      <c r="U25" s="118" t="s">
        <v>217</v>
      </c>
      <c r="V25" s="119">
        <v>3.3400000000000001E-3</v>
      </c>
      <c r="W25" s="110">
        <v>385</v>
      </c>
      <c r="X25" s="121">
        <v>400</v>
      </c>
      <c r="Y25" s="165">
        <v>1.96</v>
      </c>
      <c r="Z25" s="115">
        <v>0.5</v>
      </c>
      <c r="AA25" s="167" t="s">
        <v>226</v>
      </c>
      <c r="AB25" s="168"/>
      <c r="AC25" s="114">
        <v>1.3</v>
      </c>
      <c r="AD25" s="117" t="s">
        <v>229</v>
      </c>
      <c r="AE25" s="180">
        <v>2.29</v>
      </c>
      <c r="AF25" s="125">
        <v>1</v>
      </c>
      <c r="AG25" s="123">
        <v>0.59</v>
      </c>
      <c r="AH25" s="123">
        <v>0.49</v>
      </c>
      <c r="AI25" s="124">
        <v>1.75</v>
      </c>
      <c r="AJ25" s="125">
        <v>0.38</v>
      </c>
      <c r="AK25" s="123">
        <v>1.29</v>
      </c>
      <c r="AL25" s="123">
        <v>0</v>
      </c>
      <c r="AM25" s="124">
        <v>1.67</v>
      </c>
      <c r="AN25" s="125">
        <v>1.25</v>
      </c>
      <c r="AO25" s="123">
        <v>0.82</v>
      </c>
      <c r="AP25" s="123">
        <v>0.96</v>
      </c>
      <c r="AQ25" s="124">
        <v>2.13</v>
      </c>
      <c r="AR25" s="125">
        <v>0.86</v>
      </c>
      <c r="AS25" s="123">
        <v>0.71</v>
      </c>
      <c r="AT25" s="123">
        <v>0.49</v>
      </c>
      <c r="AU25" s="124">
        <v>1.51</v>
      </c>
      <c r="AV25" s="125">
        <v>0.57999999999999996</v>
      </c>
      <c r="AW25" s="123">
        <v>1.29</v>
      </c>
      <c r="AX25" s="123">
        <v>0</v>
      </c>
      <c r="AY25" s="124">
        <v>1.87</v>
      </c>
      <c r="AZ25" s="125">
        <v>0.44</v>
      </c>
      <c r="BA25" s="123">
        <v>1.22</v>
      </c>
      <c r="BB25" s="123">
        <v>0.16</v>
      </c>
      <c r="BC25" s="124">
        <v>1.81</v>
      </c>
      <c r="BD25" s="126">
        <v>0.57999999999999996</v>
      </c>
      <c r="BE25" s="125">
        <v>0.77</v>
      </c>
      <c r="BF25" s="123">
        <v>0</v>
      </c>
      <c r="BG25" s="123">
        <v>0.45</v>
      </c>
      <c r="BH25" s="124">
        <v>1.22</v>
      </c>
      <c r="BI25" s="125">
        <v>0.57999999999999996</v>
      </c>
      <c r="BJ25" s="123">
        <v>0.26</v>
      </c>
      <c r="BK25" s="123">
        <v>0.59</v>
      </c>
      <c r="BL25" s="124">
        <v>1.43</v>
      </c>
      <c r="BM25" s="125">
        <v>1.31</v>
      </c>
      <c r="BN25" s="123">
        <v>1.37</v>
      </c>
      <c r="BO25" s="123">
        <v>1.08</v>
      </c>
      <c r="BP25" s="123">
        <v>1.52</v>
      </c>
      <c r="BQ25" s="123">
        <v>1.23</v>
      </c>
      <c r="BR25" s="123">
        <v>1.26</v>
      </c>
      <c r="BS25" s="123">
        <v>3.97</v>
      </c>
      <c r="BT25" s="123">
        <v>1.87</v>
      </c>
      <c r="BU25" s="124">
        <v>1.6</v>
      </c>
      <c r="BV25" s="79">
        <v>2142000</v>
      </c>
      <c r="BW25" s="110">
        <v>190</v>
      </c>
      <c r="BX25" s="110">
        <v>1095</v>
      </c>
      <c r="BY25" s="162">
        <v>32.9</v>
      </c>
      <c r="BZ25" s="111">
        <v>22.3</v>
      </c>
      <c r="CA25" s="120">
        <v>9.5899999999999996E-3</v>
      </c>
      <c r="CB25" s="110">
        <v>385</v>
      </c>
      <c r="CC25" s="119">
        <v>3.3400000000000001E-3</v>
      </c>
      <c r="CD25" s="110">
        <v>385</v>
      </c>
      <c r="CE25" s="104">
        <f t="shared" si="2"/>
        <v>8.2706766917293242E-3</v>
      </c>
      <c r="CF25" s="105">
        <f t="shared" si="0"/>
        <v>2.29</v>
      </c>
    </row>
    <row r="26" spans="1:84" ht="14.25" hidden="1" customHeight="1" x14ac:dyDescent="0.25">
      <c r="A26" s="127">
        <v>25</v>
      </c>
      <c r="B26" s="107"/>
      <c r="C26" s="108" t="s">
        <v>237</v>
      </c>
      <c r="D26" s="132">
        <v>1800</v>
      </c>
      <c r="E26" s="129">
        <v>1190</v>
      </c>
      <c r="F26" s="111">
        <f t="shared" si="1"/>
        <v>2142000</v>
      </c>
      <c r="G26" s="129">
        <v>190</v>
      </c>
      <c r="H26" s="129">
        <v>1095</v>
      </c>
      <c r="I26" s="130">
        <v>1.51</v>
      </c>
      <c r="J26" s="160">
        <v>24</v>
      </c>
      <c r="K26" s="161">
        <v>32.9</v>
      </c>
      <c r="L26" s="162">
        <v>32.9</v>
      </c>
      <c r="M26" s="163">
        <v>1.17</v>
      </c>
      <c r="N26" s="111">
        <v>22.3</v>
      </c>
      <c r="O26" s="117" t="s">
        <v>215</v>
      </c>
      <c r="P26" s="118" t="s">
        <v>216</v>
      </c>
      <c r="Q26" s="119">
        <v>4.4799999999999996E-3</v>
      </c>
      <c r="R26" s="120">
        <v>1.1100000000000001E-3</v>
      </c>
      <c r="S26" s="120">
        <v>9.5899999999999996E-3</v>
      </c>
      <c r="T26" s="110">
        <v>385</v>
      </c>
      <c r="U26" s="118" t="s">
        <v>217</v>
      </c>
      <c r="V26" s="119">
        <v>6.6800000000000002E-3</v>
      </c>
      <c r="W26" s="110">
        <v>385</v>
      </c>
      <c r="X26" s="121">
        <v>400</v>
      </c>
      <c r="Y26" s="165">
        <v>1.96</v>
      </c>
      <c r="Z26" s="115">
        <v>0.5</v>
      </c>
      <c r="AA26" s="167" t="s">
        <v>226</v>
      </c>
      <c r="AB26" s="168"/>
      <c r="AC26" s="114">
        <v>2.2999999999999998</v>
      </c>
      <c r="AD26" s="117" t="s">
        <v>229</v>
      </c>
      <c r="AE26" s="180">
        <v>2.93</v>
      </c>
      <c r="AF26" s="125">
        <v>1</v>
      </c>
      <c r="AG26" s="123">
        <v>1.18</v>
      </c>
      <c r="AH26" s="123">
        <v>0.49</v>
      </c>
      <c r="AI26" s="124">
        <v>1.75</v>
      </c>
      <c r="AJ26" s="125">
        <v>0.38</v>
      </c>
      <c r="AK26" s="123">
        <v>2.57</v>
      </c>
      <c r="AL26" s="123">
        <v>0</v>
      </c>
      <c r="AM26" s="124">
        <v>2</v>
      </c>
      <c r="AN26" s="125">
        <v>0.79</v>
      </c>
      <c r="AO26" s="123">
        <v>1.65</v>
      </c>
      <c r="AP26" s="123">
        <v>0.96</v>
      </c>
      <c r="AQ26" s="124">
        <v>2.13</v>
      </c>
      <c r="AR26" s="125">
        <v>0.86</v>
      </c>
      <c r="AS26" s="123">
        <v>1.42</v>
      </c>
      <c r="AT26" s="123">
        <v>0.49</v>
      </c>
      <c r="AU26" s="124">
        <v>1.51</v>
      </c>
      <c r="AV26" s="125">
        <v>0.57999999999999996</v>
      </c>
      <c r="AW26" s="123">
        <v>2.57</v>
      </c>
      <c r="AX26" s="123">
        <v>0</v>
      </c>
      <c r="AY26" s="124">
        <v>3.16</v>
      </c>
      <c r="AZ26" s="125">
        <v>0.44</v>
      </c>
      <c r="BA26" s="123">
        <v>1.54</v>
      </c>
      <c r="BB26" s="123">
        <v>0.16</v>
      </c>
      <c r="BC26" s="124">
        <v>2.13</v>
      </c>
      <c r="BD26" s="126">
        <v>0.57999999999999996</v>
      </c>
      <c r="BE26" s="125">
        <v>0.77</v>
      </c>
      <c r="BF26" s="123">
        <v>0</v>
      </c>
      <c r="BG26" s="123">
        <v>0.45</v>
      </c>
      <c r="BH26" s="124">
        <v>1.22</v>
      </c>
      <c r="BI26" s="125">
        <v>0.57999999999999996</v>
      </c>
      <c r="BJ26" s="123">
        <v>0.51</v>
      </c>
      <c r="BK26" s="123">
        <v>0.59</v>
      </c>
      <c r="BL26" s="124">
        <v>1.69</v>
      </c>
      <c r="BM26" s="125">
        <v>1.67</v>
      </c>
      <c r="BN26" s="123">
        <v>1.46</v>
      </c>
      <c r="BO26" s="123">
        <v>1.38</v>
      </c>
      <c r="BP26" s="123">
        <v>1.94</v>
      </c>
      <c r="BQ26" s="123">
        <v>0.93</v>
      </c>
      <c r="BR26" s="123">
        <v>1.37</v>
      </c>
      <c r="BS26" s="123">
        <v>5.07</v>
      </c>
      <c r="BT26" s="123">
        <v>2.4</v>
      </c>
      <c r="BU26" s="124">
        <v>1.74</v>
      </c>
      <c r="BV26" s="79">
        <v>2142000</v>
      </c>
      <c r="BW26" s="129">
        <v>190</v>
      </c>
      <c r="BX26" s="129">
        <v>1095</v>
      </c>
      <c r="BY26" s="162">
        <v>32.9</v>
      </c>
      <c r="BZ26" s="111">
        <v>22.3</v>
      </c>
      <c r="CA26" s="120">
        <v>9.5899999999999996E-3</v>
      </c>
      <c r="CB26" s="110">
        <v>385</v>
      </c>
      <c r="CC26" s="119">
        <v>6.6800000000000002E-3</v>
      </c>
      <c r="CD26" s="110">
        <v>385</v>
      </c>
      <c r="CE26" s="104">
        <f t="shared" si="2"/>
        <v>1.0614772224679346E-2</v>
      </c>
      <c r="CF26" s="105">
        <f t="shared" si="0"/>
        <v>2.93</v>
      </c>
    </row>
    <row r="27" spans="1:84" ht="24" hidden="1" x14ac:dyDescent="0.25">
      <c r="A27" s="127">
        <v>26</v>
      </c>
      <c r="B27" s="107"/>
      <c r="C27" s="108" t="s">
        <v>238</v>
      </c>
      <c r="D27" s="132">
        <v>1800</v>
      </c>
      <c r="E27" s="129">
        <v>1190</v>
      </c>
      <c r="F27" s="111">
        <f t="shared" si="1"/>
        <v>2142000</v>
      </c>
      <c r="G27" s="129">
        <v>190</v>
      </c>
      <c r="H27" s="129">
        <v>1095</v>
      </c>
      <c r="I27" s="130">
        <v>1.51</v>
      </c>
      <c r="J27" s="160">
        <v>24</v>
      </c>
      <c r="K27" s="161">
        <v>32.9</v>
      </c>
      <c r="L27" s="162">
        <v>32.9</v>
      </c>
      <c r="M27" s="163">
        <v>1.32</v>
      </c>
      <c r="N27" s="111">
        <v>29</v>
      </c>
      <c r="O27" s="117" t="s">
        <v>215</v>
      </c>
      <c r="P27" s="118" t="s">
        <v>216</v>
      </c>
      <c r="Q27" s="119">
        <v>4.4799999999999996E-3</v>
      </c>
      <c r="R27" s="120">
        <v>1.1100000000000001E-3</v>
      </c>
      <c r="S27" s="120">
        <v>9.5899999999999996E-3</v>
      </c>
      <c r="T27" s="110">
        <v>385</v>
      </c>
      <c r="U27" s="118" t="s">
        <v>217</v>
      </c>
      <c r="V27" s="119">
        <v>3.3400000000000001E-3</v>
      </c>
      <c r="W27" s="110">
        <v>385</v>
      </c>
      <c r="X27" s="121">
        <v>400</v>
      </c>
      <c r="Y27" s="165">
        <v>1.96</v>
      </c>
      <c r="Z27" s="115">
        <v>0.5</v>
      </c>
      <c r="AA27" s="167" t="s">
        <v>226</v>
      </c>
      <c r="AB27" s="168"/>
      <c r="AC27" s="179">
        <v>2</v>
      </c>
      <c r="AD27" s="117" t="s">
        <v>229</v>
      </c>
      <c r="AE27" s="180">
        <v>2.59</v>
      </c>
      <c r="AF27" s="125">
        <v>1.1399999999999999</v>
      </c>
      <c r="AG27" s="123">
        <v>0.59</v>
      </c>
      <c r="AH27" s="123">
        <v>0.49</v>
      </c>
      <c r="AI27" s="124">
        <v>2</v>
      </c>
      <c r="AJ27" s="125">
        <v>0.38</v>
      </c>
      <c r="AK27" s="123">
        <v>1.29</v>
      </c>
      <c r="AL27" s="123">
        <v>0</v>
      </c>
      <c r="AM27" s="124">
        <v>1.67</v>
      </c>
      <c r="AN27" s="125">
        <v>1.04</v>
      </c>
      <c r="AO27" s="123">
        <v>0.82</v>
      </c>
      <c r="AP27" s="123">
        <v>0.98</v>
      </c>
      <c r="AQ27" s="124">
        <v>2.42</v>
      </c>
      <c r="AR27" s="125">
        <v>0.99</v>
      </c>
      <c r="AS27" s="123">
        <v>0.71</v>
      </c>
      <c r="AT27" s="123">
        <v>0.49</v>
      </c>
      <c r="AU27" s="124">
        <v>1.72</v>
      </c>
      <c r="AV27" s="125">
        <v>0.67</v>
      </c>
      <c r="AW27" s="123">
        <v>1.29</v>
      </c>
      <c r="AX27" s="123">
        <v>0</v>
      </c>
      <c r="AY27" s="124">
        <v>1.95</v>
      </c>
      <c r="AZ27" s="125">
        <v>0.51</v>
      </c>
      <c r="BA27" s="123">
        <v>1.22</v>
      </c>
      <c r="BB27" s="123">
        <v>0.16</v>
      </c>
      <c r="BC27" s="124">
        <v>1.89</v>
      </c>
      <c r="BD27" s="126">
        <v>0.57999999999999996</v>
      </c>
      <c r="BE27" s="125">
        <v>0.87</v>
      </c>
      <c r="BF27" s="123">
        <v>0</v>
      </c>
      <c r="BG27" s="123">
        <v>0.45</v>
      </c>
      <c r="BH27" s="124">
        <v>1.32</v>
      </c>
      <c r="BI27" s="125">
        <v>0.66</v>
      </c>
      <c r="BJ27" s="123">
        <v>0.26</v>
      </c>
      <c r="BK27" s="123">
        <v>0.59</v>
      </c>
      <c r="BL27" s="124">
        <v>1.5</v>
      </c>
      <c r="BM27" s="125">
        <v>1.3</v>
      </c>
      <c r="BN27" s="123">
        <v>1.55</v>
      </c>
      <c r="BO27" s="123">
        <v>1.07</v>
      </c>
      <c r="BP27" s="123">
        <v>1.5</v>
      </c>
      <c r="BQ27" s="123">
        <v>1.33</v>
      </c>
      <c r="BR27" s="123">
        <v>1.37</v>
      </c>
      <c r="BS27" s="123">
        <v>4.49</v>
      </c>
      <c r="BT27" s="123">
        <v>1.96</v>
      </c>
      <c r="BU27" s="124">
        <v>1.72</v>
      </c>
      <c r="BV27" s="79">
        <v>2142000</v>
      </c>
      <c r="BW27" s="129">
        <v>190</v>
      </c>
      <c r="BX27" s="129">
        <v>1095</v>
      </c>
      <c r="BY27" s="162">
        <v>32.9</v>
      </c>
      <c r="BZ27" s="111">
        <v>29</v>
      </c>
      <c r="CA27" s="120">
        <v>9.5899999999999996E-3</v>
      </c>
      <c r="CB27" s="110">
        <v>385</v>
      </c>
      <c r="CC27" s="119">
        <v>3.3400000000000001E-3</v>
      </c>
      <c r="CD27" s="110">
        <v>385</v>
      </c>
      <c r="CE27" s="104">
        <f t="shared" si="2"/>
        <v>8.6687306501547975E-3</v>
      </c>
      <c r="CF27" s="105">
        <f t="shared" si="0"/>
        <v>2.59</v>
      </c>
    </row>
    <row r="28" spans="1:84" ht="24" hidden="1" x14ac:dyDescent="0.25">
      <c r="A28" s="106">
        <v>27</v>
      </c>
      <c r="B28" s="107"/>
      <c r="C28" s="108" t="s">
        <v>239</v>
      </c>
      <c r="D28" s="109">
        <v>1800</v>
      </c>
      <c r="E28" s="110">
        <v>1190</v>
      </c>
      <c r="F28" s="111">
        <f t="shared" si="1"/>
        <v>2142000</v>
      </c>
      <c r="G28" s="110">
        <v>190</v>
      </c>
      <c r="H28" s="110">
        <v>1095</v>
      </c>
      <c r="I28" s="112">
        <v>1.51</v>
      </c>
      <c r="J28" s="160">
        <v>24</v>
      </c>
      <c r="K28" s="161">
        <v>32.9</v>
      </c>
      <c r="L28" s="162">
        <v>32.9</v>
      </c>
      <c r="M28" s="163">
        <v>1.26</v>
      </c>
      <c r="N28" s="111">
        <v>26.1</v>
      </c>
      <c r="O28" s="117" t="s">
        <v>215</v>
      </c>
      <c r="P28" s="118" t="s">
        <v>216</v>
      </c>
      <c r="Q28" s="119">
        <v>4.4799999999999996E-3</v>
      </c>
      <c r="R28" s="120">
        <v>1.1100000000000001E-3</v>
      </c>
      <c r="S28" s="120">
        <v>9.5899999999999996E-3</v>
      </c>
      <c r="T28" s="110">
        <v>385</v>
      </c>
      <c r="U28" s="118" t="s">
        <v>217</v>
      </c>
      <c r="V28" s="119">
        <v>3.3400000000000001E-3</v>
      </c>
      <c r="W28" s="110">
        <v>385</v>
      </c>
      <c r="X28" s="121">
        <v>400</v>
      </c>
      <c r="Y28" s="165">
        <v>1.96</v>
      </c>
      <c r="Z28" s="115">
        <v>0.5</v>
      </c>
      <c r="AA28" s="167" t="s">
        <v>226</v>
      </c>
      <c r="AB28" s="168"/>
      <c r="AC28" s="179">
        <v>2</v>
      </c>
      <c r="AD28" s="117" t="s">
        <v>229</v>
      </c>
      <c r="AE28" s="180">
        <v>2.2400000000000002</v>
      </c>
      <c r="AF28" s="125">
        <v>1.0900000000000001</v>
      </c>
      <c r="AG28" s="123">
        <v>0.59</v>
      </c>
      <c r="AH28" s="123">
        <v>0.49</v>
      </c>
      <c r="AI28" s="124">
        <v>1.9</v>
      </c>
      <c r="AJ28" s="125">
        <v>0.38</v>
      </c>
      <c r="AK28" s="123">
        <v>1.29</v>
      </c>
      <c r="AL28" s="123">
        <v>0</v>
      </c>
      <c r="AM28" s="124">
        <v>1.67</v>
      </c>
      <c r="AN28" s="125">
        <v>0.99</v>
      </c>
      <c r="AO28" s="123">
        <v>0.82</v>
      </c>
      <c r="AP28" s="123">
        <v>0.97</v>
      </c>
      <c r="AQ28" s="124">
        <v>2.2999999999999998</v>
      </c>
      <c r="AR28" s="125">
        <v>0.94</v>
      </c>
      <c r="AS28" s="123">
        <v>0.71</v>
      </c>
      <c r="AT28" s="123">
        <v>0.49</v>
      </c>
      <c r="AU28" s="124">
        <v>1.63</v>
      </c>
      <c r="AV28" s="125">
        <v>0.63</v>
      </c>
      <c r="AW28" s="123">
        <v>1.29</v>
      </c>
      <c r="AX28" s="123">
        <v>0</v>
      </c>
      <c r="AY28" s="124">
        <v>1.92</v>
      </c>
      <c r="AZ28" s="125">
        <v>0.48</v>
      </c>
      <c r="BA28" s="123">
        <v>1.22</v>
      </c>
      <c r="BB28" s="123">
        <v>0.16</v>
      </c>
      <c r="BC28" s="124">
        <v>1.85</v>
      </c>
      <c r="BD28" s="126">
        <v>0.57999999999999996</v>
      </c>
      <c r="BE28" s="125">
        <v>0.83</v>
      </c>
      <c r="BF28" s="123">
        <v>0</v>
      </c>
      <c r="BG28" s="123">
        <v>0.45</v>
      </c>
      <c r="BH28" s="124">
        <v>1.28</v>
      </c>
      <c r="BI28" s="125">
        <v>0.63</v>
      </c>
      <c r="BJ28" s="123">
        <v>0.26</v>
      </c>
      <c r="BK28" s="123">
        <v>0.59</v>
      </c>
      <c r="BL28" s="124">
        <v>1.47</v>
      </c>
      <c r="BM28" s="125">
        <v>1.18</v>
      </c>
      <c r="BN28" s="123">
        <v>1.34</v>
      </c>
      <c r="BO28" s="123">
        <v>0.97</v>
      </c>
      <c r="BP28" s="123">
        <v>1.37</v>
      </c>
      <c r="BQ28" s="123">
        <v>1.17</v>
      </c>
      <c r="BR28" s="123">
        <v>1.21</v>
      </c>
      <c r="BS28" s="123">
        <v>3.88</v>
      </c>
      <c r="BT28" s="123">
        <v>1.75</v>
      </c>
      <c r="BU28" s="124">
        <v>1.52</v>
      </c>
      <c r="BV28" s="79">
        <v>2142000</v>
      </c>
      <c r="BW28" s="110">
        <v>190</v>
      </c>
      <c r="BX28" s="110">
        <v>1095</v>
      </c>
      <c r="BY28" s="162">
        <v>32.9</v>
      </c>
      <c r="BZ28" s="111">
        <v>26.1</v>
      </c>
      <c r="CA28" s="120">
        <v>9.5899999999999996E-3</v>
      </c>
      <c r="CB28" s="110">
        <v>385</v>
      </c>
      <c r="CC28" s="119">
        <v>3.3400000000000001E-3</v>
      </c>
      <c r="CD28" s="110">
        <v>385</v>
      </c>
      <c r="CE28" s="104">
        <f t="shared" si="2"/>
        <v>7.7399380804953561E-3</v>
      </c>
      <c r="CF28" s="105">
        <f t="shared" si="0"/>
        <v>2.2400000000000002</v>
      </c>
    </row>
    <row r="29" spans="1:84" ht="24" hidden="1" x14ac:dyDescent="0.25">
      <c r="A29" s="106">
        <v>28</v>
      </c>
      <c r="B29" s="107"/>
      <c r="C29" s="108" t="s">
        <v>240</v>
      </c>
      <c r="D29" s="109">
        <v>1800</v>
      </c>
      <c r="E29" s="110">
        <v>1190</v>
      </c>
      <c r="F29" s="111">
        <f t="shared" si="1"/>
        <v>2142000</v>
      </c>
      <c r="G29" s="110">
        <v>190</v>
      </c>
      <c r="H29" s="110">
        <v>1095</v>
      </c>
      <c r="I29" s="112">
        <v>1.51</v>
      </c>
      <c r="J29" s="160">
        <v>24</v>
      </c>
      <c r="K29" s="161">
        <v>32.9</v>
      </c>
      <c r="L29" s="162">
        <v>32.9</v>
      </c>
      <c r="M29" s="163">
        <v>1.28</v>
      </c>
      <c r="N29" s="111">
        <v>27.4</v>
      </c>
      <c r="O29" s="117" t="s">
        <v>215</v>
      </c>
      <c r="P29" s="118" t="s">
        <v>216</v>
      </c>
      <c r="Q29" s="119">
        <v>4.4799999999999996E-3</v>
      </c>
      <c r="R29" s="120">
        <v>1.1100000000000001E-3</v>
      </c>
      <c r="S29" s="120">
        <v>9.5899999999999996E-3</v>
      </c>
      <c r="T29" s="110">
        <v>385</v>
      </c>
      <c r="U29" s="118" t="s">
        <v>217</v>
      </c>
      <c r="V29" s="119">
        <v>4.0000000000000001E-3</v>
      </c>
      <c r="W29" s="110">
        <v>385</v>
      </c>
      <c r="X29" s="121">
        <v>400</v>
      </c>
      <c r="Y29" s="165">
        <v>1.96</v>
      </c>
      <c r="Z29" s="115">
        <v>0.5</v>
      </c>
      <c r="AA29" s="167" t="s">
        <v>226</v>
      </c>
      <c r="AB29" s="168"/>
      <c r="AC29" s="179">
        <v>2</v>
      </c>
      <c r="AD29" s="117" t="s">
        <v>229</v>
      </c>
      <c r="AE29" s="180">
        <v>2.63</v>
      </c>
      <c r="AF29" s="125">
        <v>1.1100000000000001</v>
      </c>
      <c r="AG29" s="123">
        <v>0.71</v>
      </c>
      <c r="AH29" s="123">
        <v>0.49</v>
      </c>
      <c r="AI29" s="124">
        <v>1.94</v>
      </c>
      <c r="AJ29" s="125">
        <v>0.38</v>
      </c>
      <c r="AK29" s="123">
        <v>1.54</v>
      </c>
      <c r="AL29" s="123">
        <v>0</v>
      </c>
      <c r="AM29" s="124">
        <v>1.92</v>
      </c>
      <c r="AN29" s="125">
        <v>1.01</v>
      </c>
      <c r="AO29" s="123">
        <v>0.99</v>
      </c>
      <c r="AP29" s="123">
        <v>0.98</v>
      </c>
      <c r="AQ29" s="124">
        <v>2.36</v>
      </c>
      <c r="AR29" s="125">
        <v>0.96</v>
      </c>
      <c r="AS29" s="123">
        <v>0.85</v>
      </c>
      <c r="AT29" s="123">
        <v>0.49</v>
      </c>
      <c r="AU29" s="124">
        <v>1.68</v>
      </c>
      <c r="AV29" s="125">
        <v>0.65</v>
      </c>
      <c r="AW29" s="123">
        <v>1.54</v>
      </c>
      <c r="AX29" s="123">
        <v>0</v>
      </c>
      <c r="AY29" s="124">
        <v>2.19</v>
      </c>
      <c r="AZ29" s="125">
        <v>0.49</v>
      </c>
      <c r="BA29" s="123">
        <v>1.29</v>
      </c>
      <c r="BB29" s="123">
        <v>0.16</v>
      </c>
      <c r="BC29" s="124">
        <v>1.94</v>
      </c>
      <c r="BD29" s="126">
        <v>0.57999999999999996</v>
      </c>
      <c r="BE29" s="125">
        <v>0.85</v>
      </c>
      <c r="BF29" s="123">
        <v>0</v>
      </c>
      <c r="BG29" s="123">
        <v>0.45</v>
      </c>
      <c r="BH29" s="124">
        <v>1.3</v>
      </c>
      <c r="BI29" s="125">
        <v>0.64</v>
      </c>
      <c r="BJ29" s="123">
        <v>0.31</v>
      </c>
      <c r="BK29" s="123">
        <v>0.59</v>
      </c>
      <c r="BL29" s="124">
        <v>1.54</v>
      </c>
      <c r="BM29" s="125">
        <v>1.35</v>
      </c>
      <c r="BN29" s="123">
        <v>1.37</v>
      </c>
      <c r="BO29" s="123">
        <v>1.1200000000000001</v>
      </c>
      <c r="BP29" s="123">
        <v>1.57</v>
      </c>
      <c r="BQ29" s="123">
        <v>1.2</v>
      </c>
      <c r="BR29" s="123">
        <v>1.36</v>
      </c>
      <c r="BS29" s="123">
        <v>4.5599999999999996</v>
      </c>
      <c r="BT29" s="123">
        <v>2.0299999999999998</v>
      </c>
      <c r="BU29" s="124">
        <v>1.71</v>
      </c>
      <c r="BV29" s="79">
        <v>2142000</v>
      </c>
      <c r="BW29" s="110">
        <v>190</v>
      </c>
      <c r="BX29" s="110">
        <v>1095</v>
      </c>
      <c r="BY29" s="162">
        <v>32.9</v>
      </c>
      <c r="BZ29" s="111">
        <v>27.4</v>
      </c>
      <c r="CA29" s="120">
        <v>9.5899999999999996E-3</v>
      </c>
      <c r="CB29" s="110">
        <v>385</v>
      </c>
      <c r="CC29" s="119">
        <v>4.0000000000000001E-3</v>
      </c>
      <c r="CD29" s="110">
        <v>385</v>
      </c>
      <c r="CE29" s="104">
        <f t="shared" si="2"/>
        <v>8.9783281733746122E-3</v>
      </c>
      <c r="CF29" s="105">
        <f t="shared" si="0"/>
        <v>2.63</v>
      </c>
    </row>
    <row r="30" spans="1:84" ht="14.25" hidden="1" customHeight="1" x14ac:dyDescent="0.25">
      <c r="A30" s="106">
        <v>29</v>
      </c>
      <c r="B30" s="107"/>
      <c r="C30" s="108" t="s">
        <v>241</v>
      </c>
      <c r="D30" s="109">
        <v>1800</v>
      </c>
      <c r="E30" s="110">
        <v>1190</v>
      </c>
      <c r="F30" s="111">
        <f t="shared" si="1"/>
        <v>2142000</v>
      </c>
      <c r="G30" s="110">
        <v>190</v>
      </c>
      <c r="H30" s="110">
        <v>1095</v>
      </c>
      <c r="I30" s="112">
        <v>1.51</v>
      </c>
      <c r="J30" s="160">
        <v>24</v>
      </c>
      <c r="K30" s="161">
        <v>32.9</v>
      </c>
      <c r="L30" s="162">
        <v>32.9</v>
      </c>
      <c r="M30" s="163">
        <v>1.26</v>
      </c>
      <c r="N30" s="111">
        <v>26.4</v>
      </c>
      <c r="O30" s="117" t="s">
        <v>215</v>
      </c>
      <c r="P30" s="118" t="s">
        <v>216</v>
      </c>
      <c r="Q30" s="119">
        <v>4.7299999999999998E-3</v>
      </c>
      <c r="R30" s="120">
        <v>1.17E-3</v>
      </c>
      <c r="S30" s="120">
        <v>1.013E-2</v>
      </c>
      <c r="T30" s="110">
        <v>385</v>
      </c>
      <c r="U30" s="118" t="s">
        <v>217</v>
      </c>
      <c r="V30" s="119">
        <v>3.5300000000000002E-3</v>
      </c>
      <c r="W30" s="110">
        <v>385</v>
      </c>
      <c r="X30" s="121">
        <v>400</v>
      </c>
      <c r="Y30" s="165">
        <v>1.96</v>
      </c>
      <c r="Z30" s="115">
        <v>0.5</v>
      </c>
      <c r="AA30" s="167" t="s">
        <v>226</v>
      </c>
      <c r="AB30" s="168"/>
      <c r="AC30" s="179">
        <v>2</v>
      </c>
      <c r="AD30" s="117" t="s">
        <v>229</v>
      </c>
      <c r="AE30" s="180">
        <v>2.4300000000000002</v>
      </c>
      <c r="AF30" s="125">
        <v>1.0900000000000001</v>
      </c>
      <c r="AG30" s="123">
        <v>0.63</v>
      </c>
      <c r="AH30" s="123">
        <v>0.49</v>
      </c>
      <c r="AI30" s="124">
        <v>1.91</v>
      </c>
      <c r="AJ30" s="125">
        <v>0.38</v>
      </c>
      <c r="AK30" s="123">
        <v>1.36</v>
      </c>
      <c r="AL30" s="123">
        <v>0</v>
      </c>
      <c r="AM30" s="124">
        <v>1.74</v>
      </c>
      <c r="AN30" s="125">
        <v>1.01</v>
      </c>
      <c r="AO30" s="123">
        <v>0.87</v>
      </c>
      <c r="AP30" s="123">
        <v>0.97</v>
      </c>
      <c r="AQ30" s="124">
        <v>2.31</v>
      </c>
      <c r="AR30" s="125">
        <v>0.94</v>
      </c>
      <c r="AS30" s="123">
        <v>0.75</v>
      </c>
      <c r="AT30" s="123">
        <v>0.49</v>
      </c>
      <c r="AU30" s="124">
        <v>1.64</v>
      </c>
      <c r="AV30" s="125">
        <v>0.63</v>
      </c>
      <c r="AW30" s="123">
        <v>1.36</v>
      </c>
      <c r="AX30" s="123">
        <v>0</v>
      </c>
      <c r="AY30" s="124">
        <v>1.99</v>
      </c>
      <c r="AZ30" s="125">
        <v>0.49</v>
      </c>
      <c r="BA30" s="123">
        <v>1.25</v>
      </c>
      <c r="BB30" s="123">
        <v>0.16</v>
      </c>
      <c r="BC30" s="124">
        <v>1.9</v>
      </c>
      <c r="BD30" s="126">
        <v>0.57999999999999996</v>
      </c>
      <c r="BE30" s="125">
        <v>0.83</v>
      </c>
      <c r="BF30" s="123">
        <v>0</v>
      </c>
      <c r="BG30" s="123">
        <v>0.45</v>
      </c>
      <c r="BH30" s="124">
        <v>1.29</v>
      </c>
      <c r="BI30" s="125">
        <v>0.63</v>
      </c>
      <c r="BJ30" s="123">
        <v>0.27</v>
      </c>
      <c r="BK30" s="123">
        <v>0.59</v>
      </c>
      <c r="BL30" s="124">
        <v>1.49</v>
      </c>
      <c r="BM30" s="125">
        <v>1.27</v>
      </c>
      <c r="BN30" s="123">
        <v>1.39</v>
      </c>
      <c r="BO30" s="123">
        <v>1.05</v>
      </c>
      <c r="BP30" s="123">
        <v>1.48</v>
      </c>
      <c r="BQ30" s="123">
        <v>1.22</v>
      </c>
      <c r="BR30" s="123">
        <v>1.28</v>
      </c>
      <c r="BS30" s="123">
        <v>4.21</v>
      </c>
      <c r="BT30" s="123">
        <v>1.89</v>
      </c>
      <c r="BU30" s="124">
        <v>1.63</v>
      </c>
      <c r="BV30" s="79">
        <v>2142000</v>
      </c>
      <c r="BW30" s="110">
        <v>190</v>
      </c>
      <c r="BX30" s="110">
        <v>1095</v>
      </c>
      <c r="BY30" s="162">
        <v>32.9</v>
      </c>
      <c r="BZ30" s="111">
        <v>26.4</v>
      </c>
      <c r="CA30" s="120">
        <v>1.013E-2</v>
      </c>
      <c r="CB30" s="110">
        <v>385</v>
      </c>
      <c r="CC30" s="119">
        <v>3.5300000000000002E-3</v>
      </c>
      <c r="CD30" s="110">
        <v>385</v>
      </c>
      <c r="CE30" s="104">
        <f t="shared" si="2"/>
        <v>8.3591331269349846E-3</v>
      </c>
      <c r="CF30" s="105">
        <f t="shared" si="0"/>
        <v>2.4300000000000002</v>
      </c>
    </row>
    <row r="31" spans="1:84" ht="14.25" hidden="1" customHeight="1" x14ac:dyDescent="0.25">
      <c r="A31" s="106">
        <v>30</v>
      </c>
      <c r="B31" s="107"/>
      <c r="C31" s="108" t="s">
        <v>242</v>
      </c>
      <c r="D31" s="109">
        <v>1800</v>
      </c>
      <c r="E31" s="110">
        <v>1190</v>
      </c>
      <c r="F31" s="111">
        <f t="shared" si="1"/>
        <v>2142000</v>
      </c>
      <c r="G31" s="110">
        <v>190</v>
      </c>
      <c r="H31" s="110">
        <v>1095</v>
      </c>
      <c r="I31" s="112">
        <v>1.51</v>
      </c>
      <c r="J31" s="160">
        <v>24</v>
      </c>
      <c r="K31" s="161">
        <v>32.9</v>
      </c>
      <c r="L31" s="162">
        <v>32.9</v>
      </c>
      <c r="M31" s="163">
        <v>1.36</v>
      </c>
      <c r="N31" s="111">
        <v>31.4</v>
      </c>
      <c r="O31" s="117" t="s">
        <v>215</v>
      </c>
      <c r="P31" s="118" t="s">
        <v>216</v>
      </c>
      <c r="Q31" s="119">
        <v>4.4799999999999996E-3</v>
      </c>
      <c r="R31" s="120">
        <v>1.1100000000000001E-3</v>
      </c>
      <c r="S31" s="120">
        <v>9.5899999999999996E-3</v>
      </c>
      <c r="T31" s="110">
        <v>385</v>
      </c>
      <c r="U31" s="118" t="s">
        <v>217</v>
      </c>
      <c r="V31" s="119">
        <v>3.3400000000000001E-3</v>
      </c>
      <c r="W31" s="110">
        <v>385</v>
      </c>
      <c r="X31" s="121">
        <v>400</v>
      </c>
      <c r="Y31" s="165">
        <v>1.96</v>
      </c>
      <c r="Z31" s="115">
        <v>0.5</v>
      </c>
      <c r="AA31" s="167" t="s">
        <v>226</v>
      </c>
      <c r="AB31" s="168"/>
      <c r="AC31" s="179">
        <v>2</v>
      </c>
      <c r="AD31" s="117" t="s">
        <v>229</v>
      </c>
      <c r="AE31" s="180">
        <v>2.59</v>
      </c>
      <c r="AF31" s="125">
        <v>1.19</v>
      </c>
      <c r="AG31" s="123">
        <v>0.59</v>
      </c>
      <c r="AH31" s="123">
        <v>0.49</v>
      </c>
      <c r="AI31" s="124">
        <v>2.08</v>
      </c>
      <c r="AJ31" s="125">
        <v>0.38</v>
      </c>
      <c r="AK31" s="123">
        <v>1.29</v>
      </c>
      <c r="AL31" s="123">
        <v>0</v>
      </c>
      <c r="AM31" s="124">
        <v>1.67</v>
      </c>
      <c r="AN31" s="125">
        <v>1.08</v>
      </c>
      <c r="AO31" s="123">
        <v>0.82</v>
      </c>
      <c r="AP31" s="123">
        <v>0.99</v>
      </c>
      <c r="AQ31" s="124">
        <v>2.52</v>
      </c>
      <c r="AR31" s="125">
        <v>1.03</v>
      </c>
      <c r="AS31" s="123">
        <v>0.71</v>
      </c>
      <c r="AT31" s="123">
        <v>0.49</v>
      </c>
      <c r="AU31" s="124">
        <v>1.79</v>
      </c>
      <c r="AV31" s="125">
        <v>0.69</v>
      </c>
      <c r="AW31" s="123">
        <v>1.29</v>
      </c>
      <c r="AX31" s="123">
        <v>0</v>
      </c>
      <c r="AY31" s="124">
        <v>1.98</v>
      </c>
      <c r="AZ31" s="125">
        <v>0.54</v>
      </c>
      <c r="BA31" s="123">
        <v>1.22</v>
      </c>
      <c r="BB31" s="123">
        <v>0.16</v>
      </c>
      <c r="BC31" s="124">
        <v>1.91</v>
      </c>
      <c r="BD31" s="126">
        <v>0.57999999999999996</v>
      </c>
      <c r="BE31" s="125">
        <v>0.9</v>
      </c>
      <c r="BF31" s="123">
        <v>0</v>
      </c>
      <c r="BG31" s="123">
        <v>0.45</v>
      </c>
      <c r="BH31" s="124">
        <v>1.35</v>
      </c>
      <c r="BI31" s="125">
        <v>0.68</v>
      </c>
      <c r="BJ31" s="123">
        <v>0.26</v>
      </c>
      <c r="BK31" s="123">
        <v>0.59</v>
      </c>
      <c r="BL31" s="124">
        <v>1.53</v>
      </c>
      <c r="BM31" s="125">
        <v>1.25</v>
      </c>
      <c r="BN31" s="123">
        <v>1.55</v>
      </c>
      <c r="BO31" s="123">
        <v>1.03</v>
      </c>
      <c r="BP31" s="123">
        <v>1.45</v>
      </c>
      <c r="BQ31" s="123">
        <v>1.31</v>
      </c>
      <c r="BR31" s="123">
        <v>1.36</v>
      </c>
      <c r="BS31" s="123">
        <v>4.49</v>
      </c>
      <c r="BT31" s="123">
        <v>1.92</v>
      </c>
      <c r="BU31" s="124">
        <v>1.7</v>
      </c>
      <c r="BV31" s="79">
        <v>2142000</v>
      </c>
      <c r="BW31" s="110">
        <v>190</v>
      </c>
      <c r="BX31" s="110">
        <v>1095</v>
      </c>
      <c r="BY31" s="162">
        <v>32.9</v>
      </c>
      <c r="BZ31" s="111">
        <v>31.4</v>
      </c>
      <c r="CA31" s="120">
        <v>9.5899999999999996E-3</v>
      </c>
      <c r="CB31" s="110">
        <v>385</v>
      </c>
      <c r="CC31" s="119">
        <v>3.3400000000000001E-3</v>
      </c>
      <c r="CD31" s="110">
        <v>385</v>
      </c>
      <c r="CE31" s="104">
        <f t="shared" si="2"/>
        <v>8.4918177797434768E-3</v>
      </c>
      <c r="CF31" s="105">
        <f t="shared" si="0"/>
        <v>2.59</v>
      </c>
    </row>
    <row r="32" spans="1:84" ht="14.25" hidden="1" customHeight="1" x14ac:dyDescent="0.25">
      <c r="A32" s="106">
        <v>31</v>
      </c>
      <c r="B32" s="107"/>
      <c r="C32" s="108" t="s">
        <v>243</v>
      </c>
      <c r="D32" s="109">
        <v>1700</v>
      </c>
      <c r="E32" s="110">
        <v>1110</v>
      </c>
      <c r="F32" s="111">
        <f t="shared" si="1"/>
        <v>1887000</v>
      </c>
      <c r="G32" s="110">
        <v>190</v>
      </c>
      <c r="H32" s="110">
        <v>1005</v>
      </c>
      <c r="I32" s="112">
        <v>1.53</v>
      </c>
      <c r="J32" s="160">
        <v>24</v>
      </c>
      <c r="K32" s="161">
        <v>32.9</v>
      </c>
      <c r="L32" s="162">
        <v>32.9</v>
      </c>
      <c r="M32" s="163">
        <v>1.31</v>
      </c>
      <c r="N32" s="111">
        <v>28.6</v>
      </c>
      <c r="O32" s="117" t="s">
        <v>215</v>
      </c>
      <c r="P32" s="118" t="s">
        <v>207</v>
      </c>
      <c r="Q32" s="119">
        <v>2.7200000000000002E-3</v>
      </c>
      <c r="R32" s="120">
        <v>1.2099999999999999E-3</v>
      </c>
      <c r="S32" s="120">
        <v>6.1199999999999996E-3</v>
      </c>
      <c r="T32" s="110">
        <v>385</v>
      </c>
      <c r="U32" s="118" t="s">
        <v>217</v>
      </c>
      <c r="V32" s="119">
        <v>0</v>
      </c>
      <c r="W32" s="110">
        <v>385</v>
      </c>
      <c r="X32" s="121">
        <v>378</v>
      </c>
      <c r="Y32" s="165">
        <v>1.96</v>
      </c>
      <c r="Z32" s="115">
        <v>0.5</v>
      </c>
      <c r="AA32" s="167" t="s">
        <v>226</v>
      </c>
      <c r="AB32" s="168"/>
      <c r="AC32" s="114">
        <v>1.9</v>
      </c>
      <c r="AD32" s="117" t="s">
        <v>229</v>
      </c>
      <c r="AE32" s="180">
        <v>2.1800000000000002</v>
      </c>
      <c r="AF32" s="125">
        <v>1.1200000000000001</v>
      </c>
      <c r="AG32" s="123">
        <v>0</v>
      </c>
      <c r="AH32" s="123">
        <v>0.49</v>
      </c>
      <c r="AI32" s="124">
        <v>1.61</v>
      </c>
      <c r="AJ32" s="125">
        <v>0.38</v>
      </c>
      <c r="AK32" s="123">
        <v>0</v>
      </c>
      <c r="AL32" s="123">
        <v>0</v>
      </c>
      <c r="AM32" s="124">
        <v>0.38</v>
      </c>
      <c r="AN32" s="125">
        <v>0.97</v>
      </c>
      <c r="AO32" s="123">
        <v>0</v>
      </c>
      <c r="AP32" s="123">
        <v>0.97</v>
      </c>
      <c r="AQ32" s="124">
        <v>1.85</v>
      </c>
      <c r="AR32" s="125">
        <v>0.96</v>
      </c>
      <c r="AS32" s="123">
        <v>0</v>
      </c>
      <c r="AT32" s="123">
        <v>0.49</v>
      </c>
      <c r="AU32" s="124">
        <v>1.45</v>
      </c>
      <c r="AV32" s="125">
        <v>0.64</v>
      </c>
      <c r="AW32" s="123">
        <v>0</v>
      </c>
      <c r="AX32" s="123">
        <v>0</v>
      </c>
      <c r="AY32" s="124">
        <v>0.64</v>
      </c>
      <c r="AZ32" s="125">
        <v>0.45</v>
      </c>
      <c r="BA32" s="123">
        <v>0.46</v>
      </c>
      <c r="BB32" s="123">
        <v>0.16</v>
      </c>
      <c r="BC32" s="124">
        <v>1.06</v>
      </c>
      <c r="BD32" s="126">
        <v>0.2</v>
      </c>
      <c r="BE32" s="125">
        <v>0.85</v>
      </c>
      <c r="BF32" s="123">
        <v>0</v>
      </c>
      <c r="BG32" s="123">
        <v>0.45</v>
      </c>
      <c r="BH32" s="124">
        <v>1.3</v>
      </c>
      <c r="BI32" s="125">
        <v>0.65</v>
      </c>
      <c r="BJ32" s="123">
        <v>0</v>
      </c>
      <c r="BK32" s="123">
        <v>0.59</v>
      </c>
      <c r="BL32" s="124">
        <v>1.24</v>
      </c>
      <c r="BM32" s="125">
        <v>1.36</v>
      </c>
      <c r="BN32" s="123">
        <v>5.69</v>
      </c>
      <c r="BO32" s="123">
        <v>1.18</v>
      </c>
      <c r="BP32" s="123">
        <v>1.51</v>
      </c>
      <c r="BQ32" s="123">
        <v>3.39</v>
      </c>
      <c r="BR32" s="123">
        <v>2.06</v>
      </c>
      <c r="BS32" s="123">
        <v>10.7</v>
      </c>
      <c r="BT32" s="123">
        <v>1.67</v>
      </c>
      <c r="BU32" s="124">
        <v>1.76</v>
      </c>
      <c r="BV32" s="79">
        <v>1887000</v>
      </c>
      <c r="BW32" s="110">
        <v>190</v>
      </c>
      <c r="BX32" s="110">
        <v>1005</v>
      </c>
      <c r="BY32" s="162">
        <v>32.9</v>
      </c>
      <c r="BZ32" s="111">
        <v>28.6</v>
      </c>
      <c r="CA32" s="120">
        <v>6.1199999999999996E-3</v>
      </c>
      <c r="CB32" s="110">
        <v>385</v>
      </c>
      <c r="CC32" s="119">
        <v>0</v>
      </c>
      <c r="CD32" s="110">
        <v>385</v>
      </c>
      <c r="CE32" s="104">
        <f t="shared" si="2"/>
        <v>7.9184447605500242E-3</v>
      </c>
      <c r="CF32" s="105">
        <f t="shared" si="0"/>
        <v>2.1800000000000002</v>
      </c>
    </row>
    <row r="33" spans="1:84" ht="14.25" hidden="1" customHeight="1" x14ac:dyDescent="0.25">
      <c r="A33" s="106">
        <v>32</v>
      </c>
      <c r="B33" s="107"/>
      <c r="C33" s="108" t="s">
        <v>244</v>
      </c>
      <c r="D33" s="109">
        <v>1700</v>
      </c>
      <c r="E33" s="110">
        <v>1110</v>
      </c>
      <c r="F33" s="111">
        <f t="shared" si="1"/>
        <v>1887000</v>
      </c>
      <c r="G33" s="110">
        <v>190</v>
      </c>
      <c r="H33" s="110">
        <v>1005</v>
      </c>
      <c r="I33" s="112">
        <v>1.53</v>
      </c>
      <c r="J33" s="160">
        <v>24</v>
      </c>
      <c r="K33" s="161">
        <v>32.9</v>
      </c>
      <c r="L33" s="162">
        <v>32.9</v>
      </c>
      <c r="M33" s="163">
        <v>1.31</v>
      </c>
      <c r="N33" s="111">
        <v>28.6</v>
      </c>
      <c r="O33" s="117" t="s">
        <v>215</v>
      </c>
      <c r="P33" s="118" t="s">
        <v>207</v>
      </c>
      <c r="Q33" s="119">
        <v>2.7200000000000002E-3</v>
      </c>
      <c r="R33" s="120">
        <v>1.2099999999999999E-3</v>
      </c>
      <c r="S33" s="120">
        <v>6.1199999999999996E-3</v>
      </c>
      <c r="T33" s="110">
        <v>385</v>
      </c>
      <c r="U33" s="118" t="s">
        <v>217</v>
      </c>
      <c r="V33" s="119">
        <v>1.67E-3</v>
      </c>
      <c r="W33" s="110">
        <v>385</v>
      </c>
      <c r="X33" s="121">
        <v>378</v>
      </c>
      <c r="Y33" s="165">
        <v>1.96</v>
      </c>
      <c r="Z33" s="115">
        <v>0.5</v>
      </c>
      <c r="AA33" s="167" t="s">
        <v>226</v>
      </c>
      <c r="AB33" s="168"/>
      <c r="AC33" s="114">
        <v>3</v>
      </c>
      <c r="AD33" s="117" t="s">
        <v>229</v>
      </c>
      <c r="AE33" s="180">
        <v>1.95</v>
      </c>
      <c r="AF33" s="125">
        <v>1.1200000000000001</v>
      </c>
      <c r="AG33" s="123">
        <v>0.28999999999999998</v>
      </c>
      <c r="AH33" s="123">
        <v>0.49</v>
      </c>
      <c r="AI33" s="124">
        <v>1.9</v>
      </c>
      <c r="AJ33" s="125">
        <v>0.38</v>
      </c>
      <c r="AK33" s="123">
        <v>0.64</v>
      </c>
      <c r="AL33" s="123">
        <v>0</v>
      </c>
      <c r="AM33" s="124">
        <v>1.03</v>
      </c>
      <c r="AN33" s="125">
        <v>0.49</v>
      </c>
      <c r="AO33" s="123">
        <v>0.41</v>
      </c>
      <c r="AP33" s="123">
        <v>0.97</v>
      </c>
      <c r="AQ33" s="124">
        <v>1.82</v>
      </c>
      <c r="AR33" s="125">
        <v>0.96</v>
      </c>
      <c r="AS33" s="123">
        <v>0.35</v>
      </c>
      <c r="AT33" s="123">
        <v>0.49</v>
      </c>
      <c r="AU33" s="124">
        <v>1.71</v>
      </c>
      <c r="AV33" s="125">
        <v>0.64</v>
      </c>
      <c r="AW33" s="123">
        <v>0.64</v>
      </c>
      <c r="AX33" s="123">
        <v>0</v>
      </c>
      <c r="AY33" s="124">
        <v>1.29</v>
      </c>
      <c r="AZ33" s="125">
        <v>0.45</v>
      </c>
      <c r="BA33" s="123">
        <v>0.99</v>
      </c>
      <c r="BB33" s="123">
        <v>0.16</v>
      </c>
      <c r="BC33" s="124">
        <v>1.59</v>
      </c>
      <c r="BD33" s="126">
        <v>0.56999999999999995</v>
      </c>
      <c r="BE33" s="125">
        <v>0.85</v>
      </c>
      <c r="BF33" s="123">
        <v>0</v>
      </c>
      <c r="BG33" s="123">
        <v>0.45</v>
      </c>
      <c r="BH33" s="124">
        <v>1.3</v>
      </c>
      <c r="BI33" s="125">
        <v>0.65</v>
      </c>
      <c r="BJ33" s="123">
        <v>0.35</v>
      </c>
      <c r="BK33" s="123">
        <v>0.59</v>
      </c>
      <c r="BL33" s="124">
        <v>1.59</v>
      </c>
      <c r="BM33" s="125">
        <v>1.03</v>
      </c>
      <c r="BN33" s="123">
        <v>1.9</v>
      </c>
      <c r="BO33" s="123">
        <v>1.07</v>
      </c>
      <c r="BP33" s="123">
        <v>1.1399999999999999</v>
      </c>
      <c r="BQ33" s="123">
        <v>1.52</v>
      </c>
      <c r="BR33" s="123">
        <v>1.22</v>
      </c>
      <c r="BS33" s="123">
        <v>3.42</v>
      </c>
      <c r="BT33" s="123">
        <v>1.49</v>
      </c>
      <c r="BU33" s="124">
        <v>1.23</v>
      </c>
      <c r="BV33" s="79">
        <v>1887000</v>
      </c>
      <c r="BW33" s="110">
        <v>190</v>
      </c>
      <c r="BX33" s="110">
        <v>1005</v>
      </c>
      <c r="BY33" s="162">
        <v>32.9</v>
      </c>
      <c r="BZ33" s="111">
        <v>28.6</v>
      </c>
      <c r="CA33" s="120">
        <v>6.1199999999999996E-3</v>
      </c>
      <c r="CB33" s="110">
        <v>385</v>
      </c>
      <c r="CC33" s="119">
        <v>1.67E-3</v>
      </c>
      <c r="CD33" s="110">
        <v>385</v>
      </c>
      <c r="CE33" s="104">
        <f t="shared" si="2"/>
        <v>7.0649596965386436E-3</v>
      </c>
      <c r="CF33" s="105">
        <f t="shared" si="0"/>
        <v>1.95</v>
      </c>
    </row>
    <row r="34" spans="1:84" ht="14.25" hidden="1" customHeight="1" x14ac:dyDescent="0.25">
      <c r="A34" s="106">
        <v>33</v>
      </c>
      <c r="B34" s="107"/>
      <c r="C34" s="108" t="s">
        <v>245</v>
      </c>
      <c r="D34" s="109">
        <v>1700</v>
      </c>
      <c r="E34" s="110">
        <v>1110</v>
      </c>
      <c r="F34" s="111">
        <f t="shared" si="1"/>
        <v>1887000</v>
      </c>
      <c r="G34" s="110">
        <v>190</v>
      </c>
      <c r="H34" s="110">
        <v>1005</v>
      </c>
      <c r="I34" s="112">
        <v>1.53</v>
      </c>
      <c r="J34" s="160">
        <v>24</v>
      </c>
      <c r="K34" s="161">
        <v>32.9</v>
      </c>
      <c r="L34" s="162">
        <v>32.9</v>
      </c>
      <c r="M34" s="163">
        <v>1.31</v>
      </c>
      <c r="N34" s="111">
        <v>28.6</v>
      </c>
      <c r="O34" s="117" t="s">
        <v>215</v>
      </c>
      <c r="P34" s="118" t="s">
        <v>207</v>
      </c>
      <c r="Q34" s="119">
        <v>2.7200000000000002E-3</v>
      </c>
      <c r="R34" s="120">
        <v>1.2099999999999999E-3</v>
      </c>
      <c r="S34" s="120">
        <v>6.1199999999999996E-3</v>
      </c>
      <c r="T34" s="110">
        <v>385</v>
      </c>
      <c r="U34" s="118" t="s">
        <v>217</v>
      </c>
      <c r="V34" s="119">
        <v>3.3400000000000001E-3</v>
      </c>
      <c r="W34" s="110">
        <v>385</v>
      </c>
      <c r="X34" s="121">
        <v>378</v>
      </c>
      <c r="Y34" s="165">
        <v>1.96</v>
      </c>
      <c r="Z34" s="115">
        <v>0.5</v>
      </c>
      <c r="AA34" s="167" t="s">
        <v>226</v>
      </c>
      <c r="AB34" s="168"/>
      <c r="AC34" s="114">
        <v>1.8</v>
      </c>
      <c r="AD34" s="117" t="s">
        <v>229</v>
      </c>
      <c r="AE34" s="180">
        <v>1.71</v>
      </c>
      <c r="AF34" s="125">
        <v>1.1200000000000001</v>
      </c>
      <c r="AG34" s="123">
        <v>0.57999999999999996</v>
      </c>
      <c r="AH34" s="123">
        <v>0.49</v>
      </c>
      <c r="AI34" s="124">
        <v>1.96</v>
      </c>
      <c r="AJ34" s="125">
        <v>0.38</v>
      </c>
      <c r="AK34" s="123">
        <v>1.29</v>
      </c>
      <c r="AL34" s="123">
        <v>0</v>
      </c>
      <c r="AM34" s="124">
        <v>1.67</v>
      </c>
      <c r="AN34" s="125">
        <v>1.03</v>
      </c>
      <c r="AO34" s="123">
        <v>0.82</v>
      </c>
      <c r="AP34" s="123">
        <v>0.97</v>
      </c>
      <c r="AQ34" s="124">
        <v>2.41</v>
      </c>
      <c r="AR34" s="125">
        <v>0.96</v>
      </c>
      <c r="AS34" s="123">
        <v>0.7</v>
      </c>
      <c r="AT34" s="123">
        <v>0.49</v>
      </c>
      <c r="AU34" s="124">
        <v>1.71</v>
      </c>
      <c r="AV34" s="125">
        <v>0.64</v>
      </c>
      <c r="AW34" s="123">
        <v>1.29</v>
      </c>
      <c r="AX34" s="123">
        <v>0</v>
      </c>
      <c r="AY34" s="124">
        <v>1.93</v>
      </c>
      <c r="AZ34" s="125">
        <v>0.45</v>
      </c>
      <c r="BA34" s="123">
        <v>1.22</v>
      </c>
      <c r="BB34" s="123">
        <v>0.16</v>
      </c>
      <c r="BC34" s="124">
        <v>1.82</v>
      </c>
      <c r="BD34" s="126">
        <v>0.56999999999999995</v>
      </c>
      <c r="BE34" s="125">
        <v>0.85</v>
      </c>
      <c r="BF34" s="123">
        <v>0</v>
      </c>
      <c r="BG34" s="123">
        <v>0.45</v>
      </c>
      <c r="BH34" s="124">
        <v>1.3</v>
      </c>
      <c r="BI34" s="125">
        <v>0.65</v>
      </c>
      <c r="BJ34" s="123">
        <v>0.26</v>
      </c>
      <c r="BK34" s="123">
        <v>0.59</v>
      </c>
      <c r="BL34" s="124">
        <v>1.5</v>
      </c>
      <c r="BM34" s="125">
        <v>0.87</v>
      </c>
      <c r="BN34" s="123">
        <v>1.02</v>
      </c>
      <c r="BO34" s="123">
        <v>0.71</v>
      </c>
      <c r="BP34" s="123">
        <v>1</v>
      </c>
      <c r="BQ34" s="123">
        <v>0.89</v>
      </c>
      <c r="BR34" s="123">
        <v>0.94</v>
      </c>
      <c r="BS34" s="123">
        <v>3.01</v>
      </c>
      <c r="BT34" s="123">
        <v>1.31</v>
      </c>
      <c r="BU34" s="124">
        <v>1.1399999999999999</v>
      </c>
      <c r="BV34" s="79">
        <v>1887000</v>
      </c>
      <c r="BW34" s="110">
        <v>190</v>
      </c>
      <c r="BX34" s="110">
        <v>1005</v>
      </c>
      <c r="BY34" s="162">
        <v>32.9</v>
      </c>
      <c r="BZ34" s="111">
        <v>28.6</v>
      </c>
      <c r="CA34" s="120">
        <v>6.1199999999999996E-3</v>
      </c>
      <c r="CB34" s="110">
        <v>385</v>
      </c>
      <c r="CC34" s="119">
        <v>3.3400000000000001E-3</v>
      </c>
      <c r="CD34" s="110">
        <v>385</v>
      </c>
      <c r="CE34" s="104">
        <f t="shared" si="2"/>
        <v>6.2114746325272648E-3</v>
      </c>
      <c r="CF34" s="105">
        <f t="shared" si="0"/>
        <v>1.71</v>
      </c>
    </row>
    <row r="35" spans="1:84" ht="14.25" hidden="1" customHeight="1" x14ac:dyDescent="0.25">
      <c r="A35" s="133">
        <v>34</v>
      </c>
      <c r="B35" s="134"/>
      <c r="C35" s="135" t="s">
        <v>246</v>
      </c>
      <c r="D35" s="136">
        <v>1700</v>
      </c>
      <c r="E35" s="137">
        <v>1110</v>
      </c>
      <c r="F35" s="138">
        <f t="shared" si="1"/>
        <v>1887000</v>
      </c>
      <c r="G35" s="137">
        <v>190</v>
      </c>
      <c r="H35" s="137">
        <v>1005</v>
      </c>
      <c r="I35" s="139">
        <v>1.53</v>
      </c>
      <c r="J35" s="169">
        <v>24</v>
      </c>
      <c r="K35" s="170">
        <v>32.9</v>
      </c>
      <c r="L35" s="162">
        <v>32.9</v>
      </c>
      <c r="M35" s="171">
        <v>1.31</v>
      </c>
      <c r="N35" s="138">
        <v>28.6</v>
      </c>
      <c r="O35" s="144" t="s">
        <v>215</v>
      </c>
      <c r="P35" s="145" t="s">
        <v>207</v>
      </c>
      <c r="Q35" s="146">
        <v>2.7200000000000002E-3</v>
      </c>
      <c r="R35" s="147">
        <v>1.2099999999999999E-3</v>
      </c>
      <c r="S35" s="147">
        <v>6.1199999999999996E-3</v>
      </c>
      <c r="T35" s="137">
        <v>385</v>
      </c>
      <c r="U35" s="145" t="s">
        <v>217</v>
      </c>
      <c r="V35" s="146">
        <v>6.6800000000000002E-3</v>
      </c>
      <c r="W35" s="137">
        <v>385</v>
      </c>
      <c r="X35" s="148">
        <v>378</v>
      </c>
      <c r="Y35" s="172">
        <v>1.96</v>
      </c>
      <c r="Z35" s="142">
        <v>0.5</v>
      </c>
      <c r="AA35" s="173" t="s">
        <v>226</v>
      </c>
      <c r="AB35" s="174"/>
      <c r="AC35" s="141">
        <v>2</v>
      </c>
      <c r="AD35" s="181" t="s">
        <v>229</v>
      </c>
      <c r="AE35" s="182">
        <v>2.04</v>
      </c>
      <c r="AF35" s="152">
        <v>1.1200000000000001</v>
      </c>
      <c r="AG35" s="150">
        <v>1.1599999999999999</v>
      </c>
      <c r="AH35" s="150">
        <v>0.49</v>
      </c>
      <c r="AI35" s="151">
        <v>1.96</v>
      </c>
      <c r="AJ35" s="152">
        <v>0.38</v>
      </c>
      <c r="AK35" s="150">
        <v>2.57</v>
      </c>
      <c r="AL35" s="150">
        <v>0</v>
      </c>
      <c r="AM35" s="151">
        <v>2</v>
      </c>
      <c r="AN35" s="152">
        <v>0.93</v>
      </c>
      <c r="AO35" s="150">
        <v>1.65</v>
      </c>
      <c r="AP35" s="150">
        <v>0.97</v>
      </c>
      <c r="AQ35" s="151">
        <v>2.41</v>
      </c>
      <c r="AR35" s="152">
        <v>0.96</v>
      </c>
      <c r="AS35" s="150">
        <v>1.4</v>
      </c>
      <c r="AT35" s="150">
        <v>0.49</v>
      </c>
      <c r="AU35" s="151">
        <v>1.71</v>
      </c>
      <c r="AV35" s="152">
        <v>0.64</v>
      </c>
      <c r="AW35" s="150">
        <v>2.57</v>
      </c>
      <c r="AX35" s="150">
        <v>0</v>
      </c>
      <c r="AY35" s="151">
        <v>3.21</v>
      </c>
      <c r="AZ35" s="152">
        <v>0.45</v>
      </c>
      <c r="BA35" s="150">
        <v>1.53</v>
      </c>
      <c r="BB35" s="150">
        <v>0.16</v>
      </c>
      <c r="BC35" s="151">
        <v>2.13</v>
      </c>
      <c r="BD35" s="153">
        <v>0.56999999999999995</v>
      </c>
      <c r="BE35" s="152">
        <v>0.85</v>
      </c>
      <c r="BF35" s="150">
        <v>0</v>
      </c>
      <c r="BG35" s="150">
        <v>0.45</v>
      </c>
      <c r="BH35" s="151">
        <v>1.3</v>
      </c>
      <c r="BI35" s="152">
        <v>0.65</v>
      </c>
      <c r="BJ35" s="150">
        <v>0.51</v>
      </c>
      <c r="BK35" s="150">
        <v>0.59</v>
      </c>
      <c r="BL35" s="151">
        <v>1.76</v>
      </c>
      <c r="BM35" s="152">
        <v>1.04</v>
      </c>
      <c r="BN35" s="150">
        <v>1.02</v>
      </c>
      <c r="BO35" s="150">
        <v>0.85</v>
      </c>
      <c r="BP35" s="150">
        <v>1.19</v>
      </c>
      <c r="BQ35" s="150">
        <v>0.63</v>
      </c>
      <c r="BR35" s="150">
        <v>0.96</v>
      </c>
      <c r="BS35" s="150">
        <v>3.58</v>
      </c>
      <c r="BT35" s="150">
        <v>1.56</v>
      </c>
      <c r="BU35" s="151">
        <v>1.1599999999999999</v>
      </c>
      <c r="BV35" s="79">
        <v>1887000</v>
      </c>
      <c r="BW35" s="137">
        <v>190</v>
      </c>
      <c r="BX35" s="137">
        <v>1005</v>
      </c>
      <c r="BY35" s="162">
        <v>32.9</v>
      </c>
      <c r="BZ35" s="138">
        <v>28.6</v>
      </c>
      <c r="CA35" s="147">
        <v>6.1199999999999996E-3</v>
      </c>
      <c r="CB35" s="137">
        <v>385</v>
      </c>
      <c r="CC35" s="146">
        <v>6.6800000000000002E-3</v>
      </c>
      <c r="CD35" s="137">
        <v>385</v>
      </c>
      <c r="CE35" s="104">
        <f t="shared" si="2"/>
        <v>7.3968705547652917E-3</v>
      </c>
      <c r="CF35" s="105">
        <f t="shared" si="0"/>
        <v>2.04</v>
      </c>
    </row>
    <row r="36" spans="1:84" ht="14.25" hidden="1" customHeight="1" x14ac:dyDescent="0.25">
      <c r="A36" s="83">
        <v>35</v>
      </c>
      <c r="B36" s="84" t="s">
        <v>247</v>
      </c>
      <c r="C36" s="85" t="s">
        <v>248</v>
      </c>
      <c r="D36" s="86">
        <v>1800</v>
      </c>
      <c r="E36" s="87">
        <v>2000</v>
      </c>
      <c r="F36" s="88">
        <f t="shared" si="1"/>
        <v>3600000</v>
      </c>
      <c r="G36" s="87">
        <v>190</v>
      </c>
      <c r="H36" s="87">
        <v>1905</v>
      </c>
      <c r="I36" s="89">
        <v>0.9</v>
      </c>
      <c r="J36" s="154">
        <v>24</v>
      </c>
      <c r="K36" s="155">
        <v>32.9</v>
      </c>
      <c r="L36" s="156">
        <v>32.9</v>
      </c>
      <c r="M36" s="157">
        <v>1.04</v>
      </c>
      <c r="N36" s="88">
        <v>17.899999999999999</v>
      </c>
      <c r="O36" s="94" t="s">
        <v>215</v>
      </c>
      <c r="P36" s="95" t="s">
        <v>216</v>
      </c>
      <c r="Q36" s="96">
        <v>1.49E-3</v>
      </c>
      <c r="R36" s="97">
        <v>2.9199999999999999E-3</v>
      </c>
      <c r="S36" s="97">
        <v>5.0899999999999999E-3</v>
      </c>
      <c r="T36" s="87">
        <v>379</v>
      </c>
      <c r="U36" s="95" t="s">
        <v>217</v>
      </c>
      <c r="V36" s="96">
        <v>1.67E-3</v>
      </c>
      <c r="W36" s="87">
        <v>354</v>
      </c>
      <c r="X36" s="98">
        <v>400</v>
      </c>
      <c r="Y36" s="99">
        <v>0</v>
      </c>
      <c r="Z36" s="92">
        <v>0.5</v>
      </c>
      <c r="AA36" s="175" t="s">
        <v>226</v>
      </c>
      <c r="AB36" s="176"/>
      <c r="AC36" s="177">
        <v>2</v>
      </c>
      <c r="AD36" s="117" t="s">
        <v>229</v>
      </c>
      <c r="AE36" s="178">
        <v>2.68</v>
      </c>
      <c r="AF36" s="102">
        <v>1.1100000000000001</v>
      </c>
      <c r="AG36" s="100">
        <v>0.28000000000000003</v>
      </c>
      <c r="AH36" s="100">
        <v>0</v>
      </c>
      <c r="AI36" s="101">
        <v>1.4</v>
      </c>
      <c r="AJ36" s="102">
        <v>0.21</v>
      </c>
      <c r="AK36" s="100">
        <v>0.63</v>
      </c>
      <c r="AL36" s="100">
        <v>0</v>
      </c>
      <c r="AM36" s="101">
        <v>0.84</v>
      </c>
      <c r="AN36" s="102">
        <v>0.77</v>
      </c>
      <c r="AO36" s="100">
        <v>0.38</v>
      </c>
      <c r="AP36" s="100">
        <v>0</v>
      </c>
      <c r="AQ36" s="101">
        <v>1.1499999999999999</v>
      </c>
      <c r="AR36" s="102">
        <v>1</v>
      </c>
      <c r="AS36" s="100">
        <v>0.34</v>
      </c>
      <c r="AT36" s="100">
        <v>0</v>
      </c>
      <c r="AU36" s="101">
        <v>1.34</v>
      </c>
      <c r="AV36" s="102">
        <v>0.72</v>
      </c>
      <c r="AW36" s="100">
        <v>0.59</v>
      </c>
      <c r="AX36" s="100">
        <v>0</v>
      </c>
      <c r="AY36" s="101">
        <v>1.31</v>
      </c>
      <c r="AZ36" s="102">
        <v>0.31</v>
      </c>
      <c r="BA36" s="100">
        <v>1.28</v>
      </c>
      <c r="BB36" s="100">
        <v>0</v>
      </c>
      <c r="BC36" s="101">
        <v>1.6</v>
      </c>
      <c r="BD36" s="103">
        <v>0.64</v>
      </c>
      <c r="BE36" s="102">
        <v>1.1599999999999999</v>
      </c>
      <c r="BF36" s="100">
        <v>0</v>
      </c>
      <c r="BG36" s="100">
        <v>0</v>
      </c>
      <c r="BH36" s="101">
        <v>1.1599999999999999</v>
      </c>
      <c r="BI36" s="102">
        <v>0.52</v>
      </c>
      <c r="BJ36" s="100">
        <v>0.36</v>
      </c>
      <c r="BK36" s="100">
        <v>0</v>
      </c>
      <c r="BL36" s="101">
        <v>0.88</v>
      </c>
      <c r="BM36" s="102">
        <v>1.92</v>
      </c>
      <c r="BN36" s="100">
        <v>3.2</v>
      </c>
      <c r="BO36" s="100">
        <v>2.33</v>
      </c>
      <c r="BP36" s="100">
        <v>2</v>
      </c>
      <c r="BQ36" s="100">
        <v>2.04</v>
      </c>
      <c r="BR36" s="100">
        <v>1.68</v>
      </c>
      <c r="BS36" s="100">
        <v>4.1900000000000004</v>
      </c>
      <c r="BT36" s="100">
        <v>2.31</v>
      </c>
      <c r="BU36" s="101">
        <v>3.06</v>
      </c>
      <c r="BV36" s="79">
        <v>3600000</v>
      </c>
      <c r="BW36" s="87">
        <v>190</v>
      </c>
      <c r="BX36" s="87">
        <v>1905</v>
      </c>
      <c r="BY36" s="156">
        <v>32.9</v>
      </c>
      <c r="BZ36" s="88">
        <v>17.899999999999999</v>
      </c>
      <c r="CA36" s="97">
        <v>5.0899999999999999E-3</v>
      </c>
      <c r="CB36" s="87">
        <v>379</v>
      </c>
      <c r="CC36" s="96">
        <v>1.67E-3</v>
      </c>
      <c r="CD36" s="87">
        <v>354</v>
      </c>
      <c r="CE36" s="104">
        <f t="shared" si="2"/>
        <v>6.0789473684210527E-3</v>
      </c>
      <c r="CF36" s="105">
        <f t="shared" si="0"/>
        <v>2.68</v>
      </c>
    </row>
    <row r="37" spans="1:84" ht="14.25" hidden="1" customHeight="1" x14ac:dyDescent="0.25">
      <c r="A37" s="106">
        <v>36</v>
      </c>
      <c r="B37" s="107"/>
      <c r="C37" s="108" t="s">
        <v>249</v>
      </c>
      <c r="D37" s="109">
        <v>1800</v>
      </c>
      <c r="E37" s="110">
        <v>1200</v>
      </c>
      <c r="F37" s="111">
        <f t="shared" si="1"/>
        <v>2160000</v>
      </c>
      <c r="G37" s="110">
        <v>190</v>
      </c>
      <c r="H37" s="110">
        <v>1105</v>
      </c>
      <c r="I37" s="112">
        <v>1.5</v>
      </c>
      <c r="J37" s="160">
        <v>24</v>
      </c>
      <c r="K37" s="161">
        <v>32.9</v>
      </c>
      <c r="L37" s="162">
        <v>32.9</v>
      </c>
      <c r="M37" s="163">
        <v>1.18</v>
      </c>
      <c r="N37" s="111">
        <v>22.8</v>
      </c>
      <c r="O37" s="117" t="s">
        <v>215</v>
      </c>
      <c r="P37" s="118" t="s">
        <v>216</v>
      </c>
      <c r="Q37" s="119">
        <v>2.49E-3</v>
      </c>
      <c r="R37" s="120">
        <v>3.16E-3</v>
      </c>
      <c r="S37" s="120">
        <v>6.7400000000000003E-3</v>
      </c>
      <c r="T37" s="110">
        <v>379</v>
      </c>
      <c r="U37" s="118" t="s">
        <v>217</v>
      </c>
      <c r="V37" s="119">
        <v>1.67E-3</v>
      </c>
      <c r="W37" s="110">
        <v>354</v>
      </c>
      <c r="X37" s="121">
        <v>400</v>
      </c>
      <c r="Y37" s="165">
        <v>1.96</v>
      </c>
      <c r="Z37" s="115">
        <v>0.5</v>
      </c>
      <c r="AA37" s="167" t="s">
        <v>226</v>
      </c>
      <c r="AB37" s="168"/>
      <c r="AC37" s="179">
        <v>2</v>
      </c>
      <c r="AD37" s="117" t="s">
        <v>229</v>
      </c>
      <c r="AE37" s="180">
        <v>1.97</v>
      </c>
      <c r="AF37" s="125">
        <v>1.02</v>
      </c>
      <c r="AG37" s="123">
        <v>0.27</v>
      </c>
      <c r="AH37" s="123">
        <v>0.49</v>
      </c>
      <c r="AI37" s="124">
        <v>1.78</v>
      </c>
      <c r="AJ37" s="125">
        <v>0.38</v>
      </c>
      <c r="AK37" s="123">
        <v>0.59</v>
      </c>
      <c r="AL37" s="123">
        <v>0</v>
      </c>
      <c r="AM37" s="124">
        <v>0.98</v>
      </c>
      <c r="AN37" s="125">
        <v>0.78</v>
      </c>
      <c r="AO37" s="123">
        <v>0.38</v>
      </c>
      <c r="AP37" s="123">
        <v>0.99</v>
      </c>
      <c r="AQ37" s="124">
        <v>2.15</v>
      </c>
      <c r="AR37" s="125">
        <v>0.88</v>
      </c>
      <c r="AS37" s="123">
        <v>0.33</v>
      </c>
      <c r="AT37" s="123">
        <v>0.49</v>
      </c>
      <c r="AU37" s="124">
        <v>1.53</v>
      </c>
      <c r="AV37" s="125">
        <v>0.59</v>
      </c>
      <c r="AW37" s="123">
        <v>0.59</v>
      </c>
      <c r="AX37" s="123">
        <v>0</v>
      </c>
      <c r="AY37" s="124">
        <v>1.18</v>
      </c>
      <c r="AZ37" s="125">
        <v>0.39</v>
      </c>
      <c r="BA37" s="123">
        <v>1.27</v>
      </c>
      <c r="BB37" s="123">
        <v>0.16</v>
      </c>
      <c r="BC37" s="124">
        <v>1.81</v>
      </c>
      <c r="BD37" s="126">
        <v>0.57999999999999996</v>
      </c>
      <c r="BE37" s="125">
        <v>0.79</v>
      </c>
      <c r="BF37" s="123">
        <v>0</v>
      </c>
      <c r="BG37" s="123">
        <v>0.45</v>
      </c>
      <c r="BH37" s="124">
        <v>1.24</v>
      </c>
      <c r="BI37" s="125">
        <v>0.59</v>
      </c>
      <c r="BJ37" s="123">
        <v>0.36</v>
      </c>
      <c r="BK37" s="123">
        <v>0.59</v>
      </c>
      <c r="BL37" s="124">
        <v>1.53</v>
      </c>
      <c r="BM37" s="125">
        <v>1.1100000000000001</v>
      </c>
      <c r="BN37" s="123">
        <v>2.02</v>
      </c>
      <c r="BO37" s="123">
        <v>0.92</v>
      </c>
      <c r="BP37" s="123">
        <v>1.29</v>
      </c>
      <c r="BQ37" s="123">
        <v>1.66</v>
      </c>
      <c r="BR37" s="123">
        <v>1.0900000000000001</v>
      </c>
      <c r="BS37" s="123">
        <v>3.4</v>
      </c>
      <c r="BT37" s="123">
        <v>1.59</v>
      </c>
      <c r="BU37" s="124">
        <v>1.28</v>
      </c>
      <c r="BV37" s="79">
        <v>2160000</v>
      </c>
      <c r="BW37" s="110">
        <v>190</v>
      </c>
      <c r="BX37" s="110">
        <v>1105</v>
      </c>
      <c r="BY37" s="162">
        <v>32.9</v>
      </c>
      <c r="BZ37" s="111">
        <v>22.8</v>
      </c>
      <c r="CA37" s="120">
        <v>6.7400000000000003E-3</v>
      </c>
      <c r="CB37" s="110">
        <v>379</v>
      </c>
      <c r="CC37" s="119">
        <v>1.67E-3</v>
      </c>
      <c r="CD37" s="110">
        <v>354</v>
      </c>
      <c r="CE37" s="104">
        <f t="shared" si="2"/>
        <v>6.9736842105263168E-3</v>
      </c>
      <c r="CF37" s="105">
        <f t="shared" si="0"/>
        <v>1.97</v>
      </c>
    </row>
    <row r="38" spans="1:84" ht="14.25" hidden="1" customHeight="1" x14ac:dyDescent="0.25">
      <c r="A38" s="106">
        <v>37</v>
      </c>
      <c r="B38" s="107"/>
      <c r="C38" s="108" t="s">
        <v>250</v>
      </c>
      <c r="D38" s="109">
        <v>1800</v>
      </c>
      <c r="E38" s="110">
        <v>800</v>
      </c>
      <c r="F38" s="111">
        <f t="shared" si="1"/>
        <v>1440000</v>
      </c>
      <c r="G38" s="110">
        <v>190</v>
      </c>
      <c r="H38" s="110">
        <v>705</v>
      </c>
      <c r="I38" s="112">
        <v>2.25</v>
      </c>
      <c r="J38" s="160">
        <v>24</v>
      </c>
      <c r="K38" s="161">
        <v>32.9</v>
      </c>
      <c r="L38" s="162">
        <v>32.9</v>
      </c>
      <c r="M38" s="163">
        <v>1.04</v>
      </c>
      <c r="N38" s="111">
        <v>17.899999999999999</v>
      </c>
      <c r="O38" s="117" t="s">
        <v>215</v>
      </c>
      <c r="P38" s="118" t="s">
        <v>216</v>
      </c>
      <c r="Q38" s="119">
        <v>3.7399999999999998E-3</v>
      </c>
      <c r="R38" s="120">
        <v>3.5100000000000001E-3</v>
      </c>
      <c r="S38" s="120">
        <v>8.7899999999999992E-3</v>
      </c>
      <c r="T38" s="110">
        <v>379</v>
      </c>
      <c r="U38" s="118" t="s">
        <v>217</v>
      </c>
      <c r="V38" s="119">
        <v>1.67E-3</v>
      </c>
      <c r="W38" s="110">
        <v>354</v>
      </c>
      <c r="X38" s="121">
        <v>400</v>
      </c>
      <c r="Y38" s="122">
        <v>0</v>
      </c>
      <c r="Z38" s="115">
        <v>0.5</v>
      </c>
      <c r="AA38" s="167" t="s">
        <v>226</v>
      </c>
      <c r="AB38" s="168"/>
      <c r="AC38" s="179">
        <v>2</v>
      </c>
      <c r="AD38" s="117" t="s">
        <v>229</v>
      </c>
      <c r="AE38" s="180">
        <v>2.04</v>
      </c>
      <c r="AF38" s="125">
        <v>0.79</v>
      </c>
      <c r="AG38" s="123">
        <v>0.26</v>
      </c>
      <c r="AH38" s="123">
        <v>0</v>
      </c>
      <c r="AI38" s="124">
        <v>1.05</v>
      </c>
      <c r="AJ38" s="125">
        <v>0.21</v>
      </c>
      <c r="AK38" s="123">
        <v>0.59</v>
      </c>
      <c r="AL38" s="123">
        <v>0</v>
      </c>
      <c r="AM38" s="124">
        <v>0.8</v>
      </c>
      <c r="AN38" s="125">
        <v>0.67</v>
      </c>
      <c r="AO38" s="123">
        <v>0.38</v>
      </c>
      <c r="AP38" s="123">
        <v>0</v>
      </c>
      <c r="AQ38" s="124">
        <v>1.05</v>
      </c>
      <c r="AR38" s="125">
        <v>0.6</v>
      </c>
      <c r="AS38" s="123">
        <v>0.31</v>
      </c>
      <c r="AT38" s="123">
        <v>0</v>
      </c>
      <c r="AU38" s="124">
        <v>0.91</v>
      </c>
      <c r="AV38" s="125">
        <v>0.42</v>
      </c>
      <c r="AW38" s="123">
        <v>0.59</v>
      </c>
      <c r="AX38" s="123">
        <v>0</v>
      </c>
      <c r="AY38" s="124">
        <v>1.01</v>
      </c>
      <c r="AZ38" s="125">
        <v>0.32</v>
      </c>
      <c r="BA38" s="123">
        <v>1.25</v>
      </c>
      <c r="BB38" s="123">
        <v>0</v>
      </c>
      <c r="BC38" s="124">
        <v>1.57</v>
      </c>
      <c r="BD38" s="126">
        <v>0.52</v>
      </c>
      <c r="BE38" s="125">
        <v>0.46</v>
      </c>
      <c r="BF38" s="123">
        <v>0</v>
      </c>
      <c r="BG38" s="123">
        <v>0</v>
      </c>
      <c r="BH38" s="124">
        <v>0.46</v>
      </c>
      <c r="BI38" s="125">
        <v>0.52</v>
      </c>
      <c r="BJ38" s="123">
        <v>0.36</v>
      </c>
      <c r="BK38" s="123">
        <v>0</v>
      </c>
      <c r="BL38" s="124">
        <v>0.88</v>
      </c>
      <c r="BM38" s="125">
        <v>1.94</v>
      </c>
      <c r="BN38" s="123">
        <v>2.54</v>
      </c>
      <c r="BO38" s="123">
        <v>1.94</v>
      </c>
      <c r="BP38" s="123">
        <v>2.2400000000000002</v>
      </c>
      <c r="BQ38" s="123">
        <v>2.0099999999999998</v>
      </c>
      <c r="BR38" s="123">
        <v>1.3</v>
      </c>
      <c r="BS38" s="123">
        <v>3.92</v>
      </c>
      <c r="BT38" s="123">
        <v>4.4000000000000004</v>
      </c>
      <c r="BU38" s="124">
        <v>2.33</v>
      </c>
      <c r="BV38" s="79">
        <v>1440000</v>
      </c>
      <c r="BW38" s="110">
        <v>190</v>
      </c>
      <c r="BX38" s="110">
        <v>705</v>
      </c>
      <c r="BY38" s="162">
        <v>32.9</v>
      </c>
      <c r="BZ38" s="111">
        <v>17.899999999999999</v>
      </c>
      <c r="CA38" s="120">
        <v>8.7899999999999992E-3</v>
      </c>
      <c r="CB38" s="110">
        <v>379</v>
      </c>
      <c r="CC38" s="119">
        <v>1.67E-3</v>
      </c>
      <c r="CD38" s="110">
        <v>354</v>
      </c>
      <c r="CE38" s="104">
        <f t="shared" si="2"/>
        <v>2.8947368421052635E-2</v>
      </c>
      <c r="CF38" s="105">
        <f t="shared" si="0"/>
        <v>2.04</v>
      </c>
    </row>
    <row r="39" spans="1:84" ht="14.25" hidden="1" customHeight="1" x14ac:dyDescent="0.25">
      <c r="A39" s="127">
        <v>38</v>
      </c>
      <c r="B39" s="107"/>
      <c r="C39" s="108" t="s">
        <v>251</v>
      </c>
      <c r="D39" s="128">
        <v>1800</v>
      </c>
      <c r="E39" s="129">
        <v>1200</v>
      </c>
      <c r="F39" s="111">
        <f t="shared" si="1"/>
        <v>2160000</v>
      </c>
      <c r="G39" s="129">
        <v>190</v>
      </c>
      <c r="H39" s="129">
        <v>1105</v>
      </c>
      <c r="I39" s="112">
        <v>1.5</v>
      </c>
      <c r="J39" s="160">
        <v>24</v>
      </c>
      <c r="K39" s="161">
        <v>32.9</v>
      </c>
      <c r="L39" s="162">
        <v>32.9</v>
      </c>
      <c r="M39" s="163">
        <v>1.18</v>
      </c>
      <c r="N39" s="111">
        <v>22.8</v>
      </c>
      <c r="O39" s="117" t="s">
        <v>215</v>
      </c>
      <c r="P39" s="118" t="s">
        <v>216</v>
      </c>
      <c r="Q39" s="119">
        <v>2.49E-3</v>
      </c>
      <c r="R39" s="120">
        <v>3.16E-3</v>
      </c>
      <c r="S39" s="120">
        <v>6.7400000000000003E-3</v>
      </c>
      <c r="T39" s="110">
        <v>379</v>
      </c>
      <c r="U39" s="118" t="s">
        <v>217</v>
      </c>
      <c r="V39" s="119">
        <v>1.67E-3</v>
      </c>
      <c r="W39" s="110">
        <v>354</v>
      </c>
      <c r="X39" s="121">
        <v>400</v>
      </c>
      <c r="Y39" s="165">
        <v>3.92</v>
      </c>
      <c r="Z39" s="115">
        <v>0.5</v>
      </c>
      <c r="AA39" s="167" t="s">
        <v>226</v>
      </c>
      <c r="AB39" s="168"/>
      <c r="AC39" s="179">
        <v>2</v>
      </c>
      <c r="AD39" s="117" t="s">
        <v>229</v>
      </c>
      <c r="AE39" s="180">
        <v>2.4</v>
      </c>
      <c r="AF39" s="125">
        <v>1.02</v>
      </c>
      <c r="AG39" s="123">
        <v>0.27</v>
      </c>
      <c r="AH39" s="123">
        <v>0.98</v>
      </c>
      <c r="AI39" s="124">
        <v>1.78</v>
      </c>
      <c r="AJ39" s="125">
        <v>0.38</v>
      </c>
      <c r="AK39" s="123">
        <v>0.59</v>
      </c>
      <c r="AL39" s="123">
        <v>0</v>
      </c>
      <c r="AM39" s="124">
        <v>0.98</v>
      </c>
      <c r="AN39" s="125">
        <v>0.78</v>
      </c>
      <c r="AO39" s="123">
        <v>0.38</v>
      </c>
      <c r="AP39" s="123">
        <v>1.89</v>
      </c>
      <c r="AQ39" s="124">
        <v>2.15</v>
      </c>
      <c r="AR39" s="125">
        <v>0.88</v>
      </c>
      <c r="AS39" s="123">
        <v>0.33</v>
      </c>
      <c r="AT39" s="123">
        <v>0.98</v>
      </c>
      <c r="AU39" s="124">
        <v>1.53</v>
      </c>
      <c r="AV39" s="125">
        <v>0.59</v>
      </c>
      <c r="AW39" s="123">
        <v>0.59</v>
      </c>
      <c r="AX39" s="123">
        <v>0</v>
      </c>
      <c r="AY39" s="124">
        <v>1.18</v>
      </c>
      <c r="AZ39" s="125">
        <v>0.39</v>
      </c>
      <c r="BA39" s="123">
        <v>1.27</v>
      </c>
      <c r="BB39" s="123">
        <v>0.32</v>
      </c>
      <c r="BC39" s="124">
        <v>1.97</v>
      </c>
      <c r="BD39" s="126">
        <v>0.57999999999999996</v>
      </c>
      <c r="BE39" s="125">
        <v>0.79</v>
      </c>
      <c r="BF39" s="123">
        <v>0</v>
      </c>
      <c r="BG39" s="123">
        <v>0.9</v>
      </c>
      <c r="BH39" s="124">
        <v>1.69</v>
      </c>
      <c r="BI39" s="125">
        <v>0.59</v>
      </c>
      <c r="BJ39" s="123">
        <v>0.36</v>
      </c>
      <c r="BK39" s="123">
        <v>1.18</v>
      </c>
      <c r="BL39" s="124">
        <v>2.12</v>
      </c>
      <c r="BM39" s="125">
        <v>1.35</v>
      </c>
      <c r="BN39" s="123">
        <v>2.46</v>
      </c>
      <c r="BO39" s="123">
        <v>1.1200000000000001</v>
      </c>
      <c r="BP39" s="123">
        <v>1.57</v>
      </c>
      <c r="BQ39" s="123">
        <v>2.02</v>
      </c>
      <c r="BR39" s="123">
        <v>1.22</v>
      </c>
      <c r="BS39" s="123">
        <v>4.1399999999999997</v>
      </c>
      <c r="BT39" s="123">
        <v>1.42</v>
      </c>
      <c r="BU39" s="124">
        <v>1.1299999999999999</v>
      </c>
      <c r="BV39" s="79">
        <v>2160000</v>
      </c>
      <c r="BW39" s="129">
        <v>190</v>
      </c>
      <c r="BX39" s="129">
        <v>1105</v>
      </c>
      <c r="BY39" s="162">
        <v>32.9</v>
      </c>
      <c r="BZ39" s="111">
        <v>22.8</v>
      </c>
      <c r="CA39" s="120">
        <v>6.7400000000000003E-3</v>
      </c>
      <c r="CB39" s="110">
        <v>379</v>
      </c>
      <c r="CC39" s="119">
        <v>1.67E-3</v>
      </c>
      <c r="CD39" s="110">
        <v>354</v>
      </c>
      <c r="CE39" s="104">
        <f t="shared" si="2"/>
        <v>6.2280701754385956E-3</v>
      </c>
      <c r="CF39" s="105">
        <f t="shared" si="0"/>
        <v>2.4</v>
      </c>
    </row>
    <row r="40" spans="1:84" ht="14.25" hidden="1" customHeight="1" x14ac:dyDescent="0.25">
      <c r="A40" s="127">
        <v>39</v>
      </c>
      <c r="B40" s="107"/>
      <c r="C40" s="108" t="s">
        <v>252</v>
      </c>
      <c r="D40" s="128">
        <v>1800</v>
      </c>
      <c r="E40" s="129">
        <v>1200</v>
      </c>
      <c r="F40" s="111">
        <f t="shared" si="1"/>
        <v>2160000</v>
      </c>
      <c r="G40" s="129">
        <v>190</v>
      </c>
      <c r="H40" s="129">
        <v>1105</v>
      </c>
      <c r="I40" s="112">
        <v>1.5</v>
      </c>
      <c r="J40" s="160">
        <v>24</v>
      </c>
      <c r="K40" s="161">
        <v>32.9</v>
      </c>
      <c r="L40" s="162">
        <v>32.9</v>
      </c>
      <c r="M40" s="163">
        <v>1.18</v>
      </c>
      <c r="N40" s="111">
        <v>22.8</v>
      </c>
      <c r="O40" s="117" t="s">
        <v>215</v>
      </c>
      <c r="P40" s="118" t="s">
        <v>216</v>
      </c>
      <c r="Q40" s="119">
        <v>2.49E-3</v>
      </c>
      <c r="R40" s="120">
        <v>3.16E-3</v>
      </c>
      <c r="S40" s="120">
        <v>6.7400000000000003E-3</v>
      </c>
      <c r="T40" s="110">
        <v>379</v>
      </c>
      <c r="U40" s="118" t="s">
        <v>217</v>
      </c>
      <c r="V40" s="119">
        <v>1.67E-3</v>
      </c>
      <c r="W40" s="110">
        <v>354</v>
      </c>
      <c r="X40" s="121">
        <v>400</v>
      </c>
      <c r="Y40" s="165">
        <v>5.87</v>
      </c>
      <c r="Z40" s="115">
        <v>0.5</v>
      </c>
      <c r="AA40" s="167" t="s">
        <v>226</v>
      </c>
      <c r="AB40" s="168"/>
      <c r="AC40" s="179">
        <v>2</v>
      </c>
      <c r="AD40" s="117" t="s">
        <v>229</v>
      </c>
      <c r="AE40" s="180">
        <v>2.61</v>
      </c>
      <c r="AF40" s="125">
        <v>1.02</v>
      </c>
      <c r="AG40" s="123">
        <v>0.27</v>
      </c>
      <c r="AH40" s="123">
        <v>1.47</v>
      </c>
      <c r="AI40" s="124">
        <v>1.78</v>
      </c>
      <c r="AJ40" s="125">
        <v>0.38</v>
      </c>
      <c r="AK40" s="123">
        <v>0.59</v>
      </c>
      <c r="AL40" s="123">
        <v>0</v>
      </c>
      <c r="AM40" s="124">
        <v>0.98</v>
      </c>
      <c r="AN40" s="125">
        <v>0.78</v>
      </c>
      <c r="AO40" s="123">
        <v>0.38</v>
      </c>
      <c r="AP40" s="123">
        <v>2.71</v>
      </c>
      <c r="AQ40" s="124">
        <v>2.15</v>
      </c>
      <c r="AR40" s="125">
        <v>0.88</v>
      </c>
      <c r="AS40" s="123">
        <v>0.33</v>
      </c>
      <c r="AT40" s="123">
        <v>1.47</v>
      </c>
      <c r="AU40" s="124">
        <v>1.53</v>
      </c>
      <c r="AV40" s="125">
        <v>0.59</v>
      </c>
      <c r="AW40" s="123">
        <v>0.59</v>
      </c>
      <c r="AX40" s="123">
        <v>0</v>
      </c>
      <c r="AY40" s="124">
        <v>1.18</v>
      </c>
      <c r="AZ40" s="125">
        <v>0.39</v>
      </c>
      <c r="BA40" s="123">
        <v>1.27</v>
      </c>
      <c r="BB40" s="123">
        <v>0.47</v>
      </c>
      <c r="BC40" s="124">
        <v>2.13</v>
      </c>
      <c r="BD40" s="126">
        <v>0.57999999999999996</v>
      </c>
      <c r="BE40" s="125">
        <v>0.79</v>
      </c>
      <c r="BF40" s="123">
        <v>0</v>
      </c>
      <c r="BG40" s="123">
        <v>1.35</v>
      </c>
      <c r="BH40" s="124">
        <v>2.14</v>
      </c>
      <c r="BI40" s="125">
        <v>0.59</v>
      </c>
      <c r="BJ40" s="123">
        <v>0.36</v>
      </c>
      <c r="BK40" s="123">
        <v>1.76</v>
      </c>
      <c r="BL40" s="124">
        <v>2.15</v>
      </c>
      <c r="BM40" s="125">
        <v>1.47</v>
      </c>
      <c r="BN40" s="123">
        <v>2.68</v>
      </c>
      <c r="BO40" s="123">
        <v>1.21</v>
      </c>
      <c r="BP40" s="123">
        <v>1.71</v>
      </c>
      <c r="BQ40" s="123">
        <v>2.2000000000000002</v>
      </c>
      <c r="BR40" s="123">
        <v>1.23</v>
      </c>
      <c r="BS40" s="123">
        <v>4.5</v>
      </c>
      <c r="BT40" s="123">
        <v>1.22</v>
      </c>
      <c r="BU40" s="124">
        <v>1.22</v>
      </c>
      <c r="BV40" s="79">
        <v>2160000</v>
      </c>
      <c r="BW40" s="129">
        <v>190</v>
      </c>
      <c r="BX40" s="129">
        <v>1105</v>
      </c>
      <c r="BY40" s="162">
        <v>32.9</v>
      </c>
      <c r="BZ40" s="111">
        <v>22.8</v>
      </c>
      <c r="CA40" s="120">
        <v>6.7400000000000003E-3</v>
      </c>
      <c r="CB40" s="110">
        <v>379</v>
      </c>
      <c r="CC40" s="119">
        <v>1.67E-3</v>
      </c>
      <c r="CD40" s="110">
        <v>354</v>
      </c>
      <c r="CE40" s="104">
        <f t="shared" si="2"/>
        <v>5.3508771929824559E-3</v>
      </c>
      <c r="CF40" s="105">
        <f t="shared" si="0"/>
        <v>2.61</v>
      </c>
    </row>
    <row r="41" spans="1:84" ht="14.25" hidden="1" customHeight="1" x14ac:dyDescent="0.25">
      <c r="A41" s="106">
        <v>40</v>
      </c>
      <c r="B41" s="107"/>
      <c r="C41" s="108" t="s">
        <v>253</v>
      </c>
      <c r="D41" s="109">
        <v>1800</v>
      </c>
      <c r="E41" s="110">
        <v>2000</v>
      </c>
      <c r="F41" s="111">
        <f t="shared" si="1"/>
        <v>3600000</v>
      </c>
      <c r="G41" s="110">
        <v>190</v>
      </c>
      <c r="H41" s="110">
        <v>1905</v>
      </c>
      <c r="I41" s="112">
        <v>0.9</v>
      </c>
      <c r="J41" s="160">
        <v>24</v>
      </c>
      <c r="K41" s="161">
        <v>32.9</v>
      </c>
      <c r="L41" s="162">
        <v>32.9</v>
      </c>
      <c r="M41" s="163">
        <v>1.27</v>
      </c>
      <c r="N41" s="111">
        <v>26.7</v>
      </c>
      <c r="O41" s="117" t="s">
        <v>215</v>
      </c>
      <c r="P41" s="118" t="s">
        <v>216</v>
      </c>
      <c r="Q41" s="119">
        <v>1.49E-3</v>
      </c>
      <c r="R41" s="120">
        <v>2.9199999999999999E-3</v>
      </c>
      <c r="S41" s="120">
        <v>5.0899999999999999E-3</v>
      </c>
      <c r="T41" s="110">
        <v>375</v>
      </c>
      <c r="U41" s="118" t="s">
        <v>217</v>
      </c>
      <c r="V41" s="119">
        <v>1.67E-3</v>
      </c>
      <c r="W41" s="110">
        <v>354</v>
      </c>
      <c r="X41" s="121">
        <v>400</v>
      </c>
      <c r="Y41" s="122">
        <v>0</v>
      </c>
      <c r="Z41" s="115">
        <v>0.5</v>
      </c>
      <c r="AA41" s="167" t="s">
        <v>226</v>
      </c>
      <c r="AB41" s="168"/>
      <c r="AC41" s="179">
        <v>2</v>
      </c>
      <c r="AD41" s="117" t="s">
        <v>229</v>
      </c>
      <c r="AE41" s="180">
        <v>3.12</v>
      </c>
      <c r="AF41" s="125">
        <v>1.36</v>
      </c>
      <c r="AG41" s="123">
        <v>0.28000000000000003</v>
      </c>
      <c r="AH41" s="123">
        <v>0</v>
      </c>
      <c r="AI41" s="124">
        <v>1.64</v>
      </c>
      <c r="AJ41" s="125">
        <v>0.21</v>
      </c>
      <c r="AK41" s="123">
        <v>0.59</v>
      </c>
      <c r="AL41" s="123">
        <v>0</v>
      </c>
      <c r="AM41" s="124">
        <v>0.8</v>
      </c>
      <c r="AN41" s="125">
        <v>0.94</v>
      </c>
      <c r="AO41" s="123">
        <v>0.38</v>
      </c>
      <c r="AP41" s="123">
        <v>0</v>
      </c>
      <c r="AQ41" s="124">
        <v>1.32</v>
      </c>
      <c r="AR41" s="125">
        <v>1.22</v>
      </c>
      <c r="AS41" s="123">
        <v>0.34</v>
      </c>
      <c r="AT41" s="123">
        <v>0</v>
      </c>
      <c r="AU41" s="124">
        <v>1.56</v>
      </c>
      <c r="AV41" s="125">
        <v>0.88</v>
      </c>
      <c r="AW41" s="123">
        <v>0.59</v>
      </c>
      <c r="AX41" s="123">
        <v>0</v>
      </c>
      <c r="AY41" s="124">
        <v>1.47</v>
      </c>
      <c r="AZ41" s="125">
        <v>0.39</v>
      </c>
      <c r="BA41" s="123">
        <v>1.28</v>
      </c>
      <c r="BB41" s="123">
        <v>0</v>
      </c>
      <c r="BC41" s="124">
        <v>1.67</v>
      </c>
      <c r="BD41" s="126">
        <v>0.69</v>
      </c>
      <c r="BE41" s="125">
        <v>1.41</v>
      </c>
      <c r="BF41" s="123">
        <v>0</v>
      </c>
      <c r="BG41" s="123">
        <v>0</v>
      </c>
      <c r="BH41" s="124">
        <v>1.41</v>
      </c>
      <c r="BI41" s="125">
        <v>0.63</v>
      </c>
      <c r="BJ41" s="123">
        <v>0.36</v>
      </c>
      <c r="BK41" s="123">
        <v>0</v>
      </c>
      <c r="BL41" s="124">
        <v>0.99</v>
      </c>
      <c r="BM41" s="125">
        <v>1.9</v>
      </c>
      <c r="BN41" s="123">
        <v>3.89</v>
      </c>
      <c r="BO41" s="123">
        <v>2.37</v>
      </c>
      <c r="BP41" s="123">
        <v>2</v>
      </c>
      <c r="BQ41" s="123">
        <v>2.12</v>
      </c>
      <c r="BR41" s="123">
        <v>1.87</v>
      </c>
      <c r="BS41" s="123">
        <v>4.53</v>
      </c>
      <c r="BT41" s="123">
        <v>2.21</v>
      </c>
      <c r="BU41" s="124">
        <v>3.15</v>
      </c>
      <c r="BV41" s="79">
        <v>3600000</v>
      </c>
      <c r="BW41" s="110">
        <v>190</v>
      </c>
      <c r="BX41" s="110">
        <v>1905</v>
      </c>
      <c r="BY41" s="162">
        <v>32.9</v>
      </c>
      <c r="BZ41" s="111">
        <v>26.7</v>
      </c>
      <c r="CA41" s="120">
        <v>5.0899999999999999E-3</v>
      </c>
      <c r="CB41" s="110">
        <v>375</v>
      </c>
      <c r="CC41" s="119">
        <v>1.67E-3</v>
      </c>
      <c r="CD41" s="110">
        <v>354</v>
      </c>
      <c r="CE41" s="104">
        <f t="shared" si="2"/>
        <v>5.8157894736842099E-3</v>
      </c>
      <c r="CF41" s="105">
        <f t="shared" si="0"/>
        <v>3.12</v>
      </c>
    </row>
    <row r="42" spans="1:84" ht="14.25" hidden="1" customHeight="1" x14ac:dyDescent="0.25">
      <c r="A42" s="106">
        <v>41</v>
      </c>
      <c r="B42" s="107"/>
      <c r="C42" s="108" t="s">
        <v>254</v>
      </c>
      <c r="D42" s="109">
        <v>1800</v>
      </c>
      <c r="E42" s="110">
        <v>1200</v>
      </c>
      <c r="F42" s="111">
        <f t="shared" si="1"/>
        <v>2160000</v>
      </c>
      <c r="G42" s="110">
        <v>190</v>
      </c>
      <c r="H42" s="110">
        <v>1105</v>
      </c>
      <c r="I42" s="112">
        <v>1.5</v>
      </c>
      <c r="J42" s="160">
        <v>24</v>
      </c>
      <c r="K42" s="161">
        <v>32.9</v>
      </c>
      <c r="L42" s="162">
        <v>32.9</v>
      </c>
      <c r="M42" s="163">
        <v>1.23</v>
      </c>
      <c r="N42" s="111">
        <v>25.2</v>
      </c>
      <c r="O42" s="117" t="s">
        <v>215</v>
      </c>
      <c r="P42" s="118" t="s">
        <v>216</v>
      </c>
      <c r="Q42" s="119">
        <v>2.49E-3</v>
      </c>
      <c r="R42" s="120">
        <v>3.16E-3</v>
      </c>
      <c r="S42" s="120">
        <v>6.7400000000000003E-3</v>
      </c>
      <c r="T42" s="110">
        <v>379</v>
      </c>
      <c r="U42" s="118" t="s">
        <v>217</v>
      </c>
      <c r="V42" s="119">
        <v>1.67E-3</v>
      </c>
      <c r="W42" s="110">
        <v>354</v>
      </c>
      <c r="X42" s="121">
        <v>400</v>
      </c>
      <c r="Y42" s="122">
        <v>0</v>
      </c>
      <c r="Z42" s="115">
        <v>0.5</v>
      </c>
      <c r="AA42" s="167" t="s">
        <v>226</v>
      </c>
      <c r="AB42" s="168"/>
      <c r="AC42" s="179">
        <v>2</v>
      </c>
      <c r="AD42" s="117" t="s">
        <v>229</v>
      </c>
      <c r="AE42" s="180">
        <v>2.3199999999999998</v>
      </c>
      <c r="AF42" s="125">
        <v>1.07</v>
      </c>
      <c r="AG42" s="123">
        <v>0.27</v>
      </c>
      <c r="AH42" s="123">
        <v>0</v>
      </c>
      <c r="AI42" s="124">
        <v>1.34</v>
      </c>
      <c r="AJ42" s="125">
        <v>0.21</v>
      </c>
      <c r="AK42" s="123">
        <v>0.59</v>
      </c>
      <c r="AL42" s="123">
        <v>0</v>
      </c>
      <c r="AM42" s="124">
        <v>0.8</v>
      </c>
      <c r="AN42" s="125">
        <v>0.82</v>
      </c>
      <c r="AO42" s="123">
        <v>0.38</v>
      </c>
      <c r="AP42" s="123">
        <v>0</v>
      </c>
      <c r="AQ42" s="124">
        <v>1.2</v>
      </c>
      <c r="AR42" s="125">
        <v>0.92</v>
      </c>
      <c r="AS42" s="123">
        <v>0.33</v>
      </c>
      <c r="AT42" s="123">
        <v>0</v>
      </c>
      <c r="AU42" s="124">
        <v>1.25</v>
      </c>
      <c r="AV42" s="125">
        <v>0.62</v>
      </c>
      <c r="AW42" s="123">
        <v>0.59</v>
      </c>
      <c r="AX42" s="123">
        <v>0</v>
      </c>
      <c r="AY42" s="124">
        <v>1.21</v>
      </c>
      <c r="AZ42" s="125">
        <v>0.41</v>
      </c>
      <c r="BA42" s="123">
        <v>1.27</v>
      </c>
      <c r="BB42" s="123">
        <v>0</v>
      </c>
      <c r="BC42" s="124">
        <v>1.68</v>
      </c>
      <c r="BD42" s="126">
        <v>0.57999999999999996</v>
      </c>
      <c r="BE42" s="125">
        <v>0.82</v>
      </c>
      <c r="BF42" s="123">
        <v>0</v>
      </c>
      <c r="BG42" s="123">
        <v>0</v>
      </c>
      <c r="BH42" s="124">
        <v>0.82</v>
      </c>
      <c r="BI42" s="125">
        <v>0.62</v>
      </c>
      <c r="BJ42" s="123">
        <v>0.36</v>
      </c>
      <c r="BK42" s="123">
        <v>0</v>
      </c>
      <c r="BL42" s="124">
        <v>0.97</v>
      </c>
      <c r="BM42" s="125">
        <v>1.73</v>
      </c>
      <c r="BN42" s="123">
        <v>2.89</v>
      </c>
      <c r="BO42" s="123">
        <v>1.93</v>
      </c>
      <c r="BP42" s="123">
        <v>1.85</v>
      </c>
      <c r="BQ42" s="123">
        <v>1.91</v>
      </c>
      <c r="BR42" s="123">
        <v>1.38</v>
      </c>
      <c r="BS42" s="123">
        <v>4</v>
      </c>
      <c r="BT42" s="123">
        <v>2.82</v>
      </c>
      <c r="BU42" s="124">
        <v>2.39</v>
      </c>
      <c r="BV42" s="79">
        <v>2160000</v>
      </c>
      <c r="BW42" s="110">
        <v>190</v>
      </c>
      <c r="BX42" s="110">
        <v>1105</v>
      </c>
      <c r="BY42" s="162">
        <v>32.9</v>
      </c>
      <c r="BZ42" s="111">
        <v>25.2</v>
      </c>
      <c r="CA42" s="120">
        <v>6.7400000000000003E-3</v>
      </c>
      <c r="CB42" s="110">
        <v>379</v>
      </c>
      <c r="CC42" s="119">
        <v>1.67E-3</v>
      </c>
      <c r="CD42" s="110">
        <v>354</v>
      </c>
      <c r="CE42" s="104">
        <f t="shared" si="2"/>
        <v>1.2368421052631579E-2</v>
      </c>
      <c r="CF42" s="105">
        <f t="shared" si="0"/>
        <v>2.3199999999999998</v>
      </c>
    </row>
    <row r="43" spans="1:84" ht="14.25" hidden="1" customHeight="1" x14ac:dyDescent="0.25">
      <c r="A43" s="133">
        <v>42</v>
      </c>
      <c r="B43" s="134"/>
      <c r="C43" s="135" t="s">
        <v>255</v>
      </c>
      <c r="D43" s="136">
        <v>1800</v>
      </c>
      <c r="E43" s="137">
        <v>800</v>
      </c>
      <c r="F43" s="138">
        <f t="shared" si="1"/>
        <v>1440000</v>
      </c>
      <c r="G43" s="137">
        <v>190</v>
      </c>
      <c r="H43" s="137">
        <v>705</v>
      </c>
      <c r="I43" s="139">
        <v>2.25</v>
      </c>
      <c r="J43" s="169">
        <v>24</v>
      </c>
      <c r="K43" s="170">
        <v>32.9</v>
      </c>
      <c r="L43" s="162">
        <v>32.9</v>
      </c>
      <c r="M43" s="171">
        <v>1.1399999999999999</v>
      </c>
      <c r="N43" s="138">
        <v>21.4</v>
      </c>
      <c r="O43" s="144" t="s">
        <v>215</v>
      </c>
      <c r="P43" s="145" t="s">
        <v>216</v>
      </c>
      <c r="Q43" s="146">
        <v>3.7399999999999998E-3</v>
      </c>
      <c r="R43" s="147">
        <v>3.5100000000000001E-3</v>
      </c>
      <c r="S43" s="147">
        <v>8.7899999999999992E-3</v>
      </c>
      <c r="T43" s="137">
        <v>379</v>
      </c>
      <c r="U43" s="145" t="s">
        <v>217</v>
      </c>
      <c r="V43" s="146">
        <v>1.67E-3</v>
      </c>
      <c r="W43" s="137">
        <v>354</v>
      </c>
      <c r="X43" s="148">
        <v>400</v>
      </c>
      <c r="Y43" s="149">
        <v>0</v>
      </c>
      <c r="Z43" s="142">
        <v>0.5</v>
      </c>
      <c r="AA43" s="173" t="s">
        <v>226</v>
      </c>
      <c r="AB43" s="174"/>
      <c r="AC43" s="183">
        <v>2</v>
      </c>
      <c r="AD43" s="181" t="s">
        <v>229</v>
      </c>
      <c r="AE43" s="182">
        <v>2.04</v>
      </c>
      <c r="AF43" s="152">
        <v>0.86</v>
      </c>
      <c r="AG43" s="150">
        <v>0.26</v>
      </c>
      <c r="AH43" s="150">
        <v>0</v>
      </c>
      <c r="AI43" s="151">
        <v>1.1200000000000001</v>
      </c>
      <c r="AJ43" s="152">
        <v>0.21</v>
      </c>
      <c r="AK43" s="150">
        <v>0.59</v>
      </c>
      <c r="AL43" s="150">
        <v>0</v>
      </c>
      <c r="AM43" s="151">
        <v>0.8</v>
      </c>
      <c r="AN43" s="152">
        <v>0.73</v>
      </c>
      <c r="AO43" s="150">
        <v>0.38</v>
      </c>
      <c r="AP43" s="150">
        <v>0</v>
      </c>
      <c r="AQ43" s="151">
        <v>1.1100000000000001</v>
      </c>
      <c r="AR43" s="152">
        <v>0.65</v>
      </c>
      <c r="AS43" s="150">
        <v>0.31</v>
      </c>
      <c r="AT43" s="150">
        <v>0</v>
      </c>
      <c r="AU43" s="151">
        <v>0.96</v>
      </c>
      <c r="AV43" s="152">
        <v>0.46</v>
      </c>
      <c r="AW43" s="150">
        <v>0.59</v>
      </c>
      <c r="AX43" s="150">
        <v>0</v>
      </c>
      <c r="AY43" s="151">
        <v>1.05</v>
      </c>
      <c r="AZ43" s="152">
        <v>0.35</v>
      </c>
      <c r="BA43" s="150">
        <v>1.25</v>
      </c>
      <c r="BB43" s="150">
        <v>0</v>
      </c>
      <c r="BC43" s="151">
        <v>1.61</v>
      </c>
      <c r="BD43" s="153">
        <v>0.52</v>
      </c>
      <c r="BE43" s="152">
        <v>0.51</v>
      </c>
      <c r="BF43" s="150">
        <v>0</v>
      </c>
      <c r="BG43" s="150">
        <v>0</v>
      </c>
      <c r="BH43" s="151">
        <v>0.51</v>
      </c>
      <c r="BI43" s="152">
        <v>0.56999999999999995</v>
      </c>
      <c r="BJ43" s="150">
        <v>0.36</v>
      </c>
      <c r="BK43" s="150">
        <v>0</v>
      </c>
      <c r="BL43" s="151">
        <v>0.93</v>
      </c>
      <c r="BM43" s="152">
        <v>1.81</v>
      </c>
      <c r="BN43" s="150">
        <v>2.54</v>
      </c>
      <c r="BO43" s="150">
        <v>1.83</v>
      </c>
      <c r="BP43" s="150">
        <v>2.11</v>
      </c>
      <c r="BQ43" s="150">
        <v>1.94</v>
      </c>
      <c r="BR43" s="150">
        <v>1.27</v>
      </c>
      <c r="BS43" s="150">
        <v>3.92</v>
      </c>
      <c r="BT43" s="150">
        <v>4.0199999999999996</v>
      </c>
      <c r="BU43" s="151">
        <v>2.2000000000000002</v>
      </c>
      <c r="BV43" s="79">
        <v>1440000</v>
      </c>
      <c r="BW43" s="137">
        <v>190</v>
      </c>
      <c r="BX43" s="137">
        <v>705</v>
      </c>
      <c r="BY43" s="162">
        <v>32.9</v>
      </c>
      <c r="BZ43" s="138">
        <v>21.4</v>
      </c>
      <c r="CA43" s="147">
        <v>8.7899999999999992E-3</v>
      </c>
      <c r="CB43" s="137">
        <v>379</v>
      </c>
      <c r="CC43" s="146">
        <v>1.67E-3</v>
      </c>
      <c r="CD43" s="137">
        <v>354</v>
      </c>
      <c r="CE43" s="104">
        <f t="shared" si="2"/>
        <v>2.6447368421052629E-2</v>
      </c>
      <c r="CF43" s="105">
        <f t="shared" si="0"/>
        <v>2.04</v>
      </c>
    </row>
    <row r="44" spans="1:84" ht="14.25" hidden="1" customHeight="1" x14ac:dyDescent="0.25">
      <c r="A44" s="83">
        <v>43</v>
      </c>
      <c r="B44" s="84" t="s">
        <v>256</v>
      </c>
      <c r="C44" s="85" t="s">
        <v>257</v>
      </c>
      <c r="D44" s="86">
        <v>1422</v>
      </c>
      <c r="E44" s="87">
        <v>1219</v>
      </c>
      <c r="F44" s="88">
        <f t="shared" si="1"/>
        <v>1733418</v>
      </c>
      <c r="G44" s="87">
        <v>194</v>
      </c>
      <c r="H44" s="87">
        <v>1143</v>
      </c>
      <c r="I44" s="89">
        <v>1.17</v>
      </c>
      <c r="J44" s="154">
        <v>24</v>
      </c>
      <c r="K44" s="155">
        <v>19.2</v>
      </c>
      <c r="L44" s="156">
        <v>22</v>
      </c>
      <c r="M44" s="157">
        <v>1.19</v>
      </c>
      <c r="N44" s="88">
        <v>23.1</v>
      </c>
      <c r="O44" s="94" t="s">
        <v>215</v>
      </c>
      <c r="P44" s="95" t="s">
        <v>216</v>
      </c>
      <c r="Q44" s="96">
        <v>8.4999999999999995E-4</v>
      </c>
      <c r="R44" s="97">
        <v>0</v>
      </c>
      <c r="S44" s="97">
        <v>1.6900000000000001E-3</v>
      </c>
      <c r="T44" s="87">
        <v>465</v>
      </c>
      <c r="U44" s="95" t="s">
        <v>217</v>
      </c>
      <c r="V44" s="96">
        <v>2.8700000000000002E-3</v>
      </c>
      <c r="W44" s="87">
        <v>407</v>
      </c>
      <c r="X44" s="98">
        <v>284</v>
      </c>
      <c r="Y44" s="158">
        <v>1.88</v>
      </c>
      <c r="Z44" s="92">
        <v>0.5</v>
      </c>
      <c r="AA44" s="175" t="s">
        <v>226</v>
      </c>
      <c r="AB44" s="176"/>
      <c r="AC44" s="91">
        <v>5.4</v>
      </c>
      <c r="AD44" s="117" t="s">
        <v>229</v>
      </c>
      <c r="AE44" s="178">
        <v>1.95</v>
      </c>
      <c r="AF44" s="102">
        <v>1.1599999999999999</v>
      </c>
      <c r="AG44" s="100">
        <v>0.55000000000000004</v>
      </c>
      <c r="AH44" s="100">
        <v>0.47</v>
      </c>
      <c r="AI44" s="101">
        <v>2</v>
      </c>
      <c r="AJ44" s="102">
        <v>0.28999999999999998</v>
      </c>
      <c r="AK44" s="100">
        <v>1.01</v>
      </c>
      <c r="AL44" s="100">
        <v>0</v>
      </c>
      <c r="AM44" s="101">
        <v>1.3</v>
      </c>
      <c r="AN44" s="102">
        <v>0</v>
      </c>
      <c r="AO44" s="100">
        <v>0.75</v>
      </c>
      <c r="AP44" s="100">
        <v>1.28</v>
      </c>
      <c r="AQ44" s="101">
        <v>2.02</v>
      </c>
      <c r="AR44" s="102">
        <v>1.02</v>
      </c>
      <c r="AS44" s="100">
        <v>0.66</v>
      </c>
      <c r="AT44" s="100">
        <v>0.47</v>
      </c>
      <c r="AU44" s="101">
        <v>1.54</v>
      </c>
      <c r="AV44" s="102">
        <v>0.72</v>
      </c>
      <c r="AW44" s="100">
        <v>1.17</v>
      </c>
      <c r="AX44" s="100">
        <v>0</v>
      </c>
      <c r="AY44" s="101">
        <v>1.89</v>
      </c>
      <c r="AZ44" s="102">
        <v>0.31</v>
      </c>
      <c r="BA44" s="100">
        <v>0.75</v>
      </c>
      <c r="BB44" s="100">
        <v>0.15</v>
      </c>
      <c r="BC44" s="101">
        <v>1.21</v>
      </c>
      <c r="BD44" s="103">
        <v>0.64</v>
      </c>
      <c r="BE44" s="102">
        <v>1.02</v>
      </c>
      <c r="BF44" s="100">
        <v>0</v>
      </c>
      <c r="BG44" s="100">
        <v>0.43</v>
      </c>
      <c r="BH44" s="101">
        <v>1.45</v>
      </c>
      <c r="BI44" s="102">
        <v>0.59</v>
      </c>
      <c r="BJ44" s="100">
        <v>0.23</v>
      </c>
      <c r="BK44" s="100">
        <v>0.56000000000000005</v>
      </c>
      <c r="BL44" s="101">
        <v>1.39</v>
      </c>
      <c r="BM44" s="102">
        <v>0.98</v>
      </c>
      <c r="BN44" s="100">
        <v>1.49</v>
      </c>
      <c r="BO44" s="100">
        <v>0.96</v>
      </c>
      <c r="BP44" s="100">
        <v>1.27</v>
      </c>
      <c r="BQ44" s="100">
        <v>1.03</v>
      </c>
      <c r="BR44" s="100">
        <v>1.61</v>
      </c>
      <c r="BS44" s="100">
        <v>3.04</v>
      </c>
      <c r="BT44" s="100">
        <v>1.34</v>
      </c>
      <c r="BU44" s="101">
        <v>1.4</v>
      </c>
      <c r="BV44" s="79">
        <v>1733418</v>
      </c>
      <c r="BW44" s="87">
        <v>194</v>
      </c>
      <c r="BX44" s="87">
        <v>1143</v>
      </c>
      <c r="BY44" s="156">
        <v>22</v>
      </c>
      <c r="BZ44" s="88">
        <v>23.1</v>
      </c>
      <c r="CA44" s="97">
        <v>1.6900000000000001E-3</v>
      </c>
      <c r="CB44" s="87">
        <v>465</v>
      </c>
      <c r="CC44" s="96">
        <v>2.8700000000000002E-3</v>
      </c>
      <c r="CD44" s="87">
        <v>407</v>
      </c>
      <c r="CE44" s="104">
        <f t="shared" si="2"/>
        <v>5.6662973706688774E-3</v>
      </c>
      <c r="CF44" s="105">
        <f t="shared" si="0"/>
        <v>1.95</v>
      </c>
    </row>
    <row r="45" spans="1:84" ht="14.25" hidden="1" customHeight="1" x14ac:dyDescent="0.25">
      <c r="A45" s="106">
        <v>44</v>
      </c>
      <c r="B45" s="107"/>
      <c r="C45" s="108" t="s">
        <v>258</v>
      </c>
      <c r="D45" s="109">
        <v>1422</v>
      </c>
      <c r="E45" s="110">
        <v>1219</v>
      </c>
      <c r="F45" s="111">
        <f t="shared" si="1"/>
        <v>1733418</v>
      </c>
      <c r="G45" s="110">
        <v>194</v>
      </c>
      <c r="H45" s="110">
        <v>1143</v>
      </c>
      <c r="I45" s="112">
        <v>1.17</v>
      </c>
      <c r="J45" s="160">
        <v>24</v>
      </c>
      <c r="K45" s="161">
        <v>19.2</v>
      </c>
      <c r="L45" s="162">
        <v>22</v>
      </c>
      <c r="M45" s="163">
        <v>1.19</v>
      </c>
      <c r="N45" s="111">
        <v>23.1</v>
      </c>
      <c r="O45" s="117" t="s">
        <v>215</v>
      </c>
      <c r="P45" s="118" t="s">
        <v>216</v>
      </c>
      <c r="Q45" s="119">
        <v>8.4999999999999995E-4</v>
      </c>
      <c r="R45" s="120">
        <v>0</v>
      </c>
      <c r="S45" s="120">
        <v>1.6900000000000001E-3</v>
      </c>
      <c r="T45" s="110">
        <v>465</v>
      </c>
      <c r="U45" s="118" t="s">
        <v>217</v>
      </c>
      <c r="V45" s="119">
        <v>2.8700000000000002E-3</v>
      </c>
      <c r="W45" s="110">
        <v>407</v>
      </c>
      <c r="X45" s="121">
        <v>284</v>
      </c>
      <c r="Y45" s="165">
        <v>3.01</v>
      </c>
      <c r="Z45" s="115">
        <v>0.5</v>
      </c>
      <c r="AA45" s="167" t="s">
        <v>226</v>
      </c>
      <c r="AB45" s="168"/>
      <c r="AC45" s="114">
        <v>5.2</v>
      </c>
      <c r="AD45" s="117" t="s">
        <v>229</v>
      </c>
      <c r="AE45" s="180">
        <v>2.38</v>
      </c>
      <c r="AF45" s="125">
        <v>1.1599999999999999</v>
      </c>
      <c r="AG45" s="123">
        <v>0.55000000000000004</v>
      </c>
      <c r="AH45" s="123">
        <v>0.75</v>
      </c>
      <c r="AI45" s="124">
        <v>2</v>
      </c>
      <c r="AJ45" s="125">
        <v>0.28999999999999998</v>
      </c>
      <c r="AK45" s="123">
        <v>1.26</v>
      </c>
      <c r="AL45" s="123">
        <v>0</v>
      </c>
      <c r="AM45" s="124">
        <v>1.55</v>
      </c>
      <c r="AN45" s="125">
        <v>0</v>
      </c>
      <c r="AO45" s="123">
        <v>0.75</v>
      </c>
      <c r="AP45" s="123">
        <v>1.99</v>
      </c>
      <c r="AQ45" s="124">
        <v>2.16</v>
      </c>
      <c r="AR45" s="125">
        <v>1.02</v>
      </c>
      <c r="AS45" s="123">
        <v>0.66</v>
      </c>
      <c r="AT45" s="123">
        <v>0.75</v>
      </c>
      <c r="AU45" s="124">
        <v>1.54</v>
      </c>
      <c r="AV45" s="125">
        <v>0.72</v>
      </c>
      <c r="AW45" s="123">
        <v>1.17</v>
      </c>
      <c r="AX45" s="123">
        <v>0</v>
      </c>
      <c r="AY45" s="124">
        <v>1.89</v>
      </c>
      <c r="AZ45" s="125">
        <v>0.31</v>
      </c>
      <c r="BA45" s="123">
        <v>0.75</v>
      </c>
      <c r="BB45" s="123">
        <v>0.25</v>
      </c>
      <c r="BC45" s="124">
        <v>1.31</v>
      </c>
      <c r="BD45" s="126">
        <v>0.64</v>
      </c>
      <c r="BE45" s="125">
        <v>1.02</v>
      </c>
      <c r="BF45" s="123">
        <v>0</v>
      </c>
      <c r="BG45" s="123">
        <v>0.69</v>
      </c>
      <c r="BH45" s="124">
        <v>1.71</v>
      </c>
      <c r="BI45" s="125">
        <v>0.59</v>
      </c>
      <c r="BJ45" s="123">
        <v>0.23</v>
      </c>
      <c r="BK45" s="123">
        <v>0.9</v>
      </c>
      <c r="BL45" s="124">
        <v>1.73</v>
      </c>
      <c r="BM45" s="125">
        <v>1.19</v>
      </c>
      <c r="BN45" s="123">
        <v>1.54</v>
      </c>
      <c r="BO45" s="123">
        <v>1.1000000000000001</v>
      </c>
      <c r="BP45" s="123">
        <v>1.55</v>
      </c>
      <c r="BQ45" s="123">
        <v>1.26</v>
      </c>
      <c r="BR45" s="123">
        <v>1.82</v>
      </c>
      <c r="BS45" s="123">
        <v>3.71</v>
      </c>
      <c r="BT45" s="123">
        <v>1.39</v>
      </c>
      <c r="BU45" s="124">
        <v>1.38</v>
      </c>
      <c r="BV45" s="79">
        <v>1733418</v>
      </c>
      <c r="BW45" s="110">
        <v>194</v>
      </c>
      <c r="BX45" s="110">
        <v>1143</v>
      </c>
      <c r="BY45" s="162">
        <v>22</v>
      </c>
      <c r="BZ45" s="111">
        <v>23.1</v>
      </c>
      <c r="CA45" s="120">
        <v>1.6900000000000001E-3</v>
      </c>
      <c r="CB45" s="110">
        <v>465</v>
      </c>
      <c r="CC45" s="119">
        <v>2.8700000000000002E-3</v>
      </c>
      <c r="CD45" s="110">
        <v>407</v>
      </c>
      <c r="CE45" s="104">
        <f t="shared" si="2"/>
        <v>5.8777263770371175E-3</v>
      </c>
      <c r="CF45" s="105">
        <f t="shared" si="0"/>
        <v>2.38</v>
      </c>
    </row>
    <row r="46" spans="1:84" ht="14.25" hidden="1" customHeight="1" x14ac:dyDescent="0.25">
      <c r="A46" s="106">
        <v>45</v>
      </c>
      <c r="B46" s="107"/>
      <c r="C46" s="108" t="s">
        <v>259</v>
      </c>
      <c r="D46" s="109">
        <v>1422</v>
      </c>
      <c r="E46" s="110">
        <v>1219</v>
      </c>
      <c r="F46" s="111">
        <f t="shared" si="1"/>
        <v>1733418</v>
      </c>
      <c r="G46" s="110">
        <v>143</v>
      </c>
      <c r="H46" s="110">
        <v>1143</v>
      </c>
      <c r="I46" s="112">
        <v>1.17</v>
      </c>
      <c r="J46" s="160">
        <v>24</v>
      </c>
      <c r="K46" s="161">
        <v>19.2</v>
      </c>
      <c r="L46" s="162">
        <v>22</v>
      </c>
      <c r="M46" s="163">
        <v>0.97</v>
      </c>
      <c r="N46" s="111">
        <v>15.8</v>
      </c>
      <c r="O46" s="117" t="s">
        <v>215</v>
      </c>
      <c r="P46" s="118" t="s">
        <v>216</v>
      </c>
      <c r="Q46" s="119">
        <v>2.2200000000000002E-3</v>
      </c>
      <c r="R46" s="120">
        <v>0</v>
      </c>
      <c r="S46" s="120">
        <v>4.4400000000000004E-3</v>
      </c>
      <c r="T46" s="110">
        <v>391</v>
      </c>
      <c r="U46" s="118" t="s">
        <v>217</v>
      </c>
      <c r="V46" s="119">
        <v>3.9399999999999999E-3</v>
      </c>
      <c r="W46" s="110">
        <v>438</v>
      </c>
      <c r="X46" s="121">
        <v>284</v>
      </c>
      <c r="Y46" s="165">
        <v>2.76</v>
      </c>
      <c r="Z46" s="115">
        <v>0.5</v>
      </c>
      <c r="AA46" s="167" t="s">
        <v>226</v>
      </c>
      <c r="AB46" s="168"/>
      <c r="AC46" s="114">
        <v>4.2</v>
      </c>
      <c r="AD46" s="117" t="s">
        <v>229</v>
      </c>
      <c r="AE46" s="180">
        <v>2.46</v>
      </c>
      <c r="AF46" s="125">
        <v>0.96</v>
      </c>
      <c r="AG46" s="123">
        <v>0.81</v>
      </c>
      <c r="AH46" s="123">
        <v>0.69</v>
      </c>
      <c r="AI46" s="124">
        <v>1.65</v>
      </c>
      <c r="AJ46" s="125">
        <v>0.28999999999999998</v>
      </c>
      <c r="AK46" s="123">
        <v>1.37</v>
      </c>
      <c r="AL46" s="123">
        <v>0</v>
      </c>
      <c r="AM46" s="124">
        <v>1.66</v>
      </c>
      <c r="AN46" s="125">
        <v>0</v>
      </c>
      <c r="AO46" s="123">
        <v>1.1000000000000001</v>
      </c>
      <c r="AP46" s="123">
        <v>1.74</v>
      </c>
      <c r="AQ46" s="124">
        <v>1.79</v>
      </c>
      <c r="AR46" s="125">
        <v>0.85</v>
      </c>
      <c r="AS46" s="123">
        <v>0.97</v>
      </c>
      <c r="AT46" s="123">
        <v>0.69</v>
      </c>
      <c r="AU46" s="124">
        <v>1.27</v>
      </c>
      <c r="AV46" s="125">
        <v>0.6</v>
      </c>
      <c r="AW46" s="123">
        <v>1.72</v>
      </c>
      <c r="AX46" s="123">
        <v>0</v>
      </c>
      <c r="AY46" s="124">
        <v>2.3199999999999998</v>
      </c>
      <c r="AZ46" s="125">
        <v>0.32</v>
      </c>
      <c r="BA46" s="123">
        <v>0.91</v>
      </c>
      <c r="BB46" s="123">
        <v>0.23</v>
      </c>
      <c r="BC46" s="124">
        <v>1.45</v>
      </c>
      <c r="BD46" s="126">
        <v>0.57999999999999996</v>
      </c>
      <c r="BE46" s="125">
        <v>0.83</v>
      </c>
      <c r="BF46" s="123">
        <v>0</v>
      </c>
      <c r="BG46" s="123">
        <v>0.63</v>
      </c>
      <c r="BH46" s="124">
        <v>1.47</v>
      </c>
      <c r="BI46" s="125">
        <v>0.49</v>
      </c>
      <c r="BJ46" s="123">
        <v>0.34</v>
      </c>
      <c r="BK46" s="123">
        <v>0.83</v>
      </c>
      <c r="BL46" s="124">
        <v>1.66</v>
      </c>
      <c r="BM46" s="125">
        <v>1.49</v>
      </c>
      <c r="BN46" s="123">
        <v>1.48</v>
      </c>
      <c r="BO46" s="123">
        <v>1.37</v>
      </c>
      <c r="BP46" s="123">
        <v>1.93</v>
      </c>
      <c r="BQ46" s="123">
        <v>1.06</v>
      </c>
      <c r="BR46" s="123">
        <v>1.69</v>
      </c>
      <c r="BS46" s="123">
        <v>4.26</v>
      </c>
      <c r="BT46" s="123">
        <v>1.68</v>
      </c>
      <c r="BU46" s="124">
        <v>1.48</v>
      </c>
      <c r="BV46" s="79">
        <v>1733418</v>
      </c>
      <c r="BW46" s="110">
        <v>143</v>
      </c>
      <c r="BX46" s="110">
        <v>1143</v>
      </c>
      <c r="BY46" s="162">
        <v>22</v>
      </c>
      <c r="BZ46" s="111">
        <v>15.8</v>
      </c>
      <c r="CA46" s="120">
        <v>4.4400000000000004E-3</v>
      </c>
      <c r="CB46" s="110">
        <v>391</v>
      </c>
      <c r="CC46" s="119">
        <v>3.9399999999999999E-3</v>
      </c>
      <c r="CD46" s="110">
        <v>438</v>
      </c>
      <c r="CE46" s="104">
        <f t="shared" si="2"/>
        <v>9.6376142315436827E-3</v>
      </c>
      <c r="CF46" s="105">
        <f t="shared" si="0"/>
        <v>2.46</v>
      </c>
    </row>
    <row r="47" spans="1:84" ht="14.25" hidden="1" customHeight="1" x14ac:dyDescent="0.25">
      <c r="A47" s="106">
        <v>46</v>
      </c>
      <c r="B47" s="107"/>
      <c r="C47" s="108" t="s">
        <v>260</v>
      </c>
      <c r="D47" s="109">
        <v>1422</v>
      </c>
      <c r="E47" s="110">
        <v>1219</v>
      </c>
      <c r="F47" s="111">
        <f t="shared" si="1"/>
        <v>1733418</v>
      </c>
      <c r="G47" s="110">
        <v>143</v>
      </c>
      <c r="H47" s="110">
        <v>1143</v>
      </c>
      <c r="I47" s="112">
        <v>1.17</v>
      </c>
      <c r="J47" s="160">
        <v>24</v>
      </c>
      <c r="K47" s="161">
        <v>19.2</v>
      </c>
      <c r="L47" s="162">
        <v>22</v>
      </c>
      <c r="M47" s="163">
        <v>0.97</v>
      </c>
      <c r="N47" s="111">
        <v>15.8</v>
      </c>
      <c r="O47" s="117" t="s">
        <v>215</v>
      </c>
      <c r="P47" s="118" t="s">
        <v>216</v>
      </c>
      <c r="Q47" s="119">
        <v>7.3999999999999999E-4</v>
      </c>
      <c r="R47" s="120">
        <v>4.2300000000000003E-3</v>
      </c>
      <c r="S47" s="120">
        <v>4.4400000000000004E-3</v>
      </c>
      <c r="T47" s="110">
        <v>410</v>
      </c>
      <c r="U47" s="118" t="s">
        <v>217</v>
      </c>
      <c r="V47" s="119">
        <v>3.9399999999999999E-3</v>
      </c>
      <c r="W47" s="110">
        <v>438</v>
      </c>
      <c r="X47" s="121">
        <v>284</v>
      </c>
      <c r="Y47" s="165">
        <v>2.76</v>
      </c>
      <c r="Z47" s="115">
        <v>0.5</v>
      </c>
      <c r="AA47" s="167" t="s">
        <v>226</v>
      </c>
      <c r="AB47" s="168"/>
      <c r="AC47" s="114">
        <v>2.2000000000000002</v>
      </c>
      <c r="AD47" s="117" t="s">
        <v>229</v>
      </c>
      <c r="AE47" s="180">
        <v>2.46</v>
      </c>
      <c r="AF47" s="125">
        <v>0.96</v>
      </c>
      <c r="AG47" s="123">
        <v>0.81</v>
      </c>
      <c r="AH47" s="123">
        <v>0.69</v>
      </c>
      <c r="AI47" s="124">
        <v>1.65</v>
      </c>
      <c r="AJ47" s="125">
        <v>0.28999999999999998</v>
      </c>
      <c r="AK47" s="123">
        <v>1.86</v>
      </c>
      <c r="AL47" s="123">
        <v>0</v>
      </c>
      <c r="AM47" s="124">
        <v>2</v>
      </c>
      <c r="AN47" s="125">
        <v>0.65</v>
      </c>
      <c r="AO47" s="123">
        <v>1.1000000000000001</v>
      </c>
      <c r="AP47" s="123">
        <v>1.74</v>
      </c>
      <c r="AQ47" s="124">
        <v>1.79</v>
      </c>
      <c r="AR47" s="125">
        <v>0.85</v>
      </c>
      <c r="AS47" s="123">
        <v>0.97</v>
      </c>
      <c r="AT47" s="123">
        <v>0.69</v>
      </c>
      <c r="AU47" s="124">
        <v>1.27</v>
      </c>
      <c r="AV47" s="125">
        <v>0.6</v>
      </c>
      <c r="AW47" s="123">
        <v>1.72</v>
      </c>
      <c r="AX47" s="123">
        <v>0</v>
      </c>
      <c r="AY47" s="124">
        <v>2.3199999999999998</v>
      </c>
      <c r="AZ47" s="125">
        <v>0.25</v>
      </c>
      <c r="BA47" s="123">
        <v>1.82</v>
      </c>
      <c r="BB47" s="123">
        <v>0.23</v>
      </c>
      <c r="BC47" s="124">
        <v>2.2999999999999998</v>
      </c>
      <c r="BD47" s="126">
        <v>0.57999999999999996</v>
      </c>
      <c r="BE47" s="125">
        <v>0.83</v>
      </c>
      <c r="BF47" s="123">
        <v>0</v>
      </c>
      <c r="BG47" s="123">
        <v>0.63</v>
      </c>
      <c r="BH47" s="124">
        <v>1.47</v>
      </c>
      <c r="BI47" s="125">
        <v>0.49</v>
      </c>
      <c r="BJ47" s="123">
        <v>0.34</v>
      </c>
      <c r="BK47" s="123">
        <v>0.83</v>
      </c>
      <c r="BL47" s="124">
        <v>1.66</v>
      </c>
      <c r="BM47" s="125">
        <v>1.49</v>
      </c>
      <c r="BN47" s="123">
        <v>1.23</v>
      </c>
      <c r="BO47" s="123">
        <v>1.37</v>
      </c>
      <c r="BP47" s="123">
        <v>1.93</v>
      </c>
      <c r="BQ47" s="123">
        <v>1.06</v>
      </c>
      <c r="BR47" s="123">
        <v>1.07</v>
      </c>
      <c r="BS47" s="123">
        <v>4.26</v>
      </c>
      <c r="BT47" s="123">
        <v>1.68</v>
      </c>
      <c r="BU47" s="124">
        <v>1.48</v>
      </c>
      <c r="BV47" s="79">
        <v>1733418</v>
      </c>
      <c r="BW47" s="110">
        <v>143</v>
      </c>
      <c r="BX47" s="110">
        <v>1143</v>
      </c>
      <c r="BY47" s="162">
        <v>22</v>
      </c>
      <c r="BZ47" s="111">
        <v>15.8</v>
      </c>
      <c r="CA47" s="120">
        <v>4.4400000000000004E-3</v>
      </c>
      <c r="CB47" s="110">
        <v>410</v>
      </c>
      <c r="CC47" s="119">
        <v>3.9399999999999999E-3</v>
      </c>
      <c r="CD47" s="110">
        <v>438</v>
      </c>
      <c r="CE47" s="104">
        <f t="shared" si="2"/>
        <v>9.6376142315436827E-3</v>
      </c>
      <c r="CF47" s="105">
        <f t="shared" si="0"/>
        <v>2.46</v>
      </c>
    </row>
    <row r="48" spans="1:84" ht="14.25" hidden="1" customHeight="1" x14ac:dyDescent="0.25">
      <c r="A48" s="106">
        <v>47</v>
      </c>
      <c r="B48" s="107"/>
      <c r="C48" s="108" t="s">
        <v>261</v>
      </c>
      <c r="D48" s="109">
        <v>1422</v>
      </c>
      <c r="E48" s="110">
        <v>1219</v>
      </c>
      <c r="F48" s="111">
        <f t="shared" si="1"/>
        <v>1733418</v>
      </c>
      <c r="G48" s="110">
        <v>143</v>
      </c>
      <c r="H48" s="110">
        <v>1143</v>
      </c>
      <c r="I48" s="112">
        <v>1.17</v>
      </c>
      <c r="J48" s="160">
        <v>24</v>
      </c>
      <c r="K48" s="161">
        <v>19.2</v>
      </c>
      <c r="L48" s="162">
        <v>22</v>
      </c>
      <c r="M48" s="163">
        <v>0.95</v>
      </c>
      <c r="N48" s="111">
        <v>15.1</v>
      </c>
      <c r="O48" s="117" t="s">
        <v>215</v>
      </c>
      <c r="P48" s="118" t="s">
        <v>216</v>
      </c>
      <c r="Q48" s="119">
        <v>2.2200000000000002E-3</v>
      </c>
      <c r="R48" s="120">
        <v>0</v>
      </c>
      <c r="S48" s="120">
        <v>4.4400000000000004E-3</v>
      </c>
      <c r="T48" s="110">
        <v>391</v>
      </c>
      <c r="U48" s="118" t="s">
        <v>217</v>
      </c>
      <c r="V48" s="119">
        <v>1.97E-3</v>
      </c>
      <c r="W48" s="110">
        <v>438</v>
      </c>
      <c r="X48" s="121">
        <v>474</v>
      </c>
      <c r="Y48" s="165">
        <v>2.76</v>
      </c>
      <c r="Z48" s="115">
        <v>0.5</v>
      </c>
      <c r="AA48" s="167" t="s">
        <v>226</v>
      </c>
      <c r="AB48" s="168"/>
      <c r="AC48" s="114">
        <v>4.9000000000000004</v>
      </c>
      <c r="AD48" s="117" t="s">
        <v>229</v>
      </c>
      <c r="AE48" s="180">
        <v>2.36</v>
      </c>
      <c r="AF48" s="125">
        <v>0.94</v>
      </c>
      <c r="AG48" s="123">
        <v>0.4</v>
      </c>
      <c r="AH48" s="123">
        <v>0.69</v>
      </c>
      <c r="AI48" s="124">
        <v>1.62</v>
      </c>
      <c r="AJ48" s="125">
        <v>0.28999999999999998</v>
      </c>
      <c r="AK48" s="123">
        <v>1.03</v>
      </c>
      <c r="AL48" s="123">
        <v>0</v>
      </c>
      <c r="AM48" s="124">
        <v>1.32</v>
      </c>
      <c r="AN48" s="125">
        <v>0</v>
      </c>
      <c r="AO48" s="123">
        <v>0.55000000000000004</v>
      </c>
      <c r="AP48" s="123">
        <v>1.73</v>
      </c>
      <c r="AQ48" s="124">
        <v>1.75</v>
      </c>
      <c r="AR48" s="125">
        <v>0.83</v>
      </c>
      <c r="AS48" s="123">
        <v>0.48</v>
      </c>
      <c r="AT48" s="123">
        <v>0.69</v>
      </c>
      <c r="AU48" s="124">
        <v>1.24</v>
      </c>
      <c r="AV48" s="125">
        <v>0.57999999999999996</v>
      </c>
      <c r="AW48" s="123">
        <v>0.86</v>
      </c>
      <c r="AX48" s="123">
        <v>0</v>
      </c>
      <c r="AY48" s="124">
        <v>1.45</v>
      </c>
      <c r="AZ48" s="125">
        <v>0.31</v>
      </c>
      <c r="BA48" s="123">
        <v>0.64</v>
      </c>
      <c r="BB48" s="123">
        <v>0.23</v>
      </c>
      <c r="BC48" s="124">
        <v>1.18</v>
      </c>
      <c r="BD48" s="126">
        <v>0.56000000000000005</v>
      </c>
      <c r="BE48" s="125">
        <v>0.81</v>
      </c>
      <c r="BF48" s="123">
        <v>0</v>
      </c>
      <c r="BG48" s="123">
        <v>0.63</v>
      </c>
      <c r="BH48" s="124">
        <v>1.45</v>
      </c>
      <c r="BI48" s="125">
        <v>0.47</v>
      </c>
      <c r="BJ48" s="123">
        <v>0.22</v>
      </c>
      <c r="BK48" s="123">
        <v>0.83</v>
      </c>
      <c r="BL48" s="124">
        <v>1.52</v>
      </c>
      <c r="BM48" s="125">
        <v>1.46</v>
      </c>
      <c r="BN48" s="123">
        <v>1.78</v>
      </c>
      <c r="BO48" s="123">
        <v>1.35</v>
      </c>
      <c r="BP48" s="123">
        <v>1.89</v>
      </c>
      <c r="BQ48" s="123">
        <v>1.63</v>
      </c>
      <c r="BR48" s="123">
        <v>2</v>
      </c>
      <c r="BS48" s="123">
        <v>4.18</v>
      </c>
      <c r="BT48" s="123">
        <v>1.63</v>
      </c>
      <c r="BU48" s="124">
        <v>1.55</v>
      </c>
      <c r="BV48" s="79">
        <v>1733418</v>
      </c>
      <c r="BW48" s="110">
        <v>143</v>
      </c>
      <c r="BX48" s="110">
        <v>1143</v>
      </c>
      <c r="BY48" s="162">
        <v>22</v>
      </c>
      <c r="BZ48" s="111">
        <v>15.1</v>
      </c>
      <c r="CA48" s="120">
        <v>4.4400000000000004E-3</v>
      </c>
      <c r="CB48" s="110">
        <v>391</v>
      </c>
      <c r="CC48" s="119">
        <v>1.97E-3</v>
      </c>
      <c r="CD48" s="110">
        <v>438</v>
      </c>
      <c r="CE48" s="104">
        <f t="shared" si="2"/>
        <v>9.3507804746525008E-3</v>
      </c>
      <c r="CF48" s="105">
        <f t="shared" si="0"/>
        <v>2.36</v>
      </c>
    </row>
    <row r="49" spans="1:84" ht="14.25" hidden="1" customHeight="1" x14ac:dyDescent="0.25">
      <c r="A49" s="106">
        <v>48</v>
      </c>
      <c r="B49" s="107"/>
      <c r="C49" s="108" t="s">
        <v>262</v>
      </c>
      <c r="D49" s="109">
        <v>1422</v>
      </c>
      <c r="E49" s="110">
        <v>1219</v>
      </c>
      <c r="F49" s="111">
        <f t="shared" si="1"/>
        <v>1733418</v>
      </c>
      <c r="G49" s="110">
        <v>143</v>
      </c>
      <c r="H49" s="110">
        <v>1143</v>
      </c>
      <c r="I49" s="112">
        <v>1.17</v>
      </c>
      <c r="J49" s="160">
        <v>24</v>
      </c>
      <c r="K49" s="161">
        <v>19.2</v>
      </c>
      <c r="L49" s="162">
        <v>22</v>
      </c>
      <c r="M49" s="163">
        <v>0.95</v>
      </c>
      <c r="N49" s="111">
        <v>15.1</v>
      </c>
      <c r="O49" s="117" t="s">
        <v>215</v>
      </c>
      <c r="P49" s="118" t="s">
        <v>216</v>
      </c>
      <c r="Q49" s="119">
        <v>7.3999999999999999E-4</v>
      </c>
      <c r="R49" s="120">
        <v>4.2300000000000003E-3</v>
      </c>
      <c r="S49" s="120">
        <v>4.4400000000000004E-3</v>
      </c>
      <c r="T49" s="110">
        <v>410</v>
      </c>
      <c r="U49" s="118" t="s">
        <v>217</v>
      </c>
      <c r="V49" s="119">
        <v>1.97E-3</v>
      </c>
      <c r="W49" s="110">
        <v>438</v>
      </c>
      <c r="X49" s="121">
        <v>474</v>
      </c>
      <c r="Y49" s="165">
        <v>2.76</v>
      </c>
      <c r="Z49" s="115">
        <v>0.5</v>
      </c>
      <c r="AA49" s="167" t="s">
        <v>226</v>
      </c>
      <c r="AB49" s="168"/>
      <c r="AC49" s="114">
        <v>5.4</v>
      </c>
      <c r="AD49" s="117" t="s">
        <v>229</v>
      </c>
      <c r="AE49" s="180">
        <v>2.23</v>
      </c>
      <c r="AF49" s="125">
        <v>0.94</v>
      </c>
      <c r="AG49" s="123">
        <v>0.4</v>
      </c>
      <c r="AH49" s="123">
        <v>0.69</v>
      </c>
      <c r="AI49" s="124">
        <v>1.62</v>
      </c>
      <c r="AJ49" s="125">
        <v>0.28999999999999998</v>
      </c>
      <c r="AK49" s="123">
        <v>1.03</v>
      </c>
      <c r="AL49" s="123">
        <v>0</v>
      </c>
      <c r="AM49" s="124">
        <v>1.32</v>
      </c>
      <c r="AN49" s="125">
        <v>0</v>
      </c>
      <c r="AO49" s="123">
        <v>0.55000000000000004</v>
      </c>
      <c r="AP49" s="123">
        <v>1.73</v>
      </c>
      <c r="AQ49" s="124">
        <v>1.75</v>
      </c>
      <c r="AR49" s="125">
        <v>0.83</v>
      </c>
      <c r="AS49" s="123">
        <v>0.48</v>
      </c>
      <c r="AT49" s="123">
        <v>0.69</v>
      </c>
      <c r="AU49" s="124">
        <v>1.24</v>
      </c>
      <c r="AV49" s="125">
        <v>0.57999999999999996</v>
      </c>
      <c r="AW49" s="123">
        <v>0.86</v>
      </c>
      <c r="AX49" s="123">
        <v>0</v>
      </c>
      <c r="AY49" s="124">
        <v>1.45</v>
      </c>
      <c r="AZ49" s="125">
        <v>0.24</v>
      </c>
      <c r="BA49" s="123">
        <v>1.56</v>
      </c>
      <c r="BB49" s="123">
        <v>0.23</v>
      </c>
      <c r="BC49" s="124">
        <v>2.02</v>
      </c>
      <c r="BD49" s="126">
        <v>0.56000000000000005</v>
      </c>
      <c r="BE49" s="125">
        <v>0.81</v>
      </c>
      <c r="BF49" s="123">
        <v>0</v>
      </c>
      <c r="BG49" s="123">
        <v>0.63</v>
      </c>
      <c r="BH49" s="124">
        <v>1.45</v>
      </c>
      <c r="BI49" s="125">
        <v>0.47</v>
      </c>
      <c r="BJ49" s="123">
        <v>0.22</v>
      </c>
      <c r="BK49" s="123">
        <v>0.83</v>
      </c>
      <c r="BL49" s="124">
        <v>1.52</v>
      </c>
      <c r="BM49" s="125">
        <v>1.38</v>
      </c>
      <c r="BN49" s="123">
        <v>1.69</v>
      </c>
      <c r="BO49" s="123">
        <v>1.27</v>
      </c>
      <c r="BP49" s="123">
        <v>1.79</v>
      </c>
      <c r="BQ49" s="123">
        <v>1.54</v>
      </c>
      <c r="BR49" s="123">
        <v>1.1000000000000001</v>
      </c>
      <c r="BS49" s="123">
        <v>3.95</v>
      </c>
      <c r="BT49" s="123">
        <v>1.54</v>
      </c>
      <c r="BU49" s="124">
        <v>1.47</v>
      </c>
      <c r="BV49" s="79">
        <v>1733418</v>
      </c>
      <c r="BW49" s="110">
        <v>143</v>
      </c>
      <c r="BX49" s="110">
        <v>1143</v>
      </c>
      <c r="BY49" s="162">
        <v>22</v>
      </c>
      <c r="BZ49" s="111">
        <v>15.1</v>
      </c>
      <c r="CA49" s="120">
        <v>4.4400000000000004E-3</v>
      </c>
      <c r="CB49" s="110">
        <v>410</v>
      </c>
      <c r="CC49" s="119">
        <v>1.97E-3</v>
      </c>
      <c r="CD49" s="110">
        <v>438</v>
      </c>
      <c r="CE49" s="104">
        <f t="shared" si="2"/>
        <v>8.8344797122483741E-3</v>
      </c>
      <c r="CF49" s="105">
        <f t="shared" si="0"/>
        <v>2.23</v>
      </c>
    </row>
    <row r="50" spans="1:84" ht="14.25" hidden="1" customHeight="1" x14ac:dyDescent="0.25">
      <c r="A50" s="106">
        <v>49</v>
      </c>
      <c r="B50" s="107"/>
      <c r="C50" s="108" t="s">
        <v>263</v>
      </c>
      <c r="D50" s="109">
        <v>1422</v>
      </c>
      <c r="E50" s="110">
        <v>1219</v>
      </c>
      <c r="F50" s="111">
        <f t="shared" si="1"/>
        <v>1733418</v>
      </c>
      <c r="G50" s="110">
        <v>143</v>
      </c>
      <c r="H50" s="110">
        <v>1143</v>
      </c>
      <c r="I50" s="112">
        <v>1.17</v>
      </c>
      <c r="J50" s="160">
        <v>24</v>
      </c>
      <c r="K50" s="161">
        <v>19.2</v>
      </c>
      <c r="L50" s="162">
        <v>22</v>
      </c>
      <c r="M50" s="163">
        <v>0.95</v>
      </c>
      <c r="N50" s="111">
        <v>15.1</v>
      </c>
      <c r="O50" s="117" t="s">
        <v>215</v>
      </c>
      <c r="P50" s="118" t="s">
        <v>216</v>
      </c>
      <c r="Q50" s="119">
        <v>2.2200000000000002E-3</v>
      </c>
      <c r="R50" s="120">
        <v>0</v>
      </c>
      <c r="S50" s="120">
        <v>4.4400000000000004E-3</v>
      </c>
      <c r="T50" s="110">
        <v>391</v>
      </c>
      <c r="U50" s="118" t="s">
        <v>217</v>
      </c>
      <c r="V50" s="119">
        <v>7.5000000000000002E-4</v>
      </c>
      <c r="W50" s="110">
        <v>438</v>
      </c>
      <c r="X50" s="121">
        <v>203</v>
      </c>
      <c r="Y50" s="165">
        <v>2.76</v>
      </c>
      <c r="Z50" s="115">
        <v>0.5</v>
      </c>
      <c r="AA50" s="167" t="s">
        <v>226</v>
      </c>
      <c r="AB50" s="168"/>
      <c r="AC50" s="114">
        <v>4.4000000000000004</v>
      </c>
      <c r="AD50" s="117" t="s">
        <v>229</v>
      </c>
      <c r="AE50" s="180">
        <v>1.92</v>
      </c>
      <c r="AF50" s="125">
        <v>0.94</v>
      </c>
      <c r="AG50" s="123">
        <v>0.15</v>
      </c>
      <c r="AH50" s="123">
        <v>0.69</v>
      </c>
      <c r="AI50" s="124">
        <v>1.62</v>
      </c>
      <c r="AJ50" s="125">
        <v>0.28999999999999998</v>
      </c>
      <c r="AK50" s="123">
        <v>0.34</v>
      </c>
      <c r="AL50" s="123">
        <v>0</v>
      </c>
      <c r="AM50" s="124">
        <v>0.63</v>
      </c>
      <c r="AN50" s="125">
        <v>0</v>
      </c>
      <c r="AO50" s="123">
        <v>0.21</v>
      </c>
      <c r="AP50" s="123">
        <v>1.73</v>
      </c>
      <c r="AQ50" s="124">
        <v>1.75</v>
      </c>
      <c r="AR50" s="125">
        <v>0.83</v>
      </c>
      <c r="AS50" s="123">
        <v>0.18</v>
      </c>
      <c r="AT50" s="123">
        <v>0.69</v>
      </c>
      <c r="AU50" s="124">
        <v>1.24</v>
      </c>
      <c r="AV50" s="125">
        <v>0.57999999999999996</v>
      </c>
      <c r="AW50" s="123">
        <v>0.33</v>
      </c>
      <c r="AX50" s="123">
        <v>0</v>
      </c>
      <c r="AY50" s="124">
        <v>0.91</v>
      </c>
      <c r="AZ50" s="125">
        <v>0.31</v>
      </c>
      <c r="BA50" s="123">
        <v>0.4</v>
      </c>
      <c r="BB50" s="123">
        <v>0.23</v>
      </c>
      <c r="BC50" s="124">
        <v>0.94</v>
      </c>
      <c r="BD50" s="126">
        <v>0.56000000000000005</v>
      </c>
      <c r="BE50" s="125">
        <v>0.81</v>
      </c>
      <c r="BF50" s="123">
        <v>0</v>
      </c>
      <c r="BG50" s="123">
        <v>0.63</v>
      </c>
      <c r="BH50" s="124">
        <v>1.45</v>
      </c>
      <c r="BI50" s="125">
        <v>0.47</v>
      </c>
      <c r="BJ50" s="123">
        <v>0.2</v>
      </c>
      <c r="BK50" s="123">
        <v>0.83</v>
      </c>
      <c r="BL50" s="124">
        <v>1.5</v>
      </c>
      <c r="BM50" s="125">
        <v>1.19</v>
      </c>
      <c r="BN50" s="123">
        <v>3.07</v>
      </c>
      <c r="BO50" s="123">
        <v>1.1000000000000001</v>
      </c>
      <c r="BP50" s="123">
        <v>1.54</v>
      </c>
      <c r="BQ50" s="123">
        <v>2.11</v>
      </c>
      <c r="BR50" s="123">
        <v>2.0499999999999998</v>
      </c>
      <c r="BS50" s="123">
        <v>3.4</v>
      </c>
      <c r="BT50" s="123">
        <v>1.33</v>
      </c>
      <c r="BU50" s="124">
        <v>1.28</v>
      </c>
      <c r="BV50" s="79">
        <v>1733418</v>
      </c>
      <c r="BW50" s="110">
        <v>143</v>
      </c>
      <c r="BX50" s="110">
        <v>1143</v>
      </c>
      <c r="BY50" s="162">
        <v>22</v>
      </c>
      <c r="BZ50" s="111">
        <v>15.1</v>
      </c>
      <c r="CA50" s="120">
        <v>4.4400000000000004E-3</v>
      </c>
      <c r="CB50" s="110">
        <v>391</v>
      </c>
      <c r="CC50" s="119">
        <v>7.5000000000000002E-4</v>
      </c>
      <c r="CD50" s="110">
        <v>438</v>
      </c>
      <c r="CE50" s="104">
        <f t="shared" si="2"/>
        <v>7.6297779333054164E-3</v>
      </c>
      <c r="CF50" s="105">
        <f t="shared" si="0"/>
        <v>1.92</v>
      </c>
    </row>
    <row r="51" spans="1:84" ht="14.25" hidden="1" customHeight="1" x14ac:dyDescent="0.25">
      <c r="A51" s="106">
        <v>50</v>
      </c>
      <c r="B51" s="107"/>
      <c r="C51" s="108" t="s">
        <v>264</v>
      </c>
      <c r="D51" s="109">
        <v>1422</v>
      </c>
      <c r="E51" s="110">
        <v>1219</v>
      </c>
      <c r="F51" s="111">
        <f t="shared" si="1"/>
        <v>1733418</v>
      </c>
      <c r="G51" s="110">
        <v>143</v>
      </c>
      <c r="H51" s="110">
        <v>1143</v>
      </c>
      <c r="I51" s="112">
        <v>1.17</v>
      </c>
      <c r="J51" s="160">
        <v>24</v>
      </c>
      <c r="K51" s="161">
        <v>19.2</v>
      </c>
      <c r="L51" s="162">
        <v>22</v>
      </c>
      <c r="M51" s="163">
        <v>0.95</v>
      </c>
      <c r="N51" s="111">
        <v>15.1</v>
      </c>
      <c r="O51" s="117" t="s">
        <v>215</v>
      </c>
      <c r="P51" s="118" t="s">
        <v>216</v>
      </c>
      <c r="Q51" s="119">
        <v>2.2200000000000002E-3</v>
      </c>
      <c r="R51" s="120">
        <v>0</v>
      </c>
      <c r="S51" s="120">
        <v>4.4400000000000004E-3</v>
      </c>
      <c r="T51" s="110">
        <v>391</v>
      </c>
      <c r="U51" s="118" t="s">
        <v>217</v>
      </c>
      <c r="V51" s="119">
        <v>2.7200000000000002E-3</v>
      </c>
      <c r="W51" s="110">
        <v>438</v>
      </c>
      <c r="X51" s="121">
        <v>399</v>
      </c>
      <c r="Y51" s="165">
        <v>2.76</v>
      </c>
      <c r="Z51" s="115">
        <v>0.5</v>
      </c>
      <c r="AA51" s="167" t="s">
        <v>226</v>
      </c>
      <c r="AB51" s="168"/>
      <c r="AC51" s="114">
        <v>6.3</v>
      </c>
      <c r="AD51" s="117" t="s">
        <v>229</v>
      </c>
      <c r="AE51" s="180">
        <v>2.4300000000000002</v>
      </c>
      <c r="AF51" s="125">
        <v>0.94</v>
      </c>
      <c r="AG51" s="123">
        <v>0.56000000000000005</v>
      </c>
      <c r="AH51" s="123">
        <v>0.69</v>
      </c>
      <c r="AI51" s="124">
        <v>1.62</v>
      </c>
      <c r="AJ51" s="125">
        <v>0.28999999999999998</v>
      </c>
      <c r="AK51" s="123">
        <v>1.2</v>
      </c>
      <c r="AL51" s="123">
        <v>0</v>
      </c>
      <c r="AM51" s="124">
        <v>1.49</v>
      </c>
      <c r="AN51" s="125">
        <v>0</v>
      </c>
      <c r="AO51" s="123">
        <v>0.76</v>
      </c>
      <c r="AP51" s="123">
        <v>1.73</v>
      </c>
      <c r="AQ51" s="124">
        <v>1.75</v>
      </c>
      <c r="AR51" s="125">
        <v>0.83</v>
      </c>
      <c r="AS51" s="123">
        <v>0.67</v>
      </c>
      <c r="AT51" s="123">
        <v>0.69</v>
      </c>
      <c r="AU51" s="124">
        <v>1.24</v>
      </c>
      <c r="AV51" s="125">
        <v>0.57999999999999996</v>
      </c>
      <c r="AW51" s="123">
        <v>1.19</v>
      </c>
      <c r="AX51" s="123">
        <v>0</v>
      </c>
      <c r="AY51" s="124">
        <v>1.77</v>
      </c>
      <c r="AZ51" s="125">
        <v>0.31</v>
      </c>
      <c r="BA51" s="123">
        <v>0.76</v>
      </c>
      <c r="BB51" s="123">
        <v>0.23</v>
      </c>
      <c r="BC51" s="124">
        <v>1.29</v>
      </c>
      <c r="BD51" s="126">
        <v>0.56000000000000005</v>
      </c>
      <c r="BE51" s="125">
        <v>0.81</v>
      </c>
      <c r="BF51" s="123">
        <v>0</v>
      </c>
      <c r="BG51" s="123">
        <v>0.63</v>
      </c>
      <c r="BH51" s="124">
        <v>1.45</v>
      </c>
      <c r="BI51" s="125">
        <v>0.47</v>
      </c>
      <c r="BJ51" s="123">
        <v>0.24</v>
      </c>
      <c r="BK51" s="123">
        <v>0.83</v>
      </c>
      <c r="BL51" s="124">
        <v>1.54</v>
      </c>
      <c r="BM51" s="125">
        <v>1.5</v>
      </c>
      <c r="BN51" s="123">
        <v>1.63</v>
      </c>
      <c r="BO51" s="123">
        <v>1.39</v>
      </c>
      <c r="BP51" s="123">
        <v>1.95</v>
      </c>
      <c r="BQ51" s="123">
        <v>1.37</v>
      </c>
      <c r="BR51" s="123">
        <v>1.88</v>
      </c>
      <c r="BS51" s="123">
        <v>4.3099999999999996</v>
      </c>
      <c r="BT51" s="123">
        <v>1.68</v>
      </c>
      <c r="BU51" s="124">
        <v>1.58</v>
      </c>
      <c r="BV51" s="79">
        <v>1733418</v>
      </c>
      <c r="BW51" s="110">
        <v>143</v>
      </c>
      <c r="BX51" s="110">
        <v>1143</v>
      </c>
      <c r="BY51" s="162">
        <v>22</v>
      </c>
      <c r="BZ51" s="111">
        <v>15.1</v>
      </c>
      <c r="CA51" s="120">
        <v>4.4400000000000004E-3</v>
      </c>
      <c r="CB51" s="110">
        <v>391</v>
      </c>
      <c r="CC51" s="119">
        <v>2.7200000000000002E-3</v>
      </c>
      <c r="CD51" s="110">
        <v>438</v>
      </c>
      <c r="CE51" s="104">
        <f t="shared" si="2"/>
        <v>9.6376142315436827E-3</v>
      </c>
      <c r="CF51" s="105">
        <f t="shared" si="0"/>
        <v>2.4300000000000002</v>
      </c>
    </row>
    <row r="52" spans="1:84" ht="14.25" hidden="1" customHeight="1" x14ac:dyDescent="0.25">
      <c r="A52" s="106">
        <v>51</v>
      </c>
      <c r="B52" s="107"/>
      <c r="C52" s="108" t="s">
        <v>265</v>
      </c>
      <c r="D52" s="109">
        <v>1422</v>
      </c>
      <c r="E52" s="110">
        <v>1219</v>
      </c>
      <c r="F52" s="111">
        <f t="shared" si="1"/>
        <v>1733418</v>
      </c>
      <c r="G52" s="110">
        <v>143</v>
      </c>
      <c r="H52" s="110">
        <v>1143</v>
      </c>
      <c r="I52" s="112">
        <v>1.17</v>
      </c>
      <c r="J52" s="160">
        <v>24</v>
      </c>
      <c r="K52" s="161">
        <v>19.2</v>
      </c>
      <c r="L52" s="162">
        <v>22</v>
      </c>
      <c r="M52" s="163">
        <v>0.95</v>
      </c>
      <c r="N52" s="111">
        <v>15.1</v>
      </c>
      <c r="O52" s="117" t="s">
        <v>215</v>
      </c>
      <c r="P52" s="118" t="s">
        <v>216</v>
      </c>
      <c r="Q52" s="119">
        <v>2.2200000000000002E-3</v>
      </c>
      <c r="R52" s="120">
        <v>0</v>
      </c>
      <c r="S52" s="120">
        <v>4.4400000000000004E-3</v>
      </c>
      <c r="T52" s="110">
        <v>391</v>
      </c>
      <c r="U52" s="118" t="s">
        <v>217</v>
      </c>
      <c r="V52" s="119">
        <v>1.97E-3</v>
      </c>
      <c r="W52" s="110">
        <v>438</v>
      </c>
      <c r="X52" s="121">
        <v>474</v>
      </c>
      <c r="Y52" s="165">
        <v>1.74</v>
      </c>
      <c r="Z52" s="115">
        <v>0.5</v>
      </c>
      <c r="AA52" s="167" t="s">
        <v>226</v>
      </c>
      <c r="AB52" s="168"/>
      <c r="AC52" s="114">
        <v>3.2</v>
      </c>
      <c r="AD52" s="117" t="s">
        <v>229</v>
      </c>
      <c r="AE52" s="180">
        <v>1.96</v>
      </c>
      <c r="AF52" s="125">
        <v>0.94</v>
      </c>
      <c r="AG52" s="123">
        <v>0.4</v>
      </c>
      <c r="AH52" s="123">
        <v>0.44</v>
      </c>
      <c r="AI52" s="124">
        <v>1.62</v>
      </c>
      <c r="AJ52" s="125">
        <v>0.28999999999999998</v>
      </c>
      <c r="AK52" s="123">
        <v>1.03</v>
      </c>
      <c r="AL52" s="123">
        <v>0</v>
      </c>
      <c r="AM52" s="124">
        <v>1.32</v>
      </c>
      <c r="AN52" s="125">
        <v>0.27</v>
      </c>
      <c r="AO52" s="123">
        <v>0.55000000000000004</v>
      </c>
      <c r="AP52" s="123">
        <v>1.1299999999999999</v>
      </c>
      <c r="AQ52" s="124">
        <v>1.75</v>
      </c>
      <c r="AR52" s="125">
        <v>0.83</v>
      </c>
      <c r="AS52" s="123">
        <v>0.48</v>
      </c>
      <c r="AT52" s="123">
        <v>0.44</v>
      </c>
      <c r="AU52" s="124">
        <v>1.24</v>
      </c>
      <c r="AV52" s="125">
        <v>0.57999999999999996</v>
      </c>
      <c r="AW52" s="123">
        <v>0.86</v>
      </c>
      <c r="AX52" s="123">
        <v>0</v>
      </c>
      <c r="AY52" s="124">
        <v>1.45</v>
      </c>
      <c r="AZ52" s="125">
        <v>0.31</v>
      </c>
      <c r="BA52" s="123">
        <v>0.64</v>
      </c>
      <c r="BB52" s="123">
        <v>0.14000000000000001</v>
      </c>
      <c r="BC52" s="124">
        <v>1.1000000000000001</v>
      </c>
      <c r="BD52" s="126">
        <v>0.56000000000000005</v>
      </c>
      <c r="BE52" s="125">
        <v>0.81</v>
      </c>
      <c r="BF52" s="123">
        <v>0</v>
      </c>
      <c r="BG52" s="123">
        <v>0.4</v>
      </c>
      <c r="BH52" s="124">
        <v>1.21</v>
      </c>
      <c r="BI52" s="125">
        <v>0.47</v>
      </c>
      <c r="BJ52" s="123">
        <v>0.22</v>
      </c>
      <c r="BK52" s="123">
        <v>0.52</v>
      </c>
      <c r="BL52" s="124">
        <v>1.21</v>
      </c>
      <c r="BM52" s="125">
        <v>1.21</v>
      </c>
      <c r="BN52" s="123">
        <v>1.48</v>
      </c>
      <c r="BO52" s="123">
        <v>1.1200000000000001</v>
      </c>
      <c r="BP52" s="123">
        <v>1.58</v>
      </c>
      <c r="BQ52" s="123">
        <v>1.36</v>
      </c>
      <c r="BR52" s="123">
        <v>1.79</v>
      </c>
      <c r="BS52" s="123">
        <v>3.48</v>
      </c>
      <c r="BT52" s="123">
        <v>1.62</v>
      </c>
      <c r="BU52" s="124">
        <v>1.62</v>
      </c>
      <c r="BV52" s="79">
        <v>1733418</v>
      </c>
      <c r="BW52" s="110">
        <v>143</v>
      </c>
      <c r="BX52" s="110">
        <v>1143</v>
      </c>
      <c r="BY52" s="162">
        <v>22</v>
      </c>
      <c r="BZ52" s="111">
        <v>15.1</v>
      </c>
      <c r="CA52" s="120">
        <v>4.4400000000000004E-3</v>
      </c>
      <c r="CB52" s="110">
        <v>391</v>
      </c>
      <c r="CC52" s="119">
        <v>1.97E-3</v>
      </c>
      <c r="CD52" s="110">
        <v>438</v>
      </c>
      <c r="CE52" s="104">
        <f t="shared" si="2"/>
        <v>9.2934137232742655E-3</v>
      </c>
      <c r="CF52" s="105">
        <f t="shared" si="0"/>
        <v>1.96</v>
      </c>
    </row>
    <row r="53" spans="1:84" ht="14.25" hidden="1" customHeight="1" x14ac:dyDescent="0.25">
      <c r="A53" s="106">
        <v>52</v>
      </c>
      <c r="B53" s="107"/>
      <c r="C53" s="108" t="s">
        <v>266</v>
      </c>
      <c r="D53" s="109">
        <v>1422</v>
      </c>
      <c r="E53" s="110">
        <v>1219</v>
      </c>
      <c r="F53" s="111">
        <f t="shared" si="1"/>
        <v>1733418</v>
      </c>
      <c r="G53" s="110">
        <v>143</v>
      </c>
      <c r="H53" s="110">
        <v>1143</v>
      </c>
      <c r="I53" s="112">
        <v>1.17</v>
      </c>
      <c r="J53" s="160">
        <v>24</v>
      </c>
      <c r="K53" s="161">
        <v>19.2</v>
      </c>
      <c r="L53" s="162">
        <v>22</v>
      </c>
      <c r="M53" s="163">
        <v>0.95</v>
      </c>
      <c r="N53" s="111">
        <v>15.1</v>
      </c>
      <c r="O53" s="117" t="s">
        <v>215</v>
      </c>
      <c r="P53" s="118" t="s">
        <v>216</v>
      </c>
      <c r="Q53" s="119">
        <v>2.2200000000000002E-3</v>
      </c>
      <c r="R53" s="120">
        <v>0</v>
      </c>
      <c r="S53" s="120">
        <v>4.4400000000000004E-3</v>
      </c>
      <c r="T53" s="110">
        <v>391</v>
      </c>
      <c r="U53" s="118" t="s">
        <v>217</v>
      </c>
      <c r="V53" s="119">
        <v>1.97E-3</v>
      </c>
      <c r="W53" s="110">
        <v>438</v>
      </c>
      <c r="X53" s="121">
        <v>474</v>
      </c>
      <c r="Y53" s="165">
        <v>2.76</v>
      </c>
      <c r="Z53" s="115">
        <v>0.5</v>
      </c>
      <c r="AA53" s="167" t="s">
        <v>226</v>
      </c>
      <c r="AB53" s="168"/>
      <c r="AC53" s="114">
        <v>2.2999999999999998</v>
      </c>
      <c r="AD53" s="117" t="s">
        <v>229</v>
      </c>
      <c r="AE53" s="180">
        <v>2.4</v>
      </c>
      <c r="AF53" s="125">
        <v>0.94</v>
      </c>
      <c r="AG53" s="123">
        <v>0.4</v>
      </c>
      <c r="AH53" s="123">
        <v>0.69</v>
      </c>
      <c r="AI53" s="124">
        <v>1.62</v>
      </c>
      <c r="AJ53" s="125">
        <v>0.28999999999999998</v>
      </c>
      <c r="AK53" s="123">
        <v>1.03</v>
      </c>
      <c r="AL53" s="123">
        <v>0</v>
      </c>
      <c r="AM53" s="124">
        <v>1.32</v>
      </c>
      <c r="AN53" s="125">
        <v>0.6</v>
      </c>
      <c r="AO53" s="123">
        <v>0.55000000000000004</v>
      </c>
      <c r="AP53" s="123">
        <v>1.73</v>
      </c>
      <c r="AQ53" s="124">
        <v>1.75</v>
      </c>
      <c r="AR53" s="125">
        <v>0.83</v>
      </c>
      <c r="AS53" s="123">
        <v>0.48</v>
      </c>
      <c r="AT53" s="123">
        <v>0.69</v>
      </c>
      <c r="AU53" s="124">
        <v>1.24</v>
      </c>
      <c r="AV53" s="125">
        <v>0.57999999999999996</v>
      </c>
      <c r="AW53" s="123">
        <v>0.86</v>
      </c>
      <c r="AX53" s="123">
        <v>0</v>
      </c>
      <c r="AY53" s="124">
        <v>1.45</v>
      </c>
      <c r="AZ53" s="125">
        <v>0.31</v>
      </c>
      <c r="BA53" s="123">
        <v>0.64</v>
      </c>
      <c r="BB53" s="123">
        <v>0.23</v>
      </c>
      <c r="BC53" s="124">
        <v>1.18</v>
      </c>
      <c r="BD53" s="126">
        <v>0.56000000000000005</v>
      </c>
      <c r="BE53" s="125">
        <v>0.81</v>
      </c>
      <c r="BF53" s="123">
        <v>0</v>
      </c>
      <c r="BG53" s="123">
        <v>0.63</v>
      </c>
      <c r="BH53" s="124">
        <v>1.45</v>
      </c>
      <c r="BI53" s="125">
        <v>0.47</v>
      </c>
      <c r="BJ53" s="123">
        <v>0.22</v>
      </c>
      <c r="BK53" s="123">
        <v>0.83</v>
      </c>
      <c r="BL53" s="124">
        <v>1.52</v>
      </c>
      <c r="BM53" s="125">
        <v>1.48</v>
      </c>
      <c r="BN53" s="123">
        <v>1.81</v>
      </c>
      <c r="BO53" s="123">
        <v>1.37</v>
      </c>
      <c r="BP53" s="123">
        <v>1.93</v>
      </c>
      <c r="BQ53" s="123">
        <v>1.66</v>
      </c>
      <c r="BR53" s="123">
        <v>2.0299999999999998</v>
      </c>
      <c r="BS53" s="123">
        <v>4.25</v>
      </c>
      <c r="BT53" s="123">
        <v>1.66</v>
      </c>
      <c r="BU53" s="124">
        <v>1.58</v>
      </c>
      <c r="BV53" s="79">
        <v>1733418</v>
      </c>
      <c r="BW53" s="110">
        <v>143</v>
      </c>
      <c r="BX53" s="110">
        <v>1143</v>
      </c>
      <c r="BY53" s="162">
        <v>22</v>
      </c>
      <c r="BZ53" s="111">
        <v>15.1</v>
      </c>
      <c r="CA53" s="120">
        <v>4.4400000000000004E-3</v>
      </c>
      <c r="CB53" s="110">
        <v>391</v>
      </c>
      <c r="CC53" s="119">
        <v>1.97E-3</v>
      </c>
      <c r="CD53" s="110">
        <v>438</v>
      </c>
      <c r="CE53" s="104">
        <f t="shared" si="2"/>
        <v>9.5228807287872086E-3</v>
      </c>
      <c r="CF53" s="105">
        <f t="shared" si="0"/>
        <v>2.4</v>
      </c>
    </row>
    <row r="54" spans="1:84" ht="14.25" hidden="1" customHeight="1" x14ac:dyDescent="0.25">
      <c r="A54" s="106">
        <v>53</v>
      </c>
      <c r="B54" s="107"/>
      <c r="C54" s="108" t="s">
        <v>267</v>
      </c>
      <c r="D54" s="109">
        <v>1422</v>
      </c>
      <c r="E54" s="110">
        <v>1219</v>
      </c>
      <c r="F54" s="111">
        <f t="shared" si="1"/>
        <v>1733418</v>
      </c>
      <c r="G54" s="110">
        <v>143</v>
      </c>
      <c r="H54" s="110">
        <v>1143</v>
      </c>
      <c r="I54" s="112">
        <v>1.17</v>
      </c>
      <c r="J54" s="160">
        <v>24</v>
      </c>
      <c r="K54" s="161">
        <v>19.2</v>
      </c>
      <c r="L54" s="162">
        <v>22</v>
      </c>
      <c r="M54" s="163">
        <v>1.1100000000000001</v>
      </c>
      <c r="N54" s="111">
        <v>20.100000000000001</v>
      </c>
      <c r="O54" s="117" t="s">
        <v>215</v>
      </c>
      <c r="P54" s="118" t="s">
        <v>207</v>
      </c>
      <c r="Q54" s="119">
        <v>2.2200000000000002E-3</v>
      </c>
      <c r="R54" s="120">
        <v>0</v>
      </c>
      <c r="S54" s="120">
        <v>4.4400000000000004E-3</v>
      </c>
      <c r="T54" s="110">
        <v>391</v>
      </c>
      <c r="U54" s="118" t="s">
        <v>217</v>
      </c>
      <c r="V54" s="119">
        <v>1.9499999999999999E-3</v>
      </c>
      <c r="W54" s="110">
        <v>438</v>
      </c>
      <c r="X54" s="121">
        <v>474</v>
      </c>
      <c r="Y54" s="165">
        <v>2.76</v>
      </c>
      <c r="Z54" s="115">
        <v>0.5</v>
      </c>
      <c r="AA54" s="167" t="s">
        <v>226</v>
      </c>
      <c r="AB54" s="168"/>
      <c r="AC54" s="114">
        <v>3.9</v>
      </c>
      <c r="AD54" s="117" t="s">
        <v>229</v>
      </c>
      <c r="AE54" s="180">
        <v>1.84</v>
      </c>
      <c r="AF54" s="125">
        <v>1.08</v>
      </c>
      <c r="AG54" s="123">
        <v>0.4</v>
      </c>
      <c r="AH54" s="123">
        <v>0.69</v>
      </c>
      <c r="AI54" s="124">
        <v>1.86</v>
      </c>
      <c r="AJ54" s="125">
        <v>0.28999999999999998</v>
      </c>
      <c r="AK54" s="123">
        <v>1.02</v>
      </c>
      <c r="AL54" s="123">
        <v>0</v>
      </c>
      <c r="AM54" s="124">
        <v>1.31</v>
      </c>
      <c r="AN54" s="125">
        <v>0.05</v>
      </c>
      <c r="AO54" s="123">
        <v>0.55000000000000004</v>
      </c>
      <c r="AP54" s="123">
        <v>1.78</v>
      </c>
      <c r="AQ54" s="124">
        <v>2.02</v>
      </c>
      <c r="AR54" s="125">
        <v>0.95</v>
      </c>
      <c r="AS54" s="123">
        <v>0.48</v>
      </c>
      <c r="AT54" s="123">
        <v>0.69</v>
      </c>
      <c r="AU54" s="124">
        <v>1.44</v>
      </c>
      <c r="AV54" s="125">
        <v>0.67</v>
      </c>
      <c r="AW54" s="123">
        <v>0.85</v>
      </c>
      <c r="AX54" s="123">
        <v>0</v>
      </c>
      <c r="AY54" s="124">
        <v>1.53</v>
      </c>
      <c r="AZ54" s="125">
        <v>0.36</v>
      </c>
      <c r="BA54" s="123">
        <v>0.64</v>
      </c>
      <c r="BB54" s="123">
        <v>0.23</v>
      </c>
      <c r="BC54" s="124">
        <v>1.23</v>
      </c>
      <c r="BD54" s="126">
        <v>0.64</v>
      </c>
      <c r="BE54" s="125">
        <v>0.95</v>
      </c>
      <c r="BF54" s="123">
        <v>0</v>
      </c>
      <c r="BG54" s="123">
        <v>0.63</v>
      </c>
      <c r="BH54" s="124">
        <v>1.58</v>
      </c>
      <c r="BI54" s="125">
        <v>0.55000000000000004</v>
      </c>
      <c r="BJ54" s="123">
        <v>0.22</v>
      </c>
      <c r="BK54" s="123">
        <v>0.83</v>
      </c>
      <c r="BL54" s="124">
        <v>1.61</v>
      </c>
      <c r="BM54" s="125">
        <v>0.99</v>
      </c>
      <c r="BN54" s="123">
        <v>1.4</v>
      </c>
      <c r="BO54" s="123">
        <v>0.91</v>
      </c>
      <c r="BP54" s="123">
        <v>1.28</v>
      </c>
      <c r="BQ54" s="123">
        <v>1.21</v>
      </c>
      <c r="BR54" s="123">
        <v>1.5</v>
      </c>
      <c r="BS54" s="123">
        <v>2.87</v>
      </c>
      <c r="BT54" s="123">
        <v>1.1599999999999999</v>
      </c>
      <c r="BU54" s="124">
        <v>1.1499999999999999</v>
      </c>
      <c r="BV54" s="79">
        <v>1733418</v>
      </c>
      <c r="BW54" s="110">
        <v>143</v>
      </c>
      <c r="BX54" s="110">
        <v>1143</v>
      </c>
      <c r="BY54" s="162">
        <v>22</v>
      </c>
      <c r="BZ54" s="111">
        <v>20.100000000000001</v>
      </c>
      <c r="CA54" s="120">
        <v>4.4400000000000004E-3</v>
      </c>
      <c r="CB54" s="110">
        <v>391</v>
      </c>
      <c r="CC54" s="119">
        <v>1.9499999999999999E-3</v>
      </c>
      <c r="CD54" s="110">
        <v>438</v>
      </c>
      <c r="CE54" s="104">
        <f t="shared" si="2"/>
        <v>6.6545431598753991E-3</v>
      </c>
      <c r="CF54" s="105">
        <f t="shared" si="0"/>
        <v>1.84</v>
      </c>
    </row>
    <row r="55" spans="1:84" ht="14.25" hidden="1" customHeight="1" x14ac:dyDescent="0.25">
      <c r="A55" s="106">
        <v>54</v>
      </c>
      <c r="B55" s="107"/>
      <c r="C55" s="108" t="s">
        <v>268</v>
      </c>
      <c r="D55" s="109">
        <v>1422</v>
      </c>
      <c r="E55" s="110">
        <v>1219</v>
      </c>
      <c r="F55" s="111">
        <f t="shared" si="1"/>
        <v>1733418</v>
      </c>
      <c r="G55" s="110">
        <v>143</v>
      </c>
      <c r="H55" s="110">
        <v>1143</v>
      </c>
      <c r="I55" s="112">
        <v>1.17</v>
      </c>
      <c r="J55" s="160">
        <v>24</v>
      </c>
      <c r="K55" s="161">
        <v>19.2</v>
      </c>
      <c r="L55" s="162">
        <v>22</v>
      </c>
      <c r="M55" s="163">
        <v>1.1100000000000001</v>
      </c>
      <c r="N55" s="111">
        <v>20.100000000000001</v>
      </c>
      <c r="O55" s="117" t="s">
        <v>215</v>
      </c>
      <c r="P55" s="118" t="s">
        <v>207</v>
      </c>
      <c r="Q55" s="119">
        <v>2.2200000000000002E-3</v>
      </c>
      <c r="R55" s="120">
        <v>0</v>
      </c>
      <c r="S55" s="120">
        <v>4.4400000000000004E-3</v>
      </c>
      <c r="T55" s="110">
        <v>391</v>
      </c>
      <c r="U55" s="118" t="s">
        <v>217</v>
      </c>
      <c r="V55" s="119">
        <v>4.8700000000000002E-3</v>
      </c>
      <c r="W55" s="110">
        <v>438</v>
      </c>
      <c r="X55" s="121">
        <v>237</v>
      </c>
      <c r="Y55" s="165">
        <v>2.76</v>
      </c>
      <c r="Z55" s="115">
        <v>0.5</v>
      </c>
      <c r="AA55" s="167" t="s">
        <v>226</v>
      </c>
      <c r="AB55" s="168"/>
      <c r="AC55" s="114">
        <v>3.2</v>
      </c>
      <c r="AD55" s="117" t="s">
        <v>229</v>
      </c>
      <c r="AE55" s="180">
        <v>1.92</v>
      </c>
      <c r="AF55" s="125">
        <v>1.08</v>
      </c>
      <c r="AG55" s="123">
        <v>1</v>
      </c>
      <c r="AH55" s="123">
        <v>0.69</v>
      </c>
      <c r="AI55" s="124">
        <v>1.86</v>
      </c>
      <c r="AJ55" s="125">
        <v>0.28999999999999998</v>
      </c>
      <c r="AK55" s="123">
        <v>2.2400000000000002</v>
      </c>
      <c r="AL55" s="123">
        <v>0</v>
      </c>
      <c r="AM55" s="124">
        <v>2</v>
      </c>
      <c r="AN55" s="125">
        <v>0.32</v>
      </c>
      <c r="AO55" s="123">
        <v>1.36</v>
      </c>
      <c r="AP55" s="123">
        <v>1.78</v>
      </c>
      <c r="AQ55" s="124">
        <v>2.02</v>
      </c>
      <c r="AR55" s="125">
        <v>0.95</v>
      </c>
      <c r="AS55" s="123">
        <v>1.2</v>
      </c>
      <c r="AT55" s="123">
        <v>0.69</v>
      </c>
      <c r="AU55" s="124">
        <v>1.44</v>
      </c>
      <c r="AV55" s="125">
        <v>0.67</v>
      </c>
      <c r="AW55" s="123">
        <v>2.13</v>
      </c>
      <c r="AX55" s="123">
        <v>0</v>
      </c>
      <c r="AY55" s="124">
        <v>2.8</v>
      </c>
      <c r="AZ55" s="125">
        <v>0.36</v>
      </c>
      <c r="BA55" s="123">
        <v>1.01</v>
      </c>
      <c r="BB55" s="123">
        <v>0.23</v>
      </c>
      <c r="BC55" s="124">
        <v>1.6</v>
      </c>
      <c r="BD55" s="126">
        <v>0.64</v>
      </c>
      <c r="BE55" s="125">
        <v>0.95</v>
      </c>
      <c r="BF55" s="123">
        <v>0</v>
      </c>
      <c r="BG55" s="123">
        <v>0.63</v>
      </c>
      <c r="BH55" s="124">
        <v>1.58</v>
      </c>
      <c r="BI55" s="125">
        <v>0.55000000000000004</v>
      </c>
      <c r="BJ55" s="123">
        <v>0.43</v>
      </c>
      <c r="BK55" s="123">
        <v>0.83</v>
      </c>
      <c r="BL55" s="124">
        <v>1.81</v>
      </c>
      <c r="BM55" s="125">
        <v>1.03</v>
      </c>
      <c r="BN55" s="123">
        <v>0.96</v>
      </c>
      <c r="BO55" s="123">
        <v>0.95</v>
      </c>
      <c r="BP55" s="123">
        <v>1.34</v>
      </c>
      <c r="BQ55" s="123">
        <v>0.69</v>
      </c>
      <c r="BR55" s="123">
        <v>1.2</v>
      </c>
      <c r="BS55" s="123">
        <v>3</v>
      </c>
      <c r="BT55" s="123">
        <v>1.21</v>
      </c>
      <c r="BU55" s="124">
        <v>1.06</v>
      </c>
      <c r="BV55" s="79">
        <v>1733418</v>
      </c>
      <c r="BW55" s="110">
        <v>143</v>
      </c>
      <c r="BX55" s="110">
        <v>1143</v>
      </c>
      <c r="BY55" s="162">
        <v>22</v>
      </c>
      <c r="BZ55" s="111">
        <v>20.100000000000001</v>
      </c>
      <c r="CA55" s="120">
        <v>4.4400000000000004E-3</v>
      </c>
      <c r="CB55" s="110">
        <v>391</v>
      </c>
      <c r="CC55" s="119">
        <v>4.8700000000000002E-3</v>
      </c>
      <c r="CD55" s="110">
        <v>438</v>
      </c>
      <c r="CE55" s="104">
        <f t="shared" si="2"/>
        <v>6.9413769167665802E-3</v>
      </c>
      <c r="CF55" s="105">
        <f t="shared" si="0"/>
        <v>1.92</v>
      </c>
    </row>
    <row r="56" spans="1:84" ht="14.25" hidden="1" customHeight="1" x14ac:dyDescent="0.25">
      <c r="A56" s="106">
        <v>55</v>
      </c>
      <c r="B56" s="107"/>
      <c r="C56" s="108" t="s">
        <v>269</v>
      </c>
      <c r="D56" s="109">
        <v>1422</v>
      </c>
      <c r="E56" s="110">
        <v>1219</v>
      </c>
      <c r="F56" s="111">
        <f t="shared" si="1"/>
        <v>1733418</v>
      </c>
      <c r="G56" s="110">
        <v>143</v>
      </c>
      <c r="H56" s="110">
        <v>1143</v>
      </c>
      <c r="I56" s="112">
        <v>1.17</v>
      </c>
      <c r="J56" s="160">
        <v>24</v>
      </c>
      <c r="K56" s="161">
        <v>19.2</v>
      </c>
      <c r="L56" s="162">
        <v>22</v>
      </c>
      <c r="M56" s="163">
        <v>1.1100000000000001</v>
      </c>
      <c r="N56" s="111">
        <v>20.100000000000001</v>
      </c>
      <c r="O56" s="117" t="s">
        <v>215</v>
      </c>
      <c r="P56" s="118" t="s">
        <v>207</v>
      </c>
      <c r="Q56" s="119">
        <v>2.2200000000000002E-3</v>
      </c>
      <c r="R56" s="120">
        <v>3.9399999999999999E-3</v>
      </c>
      <c r="S56" s="120">
        <v>6.7400000000000003E-3</v>
      </c>
      <c r="T56" s="110">
        <v>391</v>
      </c>
      <c r="U56" s="118" t="s">
        <v>217</v>
      </c>
      <c r="V56" s="119">
        <v>1.97E-3</v>
      </c>
      <c r="W56" s="110">
        <v>438</v>
      </c>
      <c r="X56" s="121">
        <v>474</v>
      </c>
      <c r="Y56" s="165">
        <v>2.76</v>
      </c>
      <c r="Z56" s="115">
        <v>0.5</v>
      </c>
      <c r="AA56" s="167" t="s">
        <v>226</v>
      </c>
      <c r="AB56" s="168"/>
      <c r="AC56" s="114">
        <v>3.8</v>
      </c>
      <c r="AD56" s="117" t="s">
        <v>229</v>
      </c>
      <c r="AE56" s="180">
        <v>2.35</v>
      </c>
      <c r="AF56" s="125">
        <v>1.08</v>
      </c>
      <c r="AG56" s="123">
        <v>0.4</v>
      </c>
      <c r="AH56" s="123">
        <v>0.69</v>
      </c>
      <c r="AI56" s="124">
        <v>1.86</v>
      </c>
      <c r="AJ56" s="125">
        <v>0.28999999999999998</v>
      </c>
      <c r="AK56" s="123">
        <v>1.03</v>
      </c>
      <c r="AL56" s="123">
        <v>0</v>
      </c>
      <c r="AM56" s="124">
        <v>1.32</v>
      </c>
      <c r="AN56" s="125">
        <v>0.11</v>
      </c>
      <c r="AO56" s="123">
        <v>0.55000000000000004</v>
      </c>
      <c r="AP56" s="123">
        <v>1.77</v>
      </c>
      <c r="AQ56" s="124">
        <v>2.02</v>
      </c>
      <c r="AR56" s="125">
        <v>0.95</v>
      </c>
      <c r="AS56" s="123">
        <v>0.48</v>
      </c>
      <c r="AT56" s="123">
        <v>0.69</v>
      </c>
      <c r="AU56" s="124">
        <v>1.44</v>
      </c>
      <c r="AV56" s="125">
        <v>0.67</v>
      </c>
      <c r="AW56" s="123">
        <v>0.86</v>
      </c>
      <c r="AX56" s="123">
        <v>0</v>
      </c>
      <c r="AY56" s="124">
        <v>1.53</v>
      </c>
      <c r="AZ56" s="125">
        <v>0.36</v>
      </c>
      <c r="BA56" s="123">
        <v>1.5</v>
      </c>
      <c r="BB56" s="123">
        <v>0.23</v>
      </c>
      <c r="BC56" s="124">
        <v>2.09</v>
      </c>
      <c r="BD56" s="126">
        <v>0.64</v>
      </c>
      <c r="BE56" s="125">
        <v>0.95</v>
      </c>
      <c r="BF56" s="123">
        <v>0</v>
      </c>
      <c r="BG56" s="123">
        <v>0.63</v>
      </c>
      <c r="BH56" s="124">
        <v>1.58</v>
      </c>
      <c r="BI56" s="125">
        <v>0.55000000000000004</v>
      </c>
      <c r="BJ56" s="123">
        <v>0.22</v>
      </c>
      <c r="BK56" s="123">
        <v>0.83</v>
      </c>
      <c r="BL56" s="124">
        <v>1.6</v>
      </c>
      <c r="BM56" s="125">
        <v>1.26</v>
      </c>
      <c r="BN56" s="123">
        <v>1.78</v>
      </c>
      <c r="BO56" s="123">
        <v>1.17</v>
      </c>
      <c r="BP56" s="123">
        <v>1.64</v>
      </c>
      <c r="BQ56" s="123">
        <v>1.53</v>
      </c>
      <c r="BR56" s="123">
        <v>1.1299999999999999</v>
      </c>
      <c r="BS56" s="123">
        <v>3.67</v>
      </c>
      <c r="BT56" s="123">
        <v>1.48</v>
      </c>
      <c r="BU56" s="124">
        <v>1.47</v>
      </c>
      <c r="BV56" s="79">
        <v>1733418</v>
      </c>
      <c r="BW56" s="110">
        <v>143</v>
      </c>
      <c r="BX56" s="110">
        <v>1143</v>
      </c>
      <c r="BY56" s="162">
        <v>22</v>
      </c>
      <c r="BZ56" s="111">
        <v>20.100000000000001</v>
      </c>
      <c r="CA56" s="120">
        <v>6.7400000000000003E-3</v>
      </c>
      <c r="CB56" s="110">
        <v>391</v>
      </c>
      <c r="CC56" s="119">
        <v>1.97E-3</v>
      </c>
      <c r="CD56" s="110">
        <v>438</v>
      </c>
      <c r="CE56" s="104">
        <f t="shared" si="2"/>
        <v>8.4902792039789569E-3</v>
      </c>
      <c r="CF56" s="105">
        <f t="shared" si="0"/>
        <v>2.35</v>
      </c>
    </row>
    <row r="57" spans="1:84" ht="14.25" hidden="1" customHeight="1" x14ac:dyDescent="0.25">
      <c r="A57" s="106">
        <v>56</v>
      </c>
      <c r="B57" s="107"/>
      <c r="C57" s="108" t="s">
        <v>270</v>
      </c>
      <c r="D57" s="109">
        <v>1422</v>
      </c>
      <c r="E57" s="110">
        <v>1219</v>
      </c>
      <c r="F57" s="111">
        <f t="shared" si="1"/>
        <v>1733418</v>
      </c>
      <c r="G57" s="110">
        <v>143</v>
      </c>
      <c r="H57" s="110">
        <v>1143</v>
      </c>
      <c r="I57" s="112">
        <v>1.17</v>
      </c>
      <c r="J57" s="160">
        <v>24</v>
      </c>
      <c r="K57" s="161">
        <v>19.2</v>
      </c>
      <c r="L57" s="162">
        <v>22</v>
      </c>
      <c r="M57" s="163">
        <v>1.1100000000000001</v>
      </c>
      <c r="N57" s="111">
        <v>20.100000000000001</v>
      </c>
      <c r="O57" s="117" t="s">
        <v>215</v>
      </c>
      <c r="P57" s="118" t="s">
        <v>207</v>
      </c>
      <c r="Q57" s="119">
        <v>1.15E-3</v>
      </c>
      <c r="R57" s="120">
        <v>3.9399999999999999E-3</v>
      </c>
      <c r="S57" s="120">
        <v>4.5900000000000003E-3</v>
      </c>
      <c r="T57" s="110">
        <v>438</v>
      </c>
      <c r="U57" s="118" t="s">
        <v>217</v>
      </c>
      <c r="V57" s="119">
        <v>4.8700000000000002E-3</v>
      </c>
      <c r="W57" s="110">
        <v>438</v>
      </c>
      <c r="X57" s="121">
        <v>237</v>
      </c>
      <c r="Y57" s="165">
        <v>2.76</v>
      </c>
      <c r="Z57" s="115">
        <v>0.5</v>
      </c>
      <c r="AA57" s="167" t="s">
        <v>226</v>
      </c>
      <c r="AB57" s="168"/>
      <c r="AC57" s="114">
        <v>3.2</v>
      </c>
      <c r="AD57" s="117" t="s">
        <v>229</v>
      </c>
      <c r="AE57" s="180">
        <v>2.4</v>
      </c>
      <c r="AF57" s="125">
        <v>1.08</v>
      </c>
      <c r="AG57" s="123">
        <v>1</v>
      </c>
      <c r="AH57" s="123">
        <v>0.69</v>
      </c>
      <c r="AI57" s="124">
        <v>1.86</v>
      </c>
      <c r="AJ57" s="125">
        <v>0.28999999999999998</v>
      </c>
      <c r="AK57" s="123">
        <v>2.2400000000000002</v>
      </c>
      <c r="AL57" s="123">
        <v>0</v>
      </c>
      <c r="AM57" s="124">
        <v>2</v>
      </c>
      <c r="AN57" s="125">
        <v>0.32</v>
      </c>
      <c r="AO57" s="123">
        <v>1.36</v>
      </c>
      <c r="AP57" s="123">
        <v>1.78</v>
      </c>
      <c r="AQ57" s="124">
        <v>2.02</v>
      </c>
      <c r="AR57" s="125">
        <v>0.95</v>
      </c>
      <c r="AS57" s="123">
        <v>1.2</v>
      </c>
      <c r="AT57" s="123">
        <v>0.69</v>
      </c>
      <c r="AU57" s="124">
        <v>1.44</v>
      </c>
      <c r="AV57" s="125">
        <v>0.67</v>
      </c>
      <c r="AW57" s="123">
        <v>2.13</v>
      </c>
      <c r="AX57" s="123">
        <v>0</v>
      </c>
      <c r="AY57" s="124">
        <v>2.8</v>
      </c>
      <c r="AZ57" s="125">
        <v>0.31</v>
      </c>
      <c r="BA57" s="123">
        <v>1.92</v>
      </c>
      <c r="BB57" s="123">
        <v>0.23</v>
      </c>
      <c r="BC57" s="124">
        <v>2.46</v>
      </c>
      <c r="BD57" s="126">
        <v>0.64</v>
      </c>
      <c r="BE57" s="125">
        <v>0.95</v>
      </c>
      <c r="BF57" s="123">
        <v>0</v>
      </c>
      <c r="BG57" s="123">
        <v>0.63</v>
      </c>
      <c r="BH57" s="124">
        <v>1.58</v>
      </c>
      <c r="BI57" s="125">
        <v>0.55000000000000004</v>
      </c>
      <c r="BJ57" s="123">
        <v>0.43</v>
      </c>
      <c r="BK57" s="123">
        <v>0.83</v>
      </c>
      <c r="BL57" s="124">
        <v>1.81</v>
      </c>
      <c r="BM57" s="125">
        <v>1.29</v>
      </c>
      <c r="BN57" s="123">
        <v>1.2</v>
      </c>
      <c r="BO57" s="123">
        <v>1.19</v>
      </c>
      <c r="BP57" s="123">
        <v>1.67</v>
      </c>
      <c r="BQ57" s="123">
        <v>0.86</v>
      </c>
      <c r="BR57" s="123">
        <v>0.98</v>
      </c>
      <c r="BS57" s="123">
        <v>3.74</v>
      </c>
      <c r="BT57" s="123">
        <v>1.51</v>
      </c>
      <c r="BU57" s="124">
        <v>1.33</v>
      </c>
      <c r="BV57" s="79">
        <v>1733418</v>
      </c>
      <c r="BW57" s="110">
        <v>143</v>
      </c>
      <c r="BX57" s="110">
        <v>1143</v>
      </c>
      <c r="BY57" s="162">
        <v>22</v>
      </c>
      <c r="BZ57" s="111">
        <v>20.100000000000001</v>
      </c>
      <c r="CA57" s="120">
        <v>4.5900000000000003E-3</v>
      </c>
      <c r="CB57" s="110">
        <v>438</v>
      </c>
      <c r="CC57" s="119">
        <v>4.8700000000000002E-3</v>
      </c>
      <c r="CD57" s="110">
        <v>438</v>
      </c>
      <c r="CE57" s="104">
        <f t="shared" si="2"/>
        <v>8.6623794581136664E-3</v>
      </c>
      <c r="CF57" s="105">
        <f t="shared" si="0"/>
        <v>2.4</v>
      </c>
    </row>
    <row r="58" spans="1:84" ht="14.25" hidden="1" customHeight="1" x14ac:dyDescent="0.25">
      <c r="A58" s="106">
        <v>57</v>
      </c>
      <c r="B58" s="107"/>
      <c r="C58" s="108" t="s">
        <v>271</v>
      </c>
      <c r="D58" s="109">
        <v>1422</v>
      </c>
      <c r="E58" s="110">
        <v>1219</v>
      </c>
      <c r="F58" s="111">
        <f t="shared" si="1"/>
        <v>1733418</v>
      </c>
      <c r="G58" s="110">
        <v>143</v>
      </c>
      <c r="H58" s="110">
        <v>1143</v>
      </c>
      <c r="I58" s="112">
        <v>1.17</v>
      </c>
      <c r="J58" s="160">
        <v>24</v>
      </c>
      <c r="K58" s="161">
        <v>19.2</v>
      </c>
      <c r="L58" s="162">
        <v>22</v>
      </c>
      <c r="M58" s="163">
        <v>1.1100000000000001</v>
      </c>
      <c r="N58" s="111">
        <v>20.100000000000001</v>
      </c>
      <c r="O58" s="117" t="s">
        <v>215</v>
      </c>
      <c r="P58" s="118" t="s">
        <v>207</v>
      </c>
      <c r="Q58" s="119">
        <v>7.3999999999999999E-4</v>
      </c>
      <c r="R58" s="120">
        <v>4.2300000000000003E-3</v>
      </c>
      <c r="S58" s="120">
        <v>4.4400000000000004E-3</v>
      </c>
      <c r="T58" s="110">
        <v>410</v>
      </c>
      <c r="U58" s="118" t="s">
        <v>217</v>
      </c>
      <c r="V58" s="119">
        <v>1.97E-3</v>
      </c>
      <c r="W58" s="110">
        <v>438</v>
      </c>
      <c r="X58" s="121">
        <v>474</v>
      </c>
      <c r="Y58" s="165">
        <v>2.76</v>
      </c>
      <c r="Z58" s="115">
        <v>0.5</v>
      </c>
      <c r="AA58" s="167" t="s">
        <v>226</v>
      </c>
      <c r="AB58" s="168"/>
      <c r="AC58" s="114">
        <v>4.7</v>
      </c>
      <c r="AD58" s="117" t="s">
        <v>229</v>
      </c>
      <c r="AE58" s="180">
        <v>2.0299999999999998</v>
      </c>
      <c r="AF58" s="125">
        <v>1.08</v>
      </c>
      <c r="AG58" s="123">
        <v>0.4</v>
      </c>
      <c r="AH58" s="123">
        <v>0.69</v>
      </c>
      <c r="AI58" s="124">
        <v>1.86</v>
      </c>
      <c r="AJ58" s="125">
        <v>0.28999999999999998</v>
      </c>
      <c r="AK58" s="123">
        <v>1.03</v>
      </c>
      <c r="AL58" s="123">
        <v>0</v>
      </c>
      <c r="AM58" s="124">
        <v>1.32</v>
      </c>
      <c r="AN58" s="125">
        <v>0</v>
      </c>
      <c r="AO58" s="123">
        <v>0.55000000000000004</v>
      </c>
      <c r="AP58" s="123">
        <v>1.78</v>
      </c>
      <c r="AQ58" s="124">
        <v>2.02</v>
      </c>
      <c r="AR58" s="125">
        <v>0.95</v>
      </c>
      <c r="AS58" s="123">
        <v>0.48</v>
      </c>
      <c r="AT58" s="123">
        <v>0.69</v>
      </c>
      <c r="AU58" s="124">
        <v>1.44</v>
      </c>
      <c r="AV58" s="125">
        <v>0.67</v>
      </c>
      <c r="AW58" s="123">
        <v>0.86</v>
      </c>
      <c r="AX58" s="123">
        <v>0</v>
      </c>
      <c r="AY58" s="124">
        <v>1.53</v>
      </c>
      <c r="AZ58" s="125">
        <v>0.28000000000000003</v>
      </c>
      <c r="BA58" s="123">
        <v>1.56</v>
      </c>
      <c r="BB58" s="123">
        <v>0.23</v>
      </c>
      <c r="BC58" s="124">
        <v>2.06</v>
      </c>
      <c r="BD58" s="126">
        <v>0.64</v>
      </c>
      <c r="BE58" s="125">
        <v>0.95</v>
      </c>
      <c r="BF58" s="123">
        <v>0</v>
      </c>
      <c r="BG58" s="123">
        <v>0.63</v>
      </c>
      <c r="BH58" s="124">
        <v>1.58</v>
      </c>
      <c r="BI58" s="125">
        <v>0.55000000000000004</v>
      </c>
      <c r="BJ58" s="123">
        <v>0.22</v>
      </c>
      <c r="BK58" s="123">
        <v>0.83</v>
      </c>
      <c r="BL58" s="124">
        <v>1.6</v>
      </c>
      <c r="BM58" s="125">
        <v>1.0900000000000001</v>
      </c>
      <c r="BN58" s="123">
        <v>1.53</v>
      </c>
      <c r="BO58" s="123">
        <v>1.01</v>
      </c>
      <c r="BP58" s="123">
        <v>1.42</v>
      </c>
      <c r="BQ58" s="123">
        <v>1.32</v>
      </c>
      <c r="BR58" s="123">
        <v>0.99</v>
      </c>
      <c r="BS58" s="123">
        <v>3.17</v>
      </c>
      <c r="BT58" s="123">
        <v>1.28</v>
      </c>
      <c r="BU58" s="124">
        <v>1.27</v>
      </c>
      <c r="BV58" s="79">
        <v>1733418</v>
      </c>
      <c r="BW58" s="110">
        <v>143</v>
      </c>
      <c r="BX58" s="110">
        <v>1143</v>
      </c>
      <c r="BY58" s="162">
        <v>22</v>
      </c>
      <c r="BZ58" s="111">
        <v>20.100000000000001</v>
      </c>
      <c r="CA58" s="120">
        <v>4.4400000000000004E-3</v>
      </c>
      <c r="CB58" s="110">
        <v>410</v>
      </c>
      <c r="CC58" s="119">
        <v>1.97E-3</v>
      </c>
      <c r="CD58" s="110">
        <v>438</v>
      </c>
      <c r="CE58" s="104">
        <f t="shared" si="2"/>
        <v>7.3429441764142336E-3</v>
      </c>
      <c r="CF58" s="105">
        <f t="shared" si="0"/>
        <v>2.0299999999999998</v>
      </c>
    </row>
    <row r="59" spans="1:84" ht="14.25" hidden="1" customHeight="1" x14ac:dyDescent="0.25">
      <c r="A59" s="106">
        <v>58</v>
      </c>
      <c r="B59" s="107"/>
      <c r="C59" s="108" t="s">
        <v>272</v>
      </c>
      <c r="D59" s="109">
        <v>1422</v>
      </c>
      <c r="E59" s="110">
        <v>1219</v>
      </c>
      <c r="F59" s="111">
        <f t="shared" si="1"/>
        <v>1733418</v>
      </c>
      <c r="G59" s="110">
        <v>143</v>
      </c>
      <c r="H59" s="110">
        <v>1143</v>
      </c>
      <c r="I59" s="112">
        <v>1.17</v>
      </c>
      <c r="J59" s="160">
        <v>24</v>
      </c>
      <c r="K59" s="161">
        <v>19.2</v>
      </c>
      <c r="L59" s="162">
        <v>22</v>
      </c>
      <c r="M59" s="163">
        <v>1.1100000000000001</v>
      </c>
      <c r="N59" s="111">
        <v>20.100000000000001</v>
      </c>
      <c r="O59" s="117" t="s">
        <v>215</v>
      </c>
      <c r="P59" s="118" t="s">
        <v>207</v>
      </c>
      <c r="Q59" s="119">
        <v>7.3999999999999999E-4</v>
      </c>
      <c r="R59" s="120">
        <v>4.2300000000000003E-3</v>
      </c>
      <c r="S59" s="120">
        <v>4.4400000000000004E-3</v>
      </c>
      <c r="T59" s="110">
        <v>410</v>
      </c>
      <c r="U59" s="118" t="s">
        <v>217</v>
      </c>
      <c r="V59" s="119">
        <v>4.8700000000000002E-3</v>
      </c>
      <c r="W59" s="110">
        <v>438</v>
      </c>
      <c r="X59" s="121">
        <v>237</v>
      </c>
      <c r="Y59" s="165">
        <v>2.76</v>
      </c>
      <c r="Z59" s="115">
        <v>0.5</v>
      </c>
      <c r="AA59" s="167" t="s">
        <v>226</v>
      </c>
      <c r="AB59" s="168"/>
      <c r="AC59" s="114">
        <v>5.2</v>
      </c>
      <c r="AD59" s="117" t="s">
        <v>229</v>
      </c>
      <c r="AE59" s="180">
        <v>2.2000000000000002</v>
      </c>
      <c r="AF59" s="125">
        <v>1.08</v>
      </c>
      <c r="AG59" s="123">
        <v>1</v>
      </c>
      <c r="AH59" s="123">
        <v>0.69</v>
      </c>
      <c r="AI59" s="124">
        <v>1.86</v>
      </c>
      <c r="AJ59" s="125">
        <v>0.28999999999999998</v>
      </c>
      <c r="AK59" s="123">
        <v>2.2400000000000002</v>
      </c>
      <c r="AL59" s="123">
        <v>0</v>
      </c>
      <c r="AM59" s="124">
        <v>2</v>
      </c>
      <c r="AN59" s="125">
        <v>0</v>
      </c>
      <c r="AO59" s="123">
        <v>1.36</v>
      </c>
      <c r="AP59" s="123">
        <v>1.78</v>
      </c>
      <c r="AQ59" s="124">
        <v>2.02</v>
      </c>
      <c r="AR59" s="125">
        <v>0.95</v>
      </c>
      <c r="AS59" s="123">
        <v>1.2</v>
      </c>
      <c r="AT59" s="123">
        <v>0.69</v>
      </c>
      <c r="AU59" s="124">
        <v>1.44</v>
      </c>
      <c r="AV59" s="125">
        <v>0.67</v>
      </c>
      <c r="AW59" s="123">
        <v>2.13</v>
      </c>
      <c r="AX59" s="123">
        <v>0</v>
      </c>
      <c r="AY59" s="124">
        <v>2.8</v>
      </c>
      <c r="AZ59" s="125">
        <v>0.28000000000000003</v>
      </c>
      <c r="BA59" s="123">
        <v>1.92</v>
      </c>
      <c r="BB59" s="123">
        <v>0.23</v>
      </c>
      <c r="BC59" s="124">
        <v>2.4300000000000002</v>
      </c>
      <c r="BD59" s="126">
        <v>0.64</v>
      </c>
      <c r="BE59" s="125">
        <v>0.95</v>
      </c>
      <c r="BF59" s="123">
        <v>0</v>
      </c>
      <c r="BG59" s="123">
        <v>0.63</v>
      </c>
      <c r="BH59" s="124">
        <v>1.58</v>
      </c>
      <c r="BI59" s="125">
        <v>0.55000000000000004</v>
      </c>
      <c r="BJ59" s="123">
        <v>0.43</v>
      </c>
      <c r="BK59" s="123">
        <v>0.83</v>
      </c>
      <c r="BL59" s="124">
        <v>1.81</v>
      </c>
      <c r="BM59" s="125">
        <v>1.18</v>
      </c>
      <c r="BN59" s="123">
        <v>1.1000000000000001</v>
      </c>
      <c r="BO59" s="123">
        <v>1.0900000000000001</v>
      </c>
      <c r="BP59" s="123">
        <v>1.53</v>
      </c>
      <c r="BQ59" s="123">
        <v>0.78</v>
      </c>
      <c r="BR59" s="123">
        <v>0.9</v>
      </c>
      <c r="BS59" s="123">
        <v>3.43</v>
      </c>
      <c r="BT59" s="123">
        <v>1.39</v>
      </c>
      <c r="BU59" s="124">
        <v>1.22</v>
      </c>
      <c r="BV59" s="79">
        <v>1733418</v>
      </c>
      <c r="BW59" s="110">
        <v>143</v>
      </c>
      <c r="BX59" s="110">
        <v>1143</v>
      </c>
      <c r="BY59" s="162">
        <v>22</v>
      </c>
      <c r="BZ59" s="111">
        <v>20.100000000000001</v>
      </c>
      <c r="CA59" s="120">
        <v>4.4400000000000004E-3</v>
      </c>
      <c r="CB59" s="110">
        <v>410</v>
      </c>
      <c r="CC59" s="119">
        <v>4.8700000000000002E-3</v>
      </c>
      <c r="CD59" s="110">
        <v>438</v>
      </c>
      <c r="CE59" s="104">
        <f t="shared" si="2"/>
        <v>7.9739784415748319E-3</v>
      </c>
      <c r="CF59" s="105">
        <f t="shared" si="0"/>
        <v>2.2000000000000002</v>
      </c>
    </row>
    <row r="60" spans="1:84" ht="14.25" hidden="1" customHeight="1" x14ac:dyDescent="0.25">
      <c r="A60" s="106">
        <v>59</v>
      </c>
      <c r="B60" s="107"/>
      <c r="C60" s="108" t="s">
        <v>273</v>
      </c>
      <c r="D60" s="109">
        <v>1422</v>
      </c>
      <c r="E60" s="110">
        <v>1219</v>
      </c>
      <c r="F60" s="111">
        <f t="shared" si="1"/>
        <v>1733418</v>
      </c>
      <c r="G60" s="110">
        <v>143</v>
      </c>
      <c r="H60" s="110">
        <v>1143</v>
      </c>
      <c r="I60" s="112">
        <v>1.17</v>
      </c>
      <c r="J60" s="160">
        <v>24</v>
      </c>
      <c r="K60" s="161">
        <v>19.2</v>
      </c>
      <c r="L60" s="162">
        <v>22</v>
      </c>
      <c r="M60" s="163">
        <v>1.1100000000000001</v>
      </c>
      <c r="N60" s="111">
        <v>20.100000000000001</v>
      </c>
      <c r="O60" s="117" t="s">
        <v>215</v>
      </c>
      <c r="P60" s="118" t="s">
        <v>207</v>
      </c>
      <c r="Q60" s="119">
        <v>2.2200000000000002E-3</v>
      </c>
      <c r="R60" s="120">
        <v>0</v>
      </c>
      <c r="S60" s="120">
        <v>1.48E-3</v>
      </c>
      <c r="T60" s="110">
        <v>391</v>
      </c>
      <c r="U60" s="118" t="s">
        <v>217</v>
      </c>
      <c r="V60" s="119">
        <v>1.97E-3</v>
      </c>
      <c r="W60" s="110">
        <v>438</v>
      </c>
      <c r="X60" s="121">
        <v>474</v>
      </c>
      <c r="Y60" s="165">
        <v>2.76</v>
      </c>
      <c r="Z60" s="115">
        <v>0.5</v>
      </c>
      <c r="AA60" s="167" t="s">
        <v>226</v>
      </c>
      <c r="AB60" s="168"/>
      <c r="AC60" s="114">
        <v>2.2000000000000002</v>
      </c>
      <c r="AD60" s="117" t="s">
        <v>229</v>
      </c>
      <c r="AE60" s="180">
        <v>2.1800000000000002</v>
      </c>
      <c r="AF60" s="125">
        <v>1.08</v>
      </c>
      <c r="AG60" s="123">
        <v>0.4</v>
      </c>
      <c r="AH60" s="123">
        <v>0.69</v>
      </c>
      <c r="AI60" s="124">
        <v>1.86</v>
      </c>
      <c r="AJ60" s="125">
        <v>0.28999999999999998</v>
      </c>
      <c r="AK60" s="123">
        <v>1.03</v>
      </c>
      <c r="AL60" s="123">
        <v>0</v>
      </c>
      <c r="AM60" s="124">
        <v>1.32</v>
      </c>
      <c r="AN60" s="125">
        <v>0.65</v>
      </c>
      <c r="AO60" s="123">
        <v>0.55000000000000004</v>
      </c>
      <c r="AP60" s="123">
        <v>1.82</v>
      </c>
      <c r="AQ60" s="124">
        <v>2.02</v>
      </c>
      <c r="AR60" s="125">
        <v>0.95</v>
      </c>
      <c r="AS60" s="123">
        <v>0.48</v>
      </c>
      <c r="AT60" s="123">
        <v>0.69</v>
      </c>
      <c r="AU60" s="124">
        <v>1.44</v>
      </c>
      <c r="AV60" s="125">
        <v>0.67</v>
      </c>
      <c r="AW60" s="123">
        <v>0.86</v>
      </c>
      <c r="AX60" s="123">
        <v>0</v>
      </c>
      <c r="AY60" s="124">
        <v>1.53</v>
      </c>
      <c r="AZ60" s="125">
        <v>0.36</v>
      </c>
      <c r="BA60" s="123">
        <v>0.64</v>
      </c>
      <c r="BB60" s="123">
        <v>0.23</v>
      </c>
      <c r="BC60" s="124">
        <v>1.23</v>
      </c>
      <c r="BD60" s="126">
        <v>0.64</v>
      </c>
      <c r="BE60" s="125">
        <v>0.95</v>
      </c>
      <c r="BF60" s="123">
        <v>0</v>
      </c>
      <c r="BG60" s="123">
        <v>0.63</v>
      </c>
      <c r="BH60" s="124">
        <v>1.58</v>
      </c>
      <c r="BI60" s="125">
        <v>0.55000000000000004</v>
      </c>
      <c r="BJ60" s="123">
        <v>0.22</v>
      </c>
      <c r="BK60" s="123">
        <v>0.83</v>
      </c>
      <c r="BL60" s="124">
        <v>1.6</v>
      </c>
      <c r="BM60" s="125">
        <v>1.17</v>
      </c>
      <c r="BN60" s="123">
        <v>1.65</v>
      </c>
      <c r="BO60" s="123">
        <v>1.08</v>
      </c>
      <c r="BP60" s="123">
        <v>1.52</v>
      </c>
      <c r="BQ60" s="123">
        <v>1.42</v>
      </c>
      <c r="BR60" s="123">
        <v>1.77</v>
      </c>
      <c r="BS60" s="123">
        <v>3.4</v>
      </c>
      <c r="BT60" s="123">
        <v>1.38</v>
      </c>
      <c r="BU60" s="124">
        <v>1.36</v>
      </c>
      <c r="BV60" s="79">
        <v>1733418</v>
      </c>
      <c r="BW60" s="110">
        <v>143</v>
      </c>
      <c r="BX60" s="110">
        <v>1143</v>
      </c>
      <c r="BY60" s="162">
        <v>22</v>
      </c>
      <c r="BZ60" s="111">
        <v>20.100000000000001</v>
      </c>
      <c r="CA60" s="120">
        <v>1.48E-3</v>
      </c>
      <c r="CB60" s="110">
        <v>391</v>
      </c>
      <c r="CC60" s="119">
        <v>1.97E-3</v>
      </c>
      <c r="CD60" s="110">
        <v>438</v>
      </c>
      <c r="CE60" s="104">
        <f t="shared" si="2"/>
        <v>7.9166116901965965E-3</v>
      </c>
      <c r="CF60" s="105">
        <f t="shared" si="0"/>
        <v>2.1800000000000002</v>
      </c>
    </row>
    <row r="61" spans="1:84" ht="14.25" hidden="1" customHeight="1" x14ac:dyDescent="0.25">
      <c r="A61" s="106">
        <v>60</v>
      </c>
      <c r="B61" s="107"/>
      <c r="C61" s="108" t="s">
        <v>274</v>
      </c>
      <c r="D61" s="109">
        <v>1422</v>
      </c>
      <c r="E61" s="110">
        <v>1219</v>
      </c>
      <c r="F61" s="111">
        <f t="shared" si="1"/>
        <v>1733418</v>
      </c>
      <c r="G61" s="110">
        <v>143</v>
      </c>
      <c r="H61" s="110">
        <v>1143</v>
      </c>
      <c r="I61" s="112">
        <v>1.17</v>
      </c>
      <c r="J61" s="160">
        <v>24</v>
      </c>
      <c r="K61" s="161">
        <v>19.2</v>
      </c>
      <c r="L61" s="162">
        <v>22</v>
      </c>
      <c r="M61" s="163">
        <v>1.1100000000000001</v>
      </c>
      <c r="N61" s="111">
        <v>20.100000000000001</v>
      </c>
      <c r="O61" s="117" t="s">
        <v>215</v>
      </c>
      <c r="P61" s="118" t="s">
        <v>207</v>
      </c>
      <c r="Q61" s="119">
        <v>2.2200000000000002E-3</v>
      </c>
      <c r="R61" s="120">
        <v>0</v>
      </c>
      <c r="S61" s="120">
        <v>4.4400000000000004E-3</v>
      </c>
      <c r="T61" s="110">
        <v>391</v>
      </c>
      <c r="U61" s="118" t="s">
        <v>217</v>
      </c>
      <c r="V61" s="119">
        <v>4.8700000000000002E-3</v>
      </c>
      <c r="W61" s="110">
        <v>438</v>
      </c>
      <c r="X61" s="121">
        <v>237</v>
      </c>
      <c r="Y61" s="165">
        <v>2.76</v>
      </c>
      <c r="Z61" s="115">
        <v>0.5</v>
      </c>
      <c r="AA61" s="167" t="s">
        <v>226</v>
      </c>
      <c r="AB61" s="168"/>
      <c r="AC61" s="114">
        <v>2.7</v>
      </c>
      <c r="AD61" s="117" t="s">
        <v>229</v>
      </c>
      <c r="AE61" s="180">
        <v>2.14</v>
      </c>
      <c r="AF61" s="125">
        <v>1.08</v>
      </c>
      <c r="AG61" s="123">
        <v>1</v>
      </c>
      <c r="AH61" s="123">
        <v>0.69</v>
      </c>
      <c r="AI61" s="124">
        <v>1.86</v>
      </c>
      <c r="AJ61" s="125">
        <v>0.28999999999999998</v>
      </c>
      <c r="AK61" s="123">
        <v>2.2400000000000002</v>
      </c>
      <c r="AL61" s="123">
        <v>0</v>
      </c>
      <c r="AM61" s="124">
        <v>2</v>
      </c>
      <c r="AN61" s="125">
        <v>0.53</v>
      </c>
      <c r="AO61" s="123">
        <v>1.36</v>
      </c>
      <c r="AP61" s="123">
        <v>1.78</v>
      </c>
      <c r="AQ61" s="124">
        <v>2.02</v>
      </c>
      <c r="AR61" s="125">
        <v>0.95</v>
      </c>
      <c r="AS61" s="123">
        <v>1.2</v>
      </c>
      <c r="AT61" s="123">
        <v>0.69</v>
      </c>
      <c r="AU61" s="124">
        <v>1.44</v>
      </c>
      <c r="AV61" s="125">
        <v>0.67</v>
      </c>
      <c r="AW61" s="123">
        <v>2.13</v>
      </c>
      <c r="AX61" s="123">
        <v>0</v>
      </c>
      <c r="AY61" s="124">
        <v>2.8</v>
      </c>
      <c r="AZ61" s="125">
        <v>0.36</v>
      </c>
      <c r="BA61" s="123">
        <v>1.01</v>
      </c>
      <c r="BB61" s="123">
        <v>0.23</v>
      </c>
      <c r="BC61" s="124">
        <v>1.6</v>
      </c>
      <c r="BD61" s="126">
        <v>0.64</v>
      </c>
      <c r="BE61" s="125">
        <v>0.95</v>
      </c>
      <c r="BF61" s="123">
        <v>0</v>
      </c>
      <c r="BG61" s="123">
        <v>0.63</v>
      </c>
      <c r="BH61" s="124">
        <v>1.58</v>
      </c>
      <c r="BI61" s="125">
        <v>0.55000000000000004</v>
      </c>
      <c r="BJ61" s="123">
        <v>0.43</v>
      </c>
      <c r="BK61" s="123">
        <v>0.83</v>
      </c>
      <c r="BL61" s="124">
        <v>1.81</v>
      </c>
      <c r="BM61" s="125">
        <v>1.1499999999999999</v>
      </c>
      <c r="BN61" s="123">
        <v>1.07</v>
      </c>
      <c r="BO61" s="123">
        <v>1.06</v>
      </c>
      <c r="BP61" s="123">
        <v>1.49</v>
      </c>
      <c r="BQ61" s="123">
        <v>0.76</v>
      </c>
      <c r="BR61" s="123">
        <v>1.34</v>
      </c>
      <c r="BS61" s="123">
        <v>3.34</v>
      </c>
      <c r="BT61" s="123">
        <v>1.35</v>
      </c>
      <c r="BU61" s="124">
        <v>1.18</v>
      </c>
      <c r="BV61" s="79">
        <v>1733418</v>
      </c>
      <c r="BW61" s="110">
        <v>143</v>
      </c>
      <c r="BX61" s="110">
        <v>1143</v>
      </c>
      <c r="BY61" s="162">
        <v>22</v>
      </c>
      <c r="BZ61" s="111">
        <v>20.100000000000001</v>
      </c>
      <c r="CA61" s="120">
        <v>4.4400000000000004E-3</v>
      </c>
      <c r="CB61" s="110">
        <v>391</v>
      </c>
      <c r="CC61" s="119">
        <v>4.8700000000000002E-3</v>
      </c>
      <c r="CD61" s="110">
        <v>438</v>
      </c>
      <c r="CE61" s="104">
        <f t="shared" si="2"/>
        <v>7.744511436061887E-3</v>
      </c>
      <c r="CF61" s="105">
        <f t="shared" si="0"/>
        <v>2.14</v>
      </c>
    </row>
    <row r="62" spans="1:84" ht="14.25" hidden="1" customHeight="1" x14ac:dyDescent="0.25">
      <c r="A62" s="106">
        <v>61</v>
      </c>
      <c r="B62" s="107"/>
      <c r="C62" s="108" t="s">
        <v>275</v>
      </c>
      <c r="D62" s="109">
        <v>1422</v>
      </c>
      <c r="E62" s="110">
        <v>1219</v>
      </c>
      <c r="F62" s="111">
        <f t="shared" si="1"/>
        <v>1733418</v>
      </c>
      <c r="G62" s="110">
        <v>143</v>
      </c>
      <c r="H62" s="110">
        <v>1143</v>
      </c>
      <c r="I62" s="112">
        <v>1.17</v>
      </c>
      <c r="J62" s="160">
        <v>24</v>
      </c>
      <c r="K62" s="161">
        <v>19.2</v>
      </c>
      <c r="L62" s="162">
        <v>22</v>
      </c>
      <c r="M62" s="163">
        <v>1.1100000000000001</v>
      </c>
      <c r="N62" s="111">
        <v>20.100000000000001</v>
      </c>
      <c r="O62" s="117" t="s">
        <v>215</v>
      </c>
      <c r="P62" s="118" t="s">
        <v>207</v>
      </c>
      <c r="Q62" s="119">
        <v>2.2200000000000002E-3</v>
      </c>
      <c r="R62" s="120">
        <v>0</v>
      </c>
      <c r="S62" s="120">
        <v>4.4400000000000004E-3</v>
      </c>
      <c r="T62" s="110">
        <v>391</v>
      </c>
      <c r="U62" s="118" t="s">
        <v>217</v>
      </c>
      <c r="V62" s="119">
        <v>2.5000000000000001E-3</v>
      </c>
      <c r="W62" s="110">
        <v>410</v>
      </c>
      <c r="X62" s="121">
        <v>284</v>
      </c>
      <c r="Y62" s="165">
        <v>2.76</v>
      </c>
      <c r="Z62" s="115">
        <v>0.5</v>
      </c>
      <c r="AA62" s="167" t="s">
        <v>226</v>
      </c>
      <c r="AB62" s="168"/>
      <c r="AC62" s="114">
        <v>3.4</v>
      </c>
      <c r="AD62" s="117" t="s">
        <v>229</v>
      </c>
      <c r="AE62" s="180">
        <v>2.25</v>
      </c>
      <c r="AF62" s="125">
        <v>1.08</v>
      </c>
      <c r="AG62" s="123">
        <v>0.48</v>
      </c>
      <c r="AH62" s="123">
        <v>0.69</v>
      </c>
      <c r="AI62" s="124">
        <v>1.86</v>
      </c>
      <c r="AJ62" s="125">
        <v>0.28999999999999998</v>
      </c>
      <c r="AK62" s="123">
        <v>1.1100000000000001</v>
      </c>
      <c r="AL62" s="123">
        <v>0</v>
      </c>
      <c r="AM62" s="124">
        <v>1.39</v>
      </c>
      <c r="AN62" s="125">
        <v>0.25</v>
      </c>
      <c r="AO62" s="123">
        <v>0.66</v>
      </c>
      <c r="AP62" s="123">
        <v>1.78</v>
      </c>
      <c r="AQ62" s="124">
        <v>2.02</v>
      </c>
      <c r="AR62" s="125">
        <v>0.95</v>
      </c>
      <c r="AS62" s="123">
        <v>0.57999999999999996</v>
      </c>
      <c r="AT62" s="123">
        <v>0.69</v>
      </c>
      <c r="AU62" s="124">
        <v>1.44</v>
      </c>
      <c r="AV62" s="125">
        <v>0.67</v>
      </c>
      <c r="AW62" s="123">
        <v>1.02</v>
      </c>
      <c r="AX62" s="123">
        <v>0</v>
      </c>
      <c r="AY62" s="124">
        <v>1.7</v>
      </c>
      <c r="AZ62" s="125">
        <v>0.36</v>
      </c>
      <c r="BA62" s="123">
        <v>0.7</v>
      </c>
      <c r="BB62" s="123">
        <v>0.23</v>
      </c>
      <c r="BC62" s="124">
        <v>1.29</v>
      </c>
      <c r="BD62" s="126">
        <v>0.64</v>
      </c>
      <c r="BE62" s="125">
        <v>0.95</v>
      </c>
      <c r="BF62" s="123">
        <v>0</v>
      </c>
      <c r="BG62" s="123">
        <v>0.63</v>
      </c>
      <c r="BH62" s="124">
        <v>1.58</v>
      </c>
      <c r="BI62" s="125">
        <v>0.55000000000000004</v>
      </c>
      <c r="BJ62" s="123">
        <v>0.2</v>
      </c>
      <c r="BK62" s="123">
        <v>0.83</v>
      </c>
      <c r="BL62" s="124">
        <v>1.59</v>
      </c>
      <c r="BM62" s="125">
        <v>1.21</v>
      </c>
      <c r="BN62" s="123">
        <v>1.61</v>
      </c>
      <c r="BO62" s="123">
        <v>1.1100000000000001</v>
      </c>
      <c r="BP62" s="123">
        <v>1.57</v>
      </c>
      <c r="BQ62" s="123">
        <v>1.32</v>
      </c>
      <c r="BR62" s="123">
        <v>1.75</v>
      </c>
      <c r="BS62" s="123">
        <v>3.51</v>
      </c>
      <c r="BT62" s="123">
        <v>1.42</v>
      </c>
      <c r="BU62" s="124">
        <v>1.42</v>
      </c>
      <c r="BV62" s="79">
        <v>1733418</v>
      </c>
      <c r="BW62" s="110">
        <v>143</v>
      </c>
      <c r="BX62" s="110">
        <v>1143</v>
      </c>
      <c r="BY62" s="162">
        <v>22</v>
      </c>
      <c r="BZ62" s="111">
        <v>20.100000000000001</v>
      </c>
      <c r="CA62" s="120">
        <v>4.4400000000000004E-3</v>
      </c>
      <c r="CB62" s="110">
        <v>391</v>
      </c>
      <c r="CC62" s="119">
        <v>2.5000000000000001E-3</v>
      </c>
      <c r="CD62" s="110">
        <v>410</v>
      </c>
      <c r="CE62" s="104">
        <f t="shared" si="2"/>
        <v>8.1460786957095396E-3</v>
      </c>
      <c r="CF62" s="105">
        <f t="shared" si="0"/>
        <v>2.25</v>
      </c>
    </row>
    <row r="63" spans="1:84" ht="14.25" hidden="1" customHeight="1" x14ac:dyDescent="0.25">
      <c r="A63" s="106">
        <v>62</v>
      </c>
      <c r="B63" s="107"/>
      <c r="C63" s="108" t="s">
        <v>276</v>
      </c>
      <c r="D63" s="109">
        <v>1422</v>
      </c>
      <c r="E63" s="110">
        <v>1219</v>
      </c>
      <c r="F63" s="111">
        <f t="shared" si="1"/>
        <v>1733418</v>
      </c>
      <c r="G63" s="110">
        <v>143</v>
      </c>
      <c r="H63" s="110">
        <v>1143</v>
      </c>
      <c r="I63" s="112">
        <v>1.17</v>
      </c>
      <c r="J63" s="160">
        <v>24</v>
      </c>
      <c r="K63" s="161">
        <v>19.2</v>
      </c>
      <c r="L63" s="162">
        <v>22</v>
      </c>
      <c r="M63" s="163">
        <v>1.1100000000000001</v>
      </c>
      <c r="N63" s="111">
        <v>20.100000000000001</v>
      </c>
      <c r="O63" s="117" t="s">
        <v>215</v>
      </c>
      <c r="P63" s="118" t="s">
        <v>207</v>
      </c>
      <c r="Q63" s="119">
        <v>2.2200000000000002E-3</v>
      </c>
      <c r="R63" s="120">
        <v>0</v>
      </c>
      <c r="S63" s="120">
        <v>4.4400000000000004E-3</v>
      </c>
      <c r="T63" s="110">
        <v>410</v>
      </c>
      <c r="U63" s="118" t="s">
        <v>217</v>
      </c>
      <c r="V63" s="119">
        <v>6.2500000000000003E-3</v>
      </c>
      <c r="W63" s="110">
        <v>417</v>
      </c>
      <c r="X63" s="121">
        <v>129</v>
      </c>
      <c r="Y63" s="165">
        <v>2.76</v>
      </c>
      <c r="Z63" s="115">
        <v>0.5</v>
      </c>
      <c r="AA63" s="167" t="s">
        <v>226</v>
      </c>
      <c r="AB63" s="168"/>
      <c r="AC63" s="114">
        <v>3.4</v>
      </c>
      <c r="AD63" s="117" t="s">
        <v>229</v>
      </c>
      <c r="AE63" s="180">
        <v>2.27</v>
      </c>
      <c r="AF63" s="125">
        <v>1.08</v>
      </c>
      <c r="AG63" s="123">
        <v>1.22</v>
      </c>
      <c r="AH63" s="123">
        <v>0.69</v>
      </c>
      <c r="AI63" s="124">
        <v>1.86</v>
      </c>
      <c r="AJ63" s="125">
        <v>0.28999999999999998</v>
      </c>
      <c r="AK63" s="123">
        <v>2.5499999999999998</v>
      </c>
      <c r="AL63" s="123">
        <v>0</v>
      </c>
      <c r="AM63" s="124">
        <v>2</v>
      </c>
      <c r="AN63" s="125">
        <v>0.26</v>
      </c>
      <c r="AO63" s="123">
        <v>1.67</v>
      </c>
      <c r="AP63" s="123">
        <v>1.78</v>
      </c>
      <c r="AQ63" s="124">
        <v>2.02</v>
      </c>
      <c r="AR63" s="125">
        <v>0.95</v>
      </c>
      <c r="AS63" s="123">
        <v>1.47</v>
      </c>
      <c r="AT63" s="123">
        <v>0.69</v>
      </c>
      <c r="AU63" s="124">
        <v>1.44</v>
      </c>
      <c r="AV63" s="125">
        <v>0.67</v>
      </c>
      <c r="AW63" s="123">
        <v>2.61</v>
      </c>
      <c r="AX63" s="123">
        <v>0</v>
      </c>
      <c r="AY63" s="124">
        <v>3.28</v>
      </c>
      <c r="AZ63" s="125">
        <v>0.36</v>
      </c>
      <c r="BA63" s="123">
        <v>1.1200000000000001</v>
      </c>
      <c r="BB63" s="123">
        <v>0.23</v>
      </c>
      <c r="BC63" s="124">
        <v>1.7</v>
      </c>
      <c r="BD63" s="126">
        <v>0.64</v>
      </c>
      <c r="BE63" s="125">
        <v>0.95</v>
      </c>
      <c r="BF63" s="123">
        <v>0</v>
      </c>
      <c r="BG63" s="123">
        <v>0.63</v>
      </c>
      <c r="BH63" s="124">
        <v>1.58</v>
      </c>
      <c r="BI63" s="125">
        <v>0.55000000000000004</v>
      </c>
      <c r="BJ63" s="123">
        <v>0.52</v>
      </c>
      <c r="BK63" s="123">
        <v>0.83</v>
      </c>
      <c r="BL63" s="124">
        <v>1.9</v>
      </c>
      <c r="BM63" s="125">
        <v>1.22</v>
      </c>
      <c r="BN63" s="123">
        <v>1.1399999999999999</v>
      </c>
      <c r="BO63" s="123">
        <v>1.1299999999999999</v>
      </c>
      <c r="BP63" s="123">
        <v>1.58</v>
      </c>
      <c r="BQ63" s="123">
        <v>0.69</v>
      </c>
      <c r="BR63" s="123">
        <v>1.33</v>
      </c>
      <c r="BS63" s="123">
        <v>3.54</v>
      </c>
      <c r="BT63" s="123">
        <v>1.43</v>
      </c>
      <c r="BU63" s="124">
        <v>1.19</v>
      </c>
      <c r="BV63" s="79">
        <v>1733418</v>
      </c>
      <c r="BW63" s="110">
        <v>143</v>
      </c>
      <c r="BX63" s="110">
        <v>1143</v>
      </c>
      <c r="BY63" s="162">
        <v>22</v>
      </c>
      <c r="BZ63" s="111">
        <v>20.100000000000001</v>
      </c>
      <c r="CA63" s="120">
        <v>4.4400000000000004E-3</v>
      </c>
      <c r="CB63" s="110">
        <v>410</v>
      </c>
      <c r="CC63" s="119">
        <v>6.2500000000000003E-3</v>
      </c>
      <c r="CD63" s="110">
        <v>417</v>
      </c>
      <c r="CE63" s="104">
        <f t="shared" si="2"/>
        <v>8.203445447087775E-3</v>
      </c>
      <c r="CF63" s="105">
        <f t="shared" si="0"/>
        <v>2.27</v>
      </c>
    </row>
    <row r="64" spans="1:84" ht="14.25" hidden="1" customHeight="1" x14ac:dyDescent="0.25">
      <c r="A64" s="106">
        <v>63</v>
      </c>
      <c r="B64" s="107"/>
      <c r="C64" s="108" t="s">
        <v>277</v>
      </c>
      <c r="D64" s="109">
        <v>1422</v>
      </c>
      <c r="E64" s="110">
        <v>1219</v>
      </c>
      <c r="F64" s="111">
        <f t="shared" si="1"/>
        <v>1733418</v>
      </c>
      <c r="G64" s="110">
        <v>143</v>
      </c>
      <c r="H64" s="110">
        <v>1143</v>
      </c>
      <c r="I64" s="112">
        <v>1.17</v>
      </c>
      <c r="J64" s="160">
        <v>24</v>
      </c>
      <c r="K64" s="161">
        <v>19.2</v>
      </c>
      <c r="L64" s="162">
        <v>22</v>
      </c>
      <c r="M64" s="163">
        <v>1.29</v>
      </c>
      <c r="N64" s="111">
        <v>27.6</v>
      </c>
      <c r="O64" s="117" t="s">
        <v>215</v>
      </c>
      <c r="P64" s="118" t="s">
        <v>207</v>
      </c>
      <c r="Q64" s="119">
        <v>2.2200000000000002E-3</v>
      </c>
      <c r="R64" s="120">
        <v>0</v>
      </c>
      <c r="S64" s="120">
        <v>4.4400000000000004E-3</v>
      </c>
      <c r="T64" s="110">
        <v>391</v>
      </c>
      <c r="U64" s="118" t="s">
        <v>217</v>
      </c>
      <c r="V64" s="119">
        <v>1E-3</v>
      </c>
      <c r="W64" s="110">
        <v>438</v>
      </c>
      <c r="X64" s="121">
        <v>203</v>
      </c>
      <c r="Y64" s="165">
        <v>2.76</v>
      </c>
      <c r="Z64" s="115">
        <v>0.5</v>
      </c>
      <c r="AA64" s="167" t="s">
        <v>226</v>
      </c>
      <c r="AB64" s="168"/>
      <c r="AC64" s="114">
        <v>2.9</v>
      </c>
      <c r="AD64" s="117" t="s">
        <v>229</v>
      </c>
      <c r="AE64" s="180">
        <v>2.69</v>
      </c>
      <c r="AF64" s="125">
        <v>1.27</v>
      </c>
      <c r="AG64" s="123">
        <v>0.21</v>
      </c>
      <c r="AH64" s="123">
        <v>0.69</v>
      </c>
      <c r="AI64" s="124">
        <v>2.17</v>
      </c>
      <c r="AJ64" s="125">
        <v>0.28999999999999998</v>
      </c>
      <c r="AK64" s="123">
        <v>0.45</v>
      </c>
      <c r="AL64" s="123">
        <v>0</v>
      </c>
      <c r="AM64" s="124">
        <v>0.74</v>
      </c>
      <c r="AN64" s="125">
        <v>0.54</v>
      </c>
      <c r="AO64" s="123">
        <v>0.28000000000000003</v>
      </c>
      <c r="AP64" s="123">
        <v>1.83</v>
      </c>
      <c r="AQ64" s="124">
        <v>2.36</v>
      </c>
      <c r="AR64" s="125">
        <v>1.1200000000000001</v>
      </c>
      <c r="AS64" s="123">
        <v>0.25</v>
      </c>
      <c r="AT64" s="123">
        <v>0.69</v>
      </c>
      <c r="AU64" s="124">
        <v>1.68</v>
      </c>
      <c r="AV64" s="125">
        <v>0.79</v>
      </c>
      <c r="AW64" s="123">
        <v>0.44</v>
      </c>
      <c r="AX64" s="123">
        <v>0</v>
      </c>
      <c r="AY64" s="124">
        <v>1.23</v>
      </c>
      <c r="AZ64" s="125">
        <v>0.43</v>
      </c>
      <c r="BA64" s="123">
        <v>0.46</v>
      </c>
      <c r="BB64" s="123">
        <v>0.23</v>
      </c>
      <c r="BC64" s="124">
        <v>1.1200000000000001</v>
      </c>
      <c r="BD64" s="126">
        <v>0.64</v>
      </c>
      <c r="BE64" s="125">
        <v>1.1000000000000001</v>
      </c>
      <c r="BF64" s="123">
        <v>0</v>
      </c>
      <c r="BG64" s="123">
        <v>0.63</v>
      </c>
      <c r="BH64" s="124">
        <v>1.74</v>
      </c>
      <c r="BI64" s="125">
        <v>0.64</v>
      </c>
      <c r="BJ64" s="123">
        <v>0.26</v>
      </c>
      <c r="BK64" s="123">
        <v>0.83</v>
      </c>
      <c r="BL64" s="124">
        <v>1.73</v>
      </c>
      <c r="BM64" s="125">
        <v>1.24</v>
      </c>
      <c r="BN64" s="123">
        <v>3.64</v>
      </c>
      <c r="BO64" s="123">
        <v>1.1399999999999999</v>
      </c>
      <c r="BP64" s="123">
        <v>1.6</v>
      </c>
      <c r="BQ64" s="123">
        <v>2.19</v>
      </c>
      <c r="BR64" s="123">
        <v>2.41</v>
      </c>
      <c r="BS64" s="123">
        <v>4.2</v>
      </c>
      <c r="BT64" s="123">
        <v>1.55</v>
      </c>
      <c r="BU64" s="124">
        <v>1.55</v>
      </c>
      <c r="BV64" s="79">
        <v>1733418</v>
      </c>
      <c r="BW64" s="110">
        <v>143</v>
      </c>
      <c r="BX64" s="110">
        <v>1143</v>
      </c>
      <c r="BY64" s="162">
        <v>22</v>
      </c>
      <c r="BZ64" s="111">
        <v>27.6</v>
      </c>
      <c r="CA64" s="120">
        <v>4.4400000000000004E-3</v>
      </c>
      <c r="CB64" s="110">
        <v>391</v>
      </c>
      <c r="CC64" s="119">
        <v>1E-3</v>
      </c>
      <c r="CD64" s="110">
        <v>438</v>
      </c>
      <c r="CE64" s="104">
        <f t="shared" si="2"/>
        <v>8.8918464636266112E-3</v>
      </c>
      <c r="CF64" s="105">
        <f t="shared" si="0"/>
        <v>2.69</v>
      </c>
    </row>
    <row r="65" spans="1:84" ht="14.25" hidden="1" customHeight="1" x14ac:dyDescent="0.25">
      <c r="A65" s="106">
        <v>64</v>
      </c>
      <c r="B65" s="107"/>
      <c r="C65" s="108" t="s">
        <v>278</v>
      </c>
      <c r="D65" s="109">
        <v>1422</v>
      </c>
      <c r="E65" s="110">
        <v>1219</v>
      </c>
      <c r="F65" s="111">
        <f t="shared" si="1"/>
        <v>1733418</v>
      </c>
      <c r="G65" s="110">
        <v>254</v>
      </c>
      <c r="H65" s="110">
        <v>1143</v>
      </c>
      <c r="I65" s="112">
        <v>1.17</v>
      </c>
      <c r="J65" s="160">
        <v>24</v>
      </c>
      <c r="K65" s="161">
        <v>19.2</v>
      </c>
      <c r="L65" s="162">
        <v>22</v>
      </c>
      <c r="M65" s="163">
        <v>1.02</v>
      </c>
      <c r="N65" s="111">
        <v>17.100000000000001</v>
      </c>
      <c r="O65" s="117" t="s">
        <v>215</v>
      </c>
      <c r="P65" s="118" t="s">
        <v>207</v>
      </c>
      <c r="Q65" s="119">
        <v>6.4999999999999997E-4</v>
      </c>
      <c r="R65" s="120">
        <v>0</v>
      </c>
      <c r="S65" s="120">
        <v>1.2899999999999999E-3</v>
      </c>
      <c r="T65" s="110">
        <v>465</v>
      </c>
      <c r="U65" s="118" t="s">
        <v>217</v>
      </c>
      <c r="V65" s="119">
        <v>5.5000000000000003E-4</v>
      </c>
      <c r="W65" s="110">
        <v>407</v>
      </c>
      <c r="X65" s="121">
        <v>711</v>
      </c>
      <c r="Y65" s="165">
        <v>1.52</v>
      </c>
      <c r="Z65" s="115">
        <v>0.5</v>
      </c>
      <c r="AA65" s="167" t="s">
        <v>226</v>
      </c>
      <c r="AB65" s="168"/>
      <c r="AC65" s="179">
        <v>2</v>
      </c>
      <c r="AD65" s="117" t="s">
        <v>229</v>
      </c>
      <c r="AE65" s="180">
        <v>1.49</v>
      </c>
      <c r="AF65" s="125">
        <v>1</v>
      </c>
      <c r="AG65" s="123">
        <v>0.1</v>
      </c>
      <c r="AH65" s="123">
        <v>0.38</v>
      </c>
      <c r="AI65" s="124">
        <v>1.48</v>
      </c>
      <c r="AJ65" s="125">
        <v>0.28999999999999998</v>
      </c>
      <c r="AK65" s="123">
        <v>0.54</v>
      </c>
      <c r="AL65" s="123">
        <v>0</v>
      </c>
      <c r="AM65" s="124">
        <v>0.83</v>
      </c>
      <c r="AN65" s="125">
        <v>0.63</v>
      </c>
      <c r="AO65" s="123">
        <v>0.14000000000000001</v>
      </c>
      <c r="AP65" s="123">
        <v>1.03</v>
      </c>
      <c r="AQ65" s="124">
        <v>1.8</v>
      </c>
      <c r="AR65" s="125">
        <v>0.88</v>
      </c>
      <c r="AS65" s="123">
        <v>0.13</v>
      </c>
      <c r="AT65" s="123">
        <v>0.38</v>
      </c>
      <c r="AU65" s="124">
        <v>1.32</v>
      </c>
      <c r="AV65" s="125">
        <v>0.62</v>
      </c>
      <c r="AW65" s="123">
        <v>0.22</v>
      </c>
      <c r="AX65" s="123">
        <v>0</v>
      </c>
      <c r="AY65" s="124">
        <v>0.84</v>
      </c>
      <c r="AZ65" s="125">
        <v>0.25</v>
      </c>
      <c r="BA65" s="123">
        <v>0.33</v>
      </c>
      <c r="BB65" s="123">
        <v>0.12</v>
      </c>
      <c r="BC65" s="124">
        <v>0.7</v>
      </c>
      <c r="BD65" s="126">
        <v>0.6</v>
      </c>
      <c r="BE65" s="125">
        <v>0.87</v>
      </c>
      <c r="BF65" s="123">
        <v>0</v>
      </c>
      <c r="BG65" s="123">
        <v>0.35</v>
      </c>
      <c r="BH65" s="124">
        <v>1.22</v>
      </c>
      <c r="BI65" s="125">
        <v>0.51</v>
      </c>
      <c r="BJ65" s="123">
        <v>0.13</v>
      </c>
      <c r="BK65" s="123">
        <v>0.46</v>
      </c>
      <c r="BL65" s="124">
        <v>1.1000000000000001</v>
      </c>
      <c r="BM65" s="125">
        <v>1</v>
      </c>
      <c r="BN65" s="123">
        <v>1.8</v>
      </c>
      <c r="BO65" s="123">
        <v>0.83</v>
      </c>
      <c r="BP65" s="123">
        <v>1.1200000000000001</v>
      </c>
      <c r="BQ65" s="123">
        <v>1.76</v>
      </c>
      <c r="BR65" s="123">
        <v>2.12</v>
      </c>
      <c r="BS65" s="123">
        <v>2.48</v>
      </c>
      <c r="BT65" s="123">
        <v>1.22</v>
      </c>
      <c r="BU65" s="124">
        <v>1.36</v>
      </c>
      <c r="BV65" s="79">
        <v>1733418</v>
      </c>
      <c r="BW65" s="110">
        <v>254</v>
      </c>
      <c r="BX65" s="110">
        <v>1143</v>
      </c>
      <c r="BY65" s="162">
        <v>22</v>
      </c>
      <c r="BZ65" s="111">
        <v>17.100000000000001</v>
      </c>
      <c r="CA65" s="120">
        <v>1.2899999999999999E-3</v>
      </c>
      <c r="CB65" s="110">
        <v>465</v>
      </c>
      <c r="CC65" s="119">
        <v>5.5000000000000003E-4</v>
      </c>
      <c r="CD65" s="110">
        <v>407</v>
      </c>
      <c r="CE65" s="104">
        <f t="shared" si="2"/>
        <v>3.940237576947672E-3</v>
      </c>
      <c r="CF65" s="105">
        <f t="shared" si="0"/>
        <v>1.49</v>
      </c>
    </row>
    <row r="66" spans="1:84" ht="14.25" hidden="1" customHeight="1" x14ac:dyDescent="0.25">
      <c r="A66" s="106">
        <v>65</v>
      </c>
      <c r="B66" s="107"/>
      <c r="C66" s="108" t="s">
        <v>279</v>
      </c>
      <c r="D66" s="109">
        <v>1422</v>
      </c>
      <c r="E66" s="110">
        <v>1219</v>
      </c>
      <c r="F66" s="111">
        <f t="shared" si="1"/>
        <v>1733418</v>
      </c>
      <c r="G66" s="110">
        <v>254</v>
      </c>
      <c r="H66" s="110">
        <v>1143</v>
      </c>
      <c r="I66" s="112">
        <v>1.17</v>
      </c>
      <c r="J66" s="160">
        <v>24</v>
      </c>
      <c r="K66" s="161">
        <v>19.2</v>
      </c>
      <c r="L66" s="162">
        <v>22</v>
      </c>
      <c r="M66" s="163">
        <v>1.02</v>
      </c>
      <c r="N66" s="111">
        <v>17.100000000000001</v>
      </c>
      <c r="O66" s="117" t="s">
        <v>215</v>
      </c>
      <c r="P66" s="118" t="s">
        <v>207</v>
      </c>
      <c r="Q66" s="119">
        <v>6.4999999999999997E-4</v>
      </c>
      <c r="R66" s="120">
        <v>0</v>
      </c>
      <c r="S66" s="120">
        <v>1.2899999999999999E-3</v>
      </c>
      <c r="T66" s="110">
        <v>465</v>
      </c>
      <c r="U66" s="118" t="s">
        <v>217</v>
      </c>
      <c r="V66" s="119">
        <v>2.7699999999999999E-3</v>
      </c>
      <c r="W66" s="110">
        <v>465</v>
      </c>
      <c r="X66" s="121">
        <v>237</v>
      </c>
      <c r="Y66" s="165">
        <v>2.29</v>
      </c>
      <c r="Z66" s="115">
        <v>0.5</v>
      </c>
      <c r="AA66" s="167" t="s">
        <v>226</v>
      </c>
      <c r="AB66" s="168"/>
      <c r="AC66" s="179">
        <v>2</v>
      </c>
      <c r="AD66" s="117" t="s">
        <v>229</v>
      </c>
      <c r="AE66" s="180">
        <v>1.63</v>
      </c>
      <c r="AF66" s="125">
        <v>1</v>
      </c>
      <c r="AG66" s="123">
        <v>0.6</v>
      </c>
      <c r="AH66" s="123">
        <v>0.56999999999999995</v>
      </c>
      <c r="AI66" s="124">
        <v>1.72</v>
      </c>
      <c r="AJ66" s="125">
        <v>0.28999999999999998</v>
      </c>
      <c r="AK66" s="123">
        <v>1.35</v>
      </c>
      <c r="AL66" s="123">
        <v>0</v>
      </c>
      <c r="AM66" s="124">
        <v>1.64</v>
      </c>
      <c r="AN66" s="125">
        <v>0.63</v>
      </c>
      <c r="AO66" s="123">
        <v>0.82</v>
      </c>
      <c r="AP66" s="123">
        <v>1.51</v>
      </c>
      <c r="AQ66" s="124">
        <v>1.86</v>
      </c>
      <c r="AR66" s="125">
        <v>0.88</v>
      </c>
      <c r="AS66" s="123">
        <v>0.72</v>
      </c>
      <c r="AT66" s="123">
        <v>0.56999999999999995</v>
      </c>
      <c r="AU66" s="124">
        <v>1.32</v>
      </c>
      <c r="AV66" s="125">
        <v>0.62</v>
      </c>
      <c r="AW66" s="123">
        <v>1.29</v>
      </c>
      <c r="AX66" s="123">
        <v>0</v>
      </c>
      <c r="AY66" s="124">
        <v>1.91</v>
      </c>
      <c r="AZ66" s="125">
        <v>0.25</v>
      </c>
      <c r="BA66" s="123">
        <v>0.79</v>
      </c>
      <c r="BB66" s="123">
        <v>0.19</v>
      </c>
      <c r="BC66" s="124">
        <v>1.22</v>
      </c>
      <c r="BD66" s="126">
        <v>0.6</v>
      </c>
      <c r="BE66" s="125">
        <v>0.87</v>
      </c>
      <c r="BF66" s="123">
        <v>0</v>
      </c>
      <c r="BG66" s="123">
        <v>0.53</v>
      </c>
      <c r="BH66" s="124">
        <v>1.4</v>
      </c>
      <c r="BI66" s="125">
        <v>0.51</v>
      </c>
      <c r="BJ66" s="123">
        <v>0.26</v>
      </c>
      <c r="BK66" s="123">
        <v>0.69</v>
      </c>
      <c r="BL66" s="124">
        <v>1.45</v>
      </c>
      <c r="BM66" s="125">
        <v>0.95</v>
      </c>
      <c r="BN66" s="123">
        <v>0.99</v>
      </c>
      <c r="BO66" s="123">
        <v>0.88</v>
      </c>
      <c r="BP66" s="123">
        <v>1.23</v>
      </c>
      <c r="BQ66" s="123">
        <v>0.85</v>
      </c>
      <c r="BR66" s="123">
        <v>1.33</v>
      </c>
      <c r="BS66" s="123">
        <v>2.72</v>
      </c>
      <c r="BT66" s="123">
        <v>1.17</v>
      </c>
      <c r="BU66" s="124">
        <v>1.1200000000000001</v>
      </c>
      <c r="BV66" s="79">
        <v>1733418</v>
      </c>
      <c r="BW66" s="110">
        <v>254</v>
      </c>
      <c r="BX66" s="110">
        <v>1143</v>
      </c>
      <c r="BY66" s="162">
        <v>22</v>
      </c>
      <c r="BZ66" s="111">
        <v>17.100000000000001</v>
      </c>
      <c r="CA66" s="120">
        <v>1.2899999999999999E-3</v>
      </c>
      <c r="CB66" s="110">
        <v>465</v>
      </c>
      <c r="CC66" s="119">
        <v>2.7699999999999999E-3</v>
      </c>
      <c r="CD66" s="110">
        <v>465</v>
      </c>
      <c r="CE66" s="104">
        <f t="shared" si="2"/>
        <v>3.7787524303514561E-3</v>
      </c>
      <c r="CF66" s="105">
        <f t="shared" ref="CF66:CF129" si="3">AE66</f>
        <v>1.63</v>
      </c>
    </row>
    <row r="67" spans="1:84" ht="14.25" hidden="1" customHeight="1" x14ac:dyDescent="0.25">
      <c r="A67" s="106">
        <v>66</v>
      </c>
      <c r="B67" s="107"/>
      <c r="C67" s="108" t="s">
        <v>280</v>
      </c>
      <c r="D67" s="109">
        <v>1422</v>
      </c>
      <c r="E67" s="110">
        <v>1219</v>
      </c>
      <c r="F67" s="111">
        <f t="shared" ref="F67:F130" si="4">E67*D67</f>
        <v>1733418</v>
      </c>
      <c r="G67" s="110">
        <v>254</v>
      </c>
      <c r="H67" s="110">
        <v>1143</v>
      </c>
      <c r="I67" s="112">
        <v>1.17</v>
      </c>
      <c r="J67" s="160">
        <v>24</v>
      </c>
      <c r="K67" s="161">
        <v>19.2</v>
      </c>
      <c r="L67" s="162">
        <v>22</v>
      </c>
      <c r="M67" s="163">
        <v>1.02</v>
      </c>
      <c r="N67" s="111">
        <v>17.100000000000001</v>
      </c>
      <c r="O67" s="117" t="s">
        <v>215</v>
      </c>
      <c r="P67" s="118" t="s">
        <v>207</v>
      </c>
      <c r="Q67" s="119">
        <v>6.4999999999999997E-4</v>
      </c>
      <c r="R67" s="120">
        <v>0</v>
      </c>
      <c r="S67" s="120">
        <v>1.2899999999999999E-3</v>
      </c>
      <c r="T67" s="110">
        <v>465</v>
      </c>
      <c r="U67" s="118" t="s">
        <v>217</v>
      </c>
      <c r="V67" s="119">
        <v>5.5000000000000003E-4</v>
      </c>
      <c r="W67" s="110">
        <v>407</v>
      </c>
      <c r="X67" s="121">
        <v>711</v>
      </c>
      <c r="Y67" s="165">
        <v>2.29</v>
      </c>
      <c r="Z67" s="115">
        <v>0.5</v>
      </c>
      <c r="AA67" s="167" t="s">
        <v>226</v>
      </c>
      <c r="AB67" s="168"/>
      <c r="AC67" s="179">
        <v>2</v>
      </c>
      <c r="AD67" s="117" t="s">
        <v>229</v>
      </c>
      <c r="AE67" s="180">
        <v>1.73</v>
      </c>
      <c r="AF67" s="125">
        <v>1</v>
      </c>
      <c r="AG67" s="123">
        <v>0.1</v>
      </c>
      <c r="AH67" s="123">
        <v>0.56999999999999995</v>
      </c>
      <c r="AI67" s="124">
        <v>1.68</v>
      </c>
      <c r="AJ67" s="125">
        <v>0.28999999999999998</v>
      </c>
      <c r="AK67" s="123">
        <v>0.3</v>
      </c>
      <c r="AL67" s="123">
        <v>0</v>
      </c>
      <c r="AM67" s="124">
        <v>0.59</v>
      </c>
      <c r="AN67" s="125">
        <v>0.63</v>
      </c>
      <c r="AO67" s="123">
        <v>0.14000000000000001</v>
      </c>
      <c r="AP67" s="123">
        <v>1.51</v>
      </c>
      <c r="AQ67" s="124">
        <v>1.86</v>
      </c>
      <c r="AR67" s="125">
        <v>0.88</v>
      </c>
      <c r="AS67" s="123">
        <v>0.13</v>
      </c>
      <c r="AT67" s="123">
        <v>0.56999999999999995</v>
      </c>
      <c r="AU67" s="124">
        <v>1.32</v>
      </c>
      <c r="AV67" s="125">
        <v>0.62</v>
      </c>
      <c r="AW67" s="123">
        <v>0.22</v>
      </c>
      <c r="AX67" s="123">
        <v>0</v>
      </c>
      <c r="AY67" s="124">
        <v>0.84</v>
      </c>
      <c r="AZ67" s="125">
        <v>0.25</v>
      </c>
      <c r="BA67" s="123">
        <v>0.33</v>
      </c>
      <c r="BB67" s="123">
        <v>0.19</v>
      </c>
      <c r="BC67" s="124">
        <v>0.76</v>
      </c>
      <c r="BD67" s="126">
        <v>0.6</v>
      </c>
      <c r="BE67" s="125">
        <v>0.87</v>
      </c>
      <c r="BF67" s="123">
        <v>0</v>
      </c>
      <c r="BG67" s="123">
        <v>0.53</v>
      </c>
      <c r="BH67" s="124">
        <v>1.4</v>
      </c>
      <c r="BI67" s="125">
        <v>0.51</v>
      </c>
      <c r="BJ67" s="123">
        <v>0.13</v>
      </c>
      <c r="BK67" s="123">
        <v>0.69</v>
      </c>
      <c r="BL67" s="124">
        <v>1.33</v>
      </c>
      <c r="BM67" s="125">
        <v>1.03</v>
      </c>
      <c r="BN67" s="123">
        <v>2.93</v>
      </c>
      <c r="BO67" s="123">
        <v>0.93</v>
      </c>
      <c r="BP67" s="123">
        <v>1.31</v>
      </c>
      <c r="BQ67" s="123">
        <v>2.0499999999999998</v>
      </c>
      <c r="BR67" s="123">
        <v>2.2599999999999998</v>
      </c>
      <c r="BS67" s="123">
        <v>2.88</v>
      </c>
      <c r="BT67" s="123">
        <v>1.24</v>
      </c>
      <c r="BU67" s="124">
        <v>1.3</v>
      </c>
      <c r="BV67" s="79">
        <v>1733418</v>
      </c>
      <c r="BW67" s="110">
        <v>254</v>
      </c>
      <c r="BX67" s="110">
        <v>1143</v>
      </c>
      <c r="BY67" s="162">
        <v>22</v>
      </c>
      <c r="BZ67" s="111">
        <v>17.100000000000001</v>
      </c>
      <c r="CA67" s="120">
        <v>1.2899999999999999E-3</v>
      </c>
      <c r="CB67" s="110">
        <v>465</v>
      </c>
      <c r="CC67" s="119">
        <v>5.5000000000000003E-4</v>
      </c>
      <c r="CD67" s="110">
        <v>407</v>
      </c>
      <c r="CE67" s="104">
        <f t="shared" ref="CE67:CE130" si="5">BT67/(G67*E67)*1000</f>
        <v>4.0048316355861587E-3</v>
      </c>
      <c r="CF67" s="105">
        <f t="shared" si="3"/>
        <v>1.73</v>
      </c>
    </row>
    <row r="68" spans="1:84" ht="14.25" hidden="1" customHeight="1" x14ac:dyDescent="0.25">
      <c r="A68" s="133">
        <v>67</v>
      </c>
      <c r="B68" s="134"/>
      <c r="C68" s="135" t="s">
        <v>281</v>
      </c>
      <c r="D68" s="136">
        <v>1422</v>
      </c>
      <c r="E68" s="137">
        <v>1219</v>
      </c>
      <c r="F68" s="138">
        <f t="shared" si="4"/>
        <v>1733418</v>
      </c>
      <c r="G68" s="137">
        <v>254</v>
      </c>
      <c r="H68" s="137">
        <v>1143</v>
      </c>
      <c r="I68" s="139">
        <v>1.17</v>
      </c>
      <c r="J68" s="169">
        <v>24</v>
      </c>
      <c r="K68" s="170">
        <v>19.2</v>
      </c>
      <c r="L68" s="162">
        <v>22</v>
      </c>
      <c r="M68" s="171">
        <v>1.02</v>
      </c>
      <c r="N68" s="138">
        <v>17.100000000000001</v>
      </c>
      <c r="O68" s="144" t="s">
        <v>215</v>
      </c>
      <c r="P68" s="145" t="s">
        <v>207</v>
      </c>
      <c r="Q68" s="146">
        <v>6.4999999999999997E-4</v>
      </c>
      <c r="R68" s="147">
        <v>0</v>
      </c>
      <c r="S68" s="147">
        <v>1.2899999999999999E-3</v>
      </c>
      <c r="T68" s="137">
        <v>465</v>
      </c>
      <c r="U68" s="145" t="s">
        <v>217</v>
      </c>
      <c r="V68" s="146">
        <v>5.9000000000000003E-4</v>
      </c>
      <c r="W68" s="137">
        <v>398</v>
      </c>
      <c r="X68" s="148">
        <v>356</v>
      </c>
      <c r="Y68" s="172">
        <v>2.29</v>
      </c>
      <c r="Z68" s="142">
        <v>0.5</v>
      </c>
      <c r="AA68" s="173" t="s">
        <v>226</v>
      </c>
      <c r="AB68" s="174"/>
      <c r="AC68" s="183">
        <v>2</v>
      </c>
      <c r="AD68" s="181" t="s">
        <v>229</v>
      </c>
      <c r="AE68" s="182">
        <v>1.88</v>
      </c>
      <c r="AF68" s="152">
        <v>1</v>
      </c>
      <c r="AG68" s="150">
        <v>0.11</v>
      </c>
      <c r="AH68" s="150">
        <v>0.56999999999999995</v>
      </c>
      <c r="AI68" s="151">
        <v>1.68</v>
      </c>
      <c r="AJ68" s="152">
        <v>0.28999999999999998</v>
      </c>
      <c r="AK68" s="150">
        <v>0.21</v>
      </c>
      <c r="AL68" s="150">
        <v>0</v>
      </c>
      <c r="AM68" s="151">
        <v>0.5</v>
      </c>
      <c r="AN68" s="152">
        <v>0.63</v>
      </c>
      <c r="AO68" s="150">
        <v>0.15</v>
      </c>
      <c r="AP68" s="150">
        <v>1.51</v>
      </c>
      <c r="AQ68" s="151">
        <v>1.86</v>
      </c>
      <c r="AR68" s="152">
        <v>0.88</v>
      </c>
      <c r="AS68" s="150">
        <v>0.13</v>
      </c>
      <c r="AT68" s="150">
        <v>0.56999999999999995</v>
      </c>
      <c r="AU68" s="151">
        <v>1.32</v>
      </c>
      <c r="AV68" s="152">
        <v>0.62</v>
      </c>
      <c r="AW68" s="150">
        <v>0.23</v>
      </c>
      <c r="AX68" s="150">
        <v>0</v>
      </c>
      <c r="AY68" s="151">
        <v>0.86</v>
      </c>
      <c r="AZ68" s="152">
        <v>0.25</v>
      </c>
      <c r="BA68" s="150">
        <v>0.34</v>
      </c>
      <c r="BB68" s="150">
        <v>0.19</v>
      </c>
      <c r="BC68" s="151">
        <v>0.77</v>
      </c>
      <c r="BD68" s="153">
        <v>0.6</v>
      </c>
      <c r="BE68" s="152">
        <v>0.87</v>
      </c>
      <c r="BF68" s="150">
        <v>0</v>
      </c>
      <c r="BG68" s="150">
        <v>0.53</v>
      </c>
      <c r="BH68" s="151">
        <v>1.4</v>
      </c>
      <c r="BI68" s="152">
        <v>0.51</v>
      </c>
      <c r="BJ68" s="150">
        <v>0.14000000000000001</v>
      </c>
      <c r="BK68" s="150">
        <v>0.69</v>
      </c>
      <c r="BL68" s="151">
        <v>1.34</v>
      </c>
      <c r="BM68" s="152">
        <v>1.1200000000000001</v>
      </c>
      <c r="BN68" s="150">
        <v>3.75</v>
      </c>
      <c r="BO68" s="150">
        <v>1.01</v>
      </c>
      <c r="BP68" s="150">
        <v>1.42</v>
      </c>
      <c r="BQ68" s="150">
        <v>2.2000000000000002</v>
      </c>
      <c r="BR68" s="150">
        <v>2.4300000000000002</v>
      </c>
      <c r="BS68" s="150">
        <v>3.13</v>
      </c>
      <c r="BT68" s="150">
        <v>1.34</v>
      </c>
      <c r="BU68" s="151">
        <v>1.41</v>
      </c>
      <c r="BV68" s="79">
        <v>1733418</v>
      </c>
      <c r="BW68" s="137">
        <v>254</v>
      </c>
      <c r="BX68" s="137">
        <v>1143</v>
      </c>
      <c r="BY68" s="162">
        <v>22</v>
      </c>
      <c r="BZ68" s="138">
        <v>17.100000000000001</v>
      </c>
      <c r="CA68" s="147">
        <v>1.2899999999999999E-3</v>
      </c>
      <c r="CB68" s="137">
        <v>465</v>
      </c>
      <c r="CC68" s="146">
        <v>5.9000000000000003E-4</v>
      </c>
      <c r="CD68" s="137">
        <v>398</v>
      </c>
      <c r="CE68" s="104">
        <f t="shared" si="5"/>
        <v>4.3278019287785914E-3</v>
      </c>
      <c r="CF68" s="105">
        <f t="shared" si="3"/>
        <v>1.88</v>
      </c>
    </row>
    <row r="69" spans="1:84" ht="14.25" hidden="1" customHeight="1" x14ac:dyDescent="0.25">
      <c r="A69" s="83">
        <v>68</v>
      </c>
      <c r="B69" s="84" t="s">
        <v>282</v>
      </c>
      <c r="C69" s="85" t="s">
        <v>283</v>
      </c>
      <c r="D69" s="86">
        <v>1800</v>
      </c>
      <c r="E69" s="87">
        <v>1800</v>
      </c>
      <c r="F69" s="88">
        <f t="shared" si="4"/>
        <v>3240000</v>
      </c>
      <c r="G69" s="87">
        <v>140</v>
      </c>
      <c r="H69" s="87">
        <v>1700</v>
      </c>
      <c r="I69" s="89">
        <v>1</v>
      </c>
      <c r="J69" s="154">
        <v>24</v>
      </c>
      <c r="K69" s="155">
        <v>16.899999999999999</v>
      </c>
      <c r="L69" s="156">
        <v>24.5</v>
      </c>
      <c r="M69" s="157">
        <v>1.03</v>
      </c>
      <c r="N69" s="88">
        <v>17.600000000000001</v>
      </c>
      <c r="O69" s="94" t="s">
        <v>215</v>
      </c>
      <c r="P69" s="95" t="s">
        <v>216</v>
      </c>
      <c r="Q69" s="96">
        <v>1.25E-3</v>
      </c>
      <c r="R69" s="97">
        <v>5.6100000000000004E-3</v>
      </c>
      <c r="S69" s="97">
        <v>6.2300000000000003E-3</v>
      </c>
      <c r="T69" s="87">
        <v>318</v>
      </c>
      <c r="U69" s="98">
        <v>400</v>
      </c>
      <c r="V69" s="96">
        <v>0</v>
      </c>
      <c r="W69" s="87">
        <v>325</v>
      </c>
      <c r="X69" s="98">
        <v>1800</v>
      </c>
      <c r="Y69" s="99">
        <v>0</v>
      </c>
      <c r="Z69" s="99">
        <v>1</v>
      </c>
      <c r="AA69" s="90">
        <v>2.2999999999999998</v>
      </c>
      <c r="AB69" s="88">
        <v>8</v>
      </c>
      <c r="AC69" s="91">
        <v>2.6</v>
      </c>
      <c r="AD69" s="117" t="s">
        <v>229</v>
      </c>
      <c r="AE69" s="178">
        <v>0.74</v>
      </c>
      <c r="AF69" s="102">
        <v>0.78</v>
      </c>
      <c r="AG69" s="100">
        <v>0</v>
      </c>
      <c r="AH69" s="100">
        <v>0</v>
      </c>
      <c r="AI69" s="101">
        <v>0.78</v>
      </c>
      <c r="AJ69" s="102">
        <v>0.21</v>
      </c>
      <c r="AK69" s="100">
        <v>0</v>
      </c>
      <c r="AL69" s="100">
        <v>0</v>
      </c>
      <c r="AM69" s="101">
        <v>0.21</v>
      </c>
      <c r="AN69" s="102">
        <v>0.42</v>
      </c>
      <c r="AO69" s="100">
        <v>0</v>
      </c>
      <c r="AP69" s="100">
        <v>0</v>
      </c>
      <c r="AQ69" s="101">
        <v>0.39</v>
      </c>
      <c r="AR69" s="102">
        <v>0.63</v>
      </c>
      <c r="AS69" s="100">
        <v>0</v>
      </c>
      <c r="AT69" s="100">
        <v>0</v>
      </c>
      <c r="AU69" s="101">
        <v>0.63</v>
      </c>
      <c r="AV69" s="102">
        <v>0.42</v>
      </c>
      <c r="AW69" s="100">
        <v>0</v>
      </c>
      <c r="AX69" s="100">
        <v>0</v>
      </c>
      <c r="AY69" s="101">
        <v>0.42</v>
      </c>
      <c r="AZ69" s="102">
        <v>0.3</v>
      </c>
      <c r="BA69" s="100">
        <v>0.93</v>
      </c>
      <c r="BB69" s="100">
        <v>0</v>
      </c>
      <c r="BC69" s="101">
        <v>1.23</v>
      </c>
      <c r="BD69" s="103">
        <v>0.19</v>
      </c>
      <c r="BE69" s="102">
        <v>0.52</v>
      </c>
      <c r="BF69" s="100">
        <v>0</v>
      </c>
      <c r="BG69" s="100">
        <v>0</v>
      </c>
      <c r="BH69" s="101">
        <v>0.52</v>
      </c>
      <c r="BI69" s="102">
        <v>0.52</v>
      </c>
      <c r="BJ69" s="100">
        <v>0</v>
      </c>
      <c r="BK69" s="100">
        <v>0</v>
      </c>
      <c r="BL69" s="101">
        <v>0.52</v>
      </c>
      <c r="BM69" s="102">
        <v>0.94</v>
      </c>
      <c r="BN69" s="100">
        <v>3.51</v>
      </c>
      <c r="BO69" s="100">
        <v>1.87</v>
      </c>
      <c r="BP69" s="100">
        <v>1.1599999999999999</v>
      </c>
      <c r="BQ69" s="100">
        <v>1.77</v>
      </c>
      <c r="BR69" s="100">
        <v>0.6</v>
      </c>
      <c r="BS69" s="100">
        <v>3.88</v>
      </c>
      <c r="BT69" s="100">
        <v>1.43</v>
      </c>
      <c r="BU69" s="101">
        <v>1.43</v>
      </c>
      <c r="BV69" s="79">
        <v>3240000</v>
      </c>
      <c r="BW69" s="87">
        <v>140</v>
      </c>
      <c r="BX69" s="87">
        <v>1700</v>
      </c>
      <c r="BY69" s="156">
        <v>24.5</v>
      </c>
      <c r="BZ69" s="88">
        <v>17.600000000000001</v>
      </c>
      <c r="CA69" s="97">
        <v>6.2300000000000003E-3</v>
      </c>
      <c r="CB69" s="87">
        <v>318</v>
      </c>
      <c r="CC69" s="96">
        <v>0</v>
      </c>
      <c r="CD69" s="87">
        <v>325</v>
      </c>
      <c r="CE69" s="104">
        <f t="shared" si="5"/>
        <v>5.6746031746031742E-3</v>
      </c>
      <c r="CF69" s="105">
        <f t="shared" si="3"/>
        <v>0.74</v>
      </c>
    </row>
    <row r="70" spans="1:84" hidden="1" x14ac:dyDescent="0.25">
      <c r="A70" s="106">
        <v>69</v>
      </c>
      <c r="B70" s="107"/>
      <c r="C70" s="108" t="s">
        <v>284</v>
      </c>
      <c r="D70" s="109">
        <v>1800</v>
      </c>
      <c r="E70" s="110">
        <v>1800</v>
      </c>
      <c r="F70" s="111">
        <f t="shared" si="4"/>
        <v>3240000</v>
      </c>
      <c r="G70" s="110">
        <v>140</v>
      </c>
      <c r="H70" s="110">
        <v>1700</v>
      </c>
      <c r="I70" s="112">
        <v>1</v>
      </c>
      <c r="J70" s="160">
        <v>24</v>
      </c>
      <c r="K70" s="161">
        <v>16.899999999999999</v>
      </c>
      <c r="L70" s="162">
        <v>24.5</v>
      </c>
      <c r="M70" s="163">
        <v>1.01</v>
      </c>
      <c r="N70" s="111">
        <v>17</v>
      </c>
      <c r="O70" s="117" t="s">
        <v>215</v>
      </c>
      <c r="P70" s="118" t="s">
        <v>216</v>
      </c>
      <c r="Q70" s="119">
        <v>1.25E-3</v>
      </c>
      <c r="R70" s="120">
        <v>5.6100000000000004E-3</v>
      </c>
      <c r="S70" s="120">
        <v>6.2300000000000003E-3</v>
      </c>
      <c r="T70" s="110">
        <v>318</v>
      </c>
      <c r="U70" s="121">
        <v>400</v>
      </c>
      <c r="V70" s="119">
        <v>6.2E-4</v>
      </c>
      <c r="W70" s="110">
        <v>310</v>
      </c>
      <c r="X70" s="121">
        <v>800</v>
      </c>
      <c r="Y70" s="122">
        <v>0</v>
      </c>
      <c r="Z70" s="122">
        <v>1</v>
      </c>
      <c r="AA70" s="113">
        <v>2.7</v>
      </c>
      <c r="AB70" s="111">
        <v>10</v>
      </c>
      <c r="AC70" s="114">
        <v>2.6</v>
      </c>
      <c r="AD70" s="117" t="s">
        <v>229</v>
      </c>
      <c r="AE70" s="180">
        <v>0.84</v>
      </c>
      <c r="AF70" s="125">
        <v>0.77</v>
      </c>
      <c r="AG70" s="123">
        <v>0.09</v>
      </c>
      <c r="AH70" s="123">
        <v>0</v>
      </c>
      <c r="AI70" s="124">
        <v>0.86</v>
      </c>
      <c r="AJ70" s="125">
        <v>0.21</v>
      </c>
      <c r="AK70" s="123">
        <v>0.23</v>
      </c>
      <c r="AL70" s="123">
        <v>0</v>
      </c>
      <c r="AM70" s="124">
        <v>0.44</v>
      </c>
      <c r="AN70" s="125">
        <v>0.41</v>
      </c>
      <c r="AO70" s="123">
        <v>0.12</v>
      </c>
      <c r="AP70" s="123">
        <v>0</v>
      </c>
      <c r="AQ70" s="124">
        <v>0.51</v>
      </c>
      <c r="AR70" s="125">
        <v>0.62</v>
      </c>
      <c r="AS70" s="123">
        <v>0.11</v>
      </c>
      <c r="AT70" s="123">
        <v>0</v>
      </c>
      <c r="AU70" s="124">
        <v>0.73</v>
      </c>
      <c r="AV70" s="125">
        <v>0.41</v>
      </c>
      <c r="AW70" s="123">
        <v>0.19</v>
      </c>
      <c r="AX70" s="123">
        <v>0</v>
      </c>
      <c r="AY70" s="124">
        <v>0.6</v>
      </c>
      <c r="AZ70" s="125">
        <v>0.28999999999999998</v>
      </c>
      <c r="BA70" s="123">
        <v>1.24</v>
      </c>
      <c r="BB70" s="123">
        <v>0</v>
      </c>
      <c r="BC70" s="124">
        <v>1.53</v>
      </c>
      <c r="BD70" s="126">
        <v>0.52</v>
      </c>
      <c r="BE70" s="125">
        <v>0.51</v>
      </c>
      <c r="BF70" s="123">
        <v>0</v>
      </c>
      <c r="BG70" s="123">
        <v>0</v>
      </c>
      <c r="BH70" s="124">
        <v>0.51</v>
      </c>
      <c r="BI70" s="125">
        <v>0.51</v>
      </c>
      <c r="BJ70" s="123">
        <v>0.12</v>
      </c>
      <c r="BK70" s="123">
        <v>0</v>
      </c>
      <c r="BL70" s="124">
        <v>0.62</v>
      </c>
      <c r="BM70" s="125">
        <v>0.98</v>
      </c>
      <c r="BN70" s="123">
        <v>1.91</v>
      </c>
      <c r="BO70" s="123">
        <v>1.64</v>
      </c>
      <c r="BP70" s="123">
        <v>1.1499999999999999</v>
      </c>
      <c r="BQ70" s="123">
        <v>1.4</v>
      </c>
      <c r="BR70" s="123">
        <v>0.55000000000000004</v>
      </c>
      <c r="BS70" s="123">
        <v>1.62</v>
      </c>
      <c r="BT70" s="123">
        <v>1.66</v>
      </c>
      <c r="BU70" s="124">
        <v>1.35</v>
      </c>
      <c r="BV70" s="79">
        <v>3240000</v>
      </c>
      <c r="BW70" s="110">
        <v>140</v>
      </c>
      <c r="BX70" s="110">
        <v>1700</v>
      </c>
      <c r="BY70" s="162">
        <v>24.5</v>
      </c>
      <c r="BZ70" s="111">
        <v>17</v>
      </c>
      <c r="CA70" s="120">
        <v>6.2300000000000003E-3</v>
      </c>
      <c r="CB70" s="110">
        <v>318</v>
      </c>
      <c r="CC70" s="119">
        <v>6.2E-4</v>
      </c>
      <c r="CD70" s="110">
        <v>310</v>
      </c>
      <c r="CE70" s="104">
        <f t="shared" si="5"/>
        <v>6.587301587301587E-3</v>
      </c>
      <c r="CF70" s="105">
        <f t="shared" si="3"/>
        <v>0.84</v>
      </c>
    </row>
    <row r="71" spans="1:84" x14ac:dyDescent="0.25">
      <c r="A71" s="106">
        <v>70</v>
      </c>
      <c r="B71" s="107"/>
      <c r="C71" s="108" t="s">
        <v>285</v>
      </c>
      <c r="D71" s="109">
        <v>1800</v>
      </c>
      <c r="E71" s="110">
        <v>1800</v>
      </c>
      <c r="F71" s="111">
        <f t="shared" si="4"/>
        <v>3240000</v>
      </c>
      <c r="G71" s="110">
        <v>60</v>
      </c>
      <c r="H71" s="110">
        <v>1700</v>
      </c>
      <c r="I71" s="112">
        <v>1</v>
      </c>
      <c r="J71" s="160">
        <v>24</v>
      </c>
      <c r="K71" s="161">
        <v>16.899999999999999</v>
      </c>
      <c r="L71" s="162">
        <v>24.5</v>
      </c>
      <c r="M71" s="163">
        <v>1.06</v>
      </c>
      <c r="N71" s="111">
        <v>18.5</v>
      </c>
      <c r="O71" s="117" t="s">
        <v>206</v>
      </c>
      <c r="P71" s="118" t="s">
        <v>216</v>
      </c>
      <c r="Q71" s="119">
        <v>2.9099999999999998E-3</v>
      </c>
      <c r="R71" s="120">
        <v>1.3089999999999999E-2</v>
      </c>
      <c r="S71" s="120">
        <v>1.4540000000000001E-2</v>
      </c>
      <c r="T71" s="110">
        <v>318</v>
      </c>
      <c r="U71" s="121">
        <v>400</v>
      </c>
      <c r="V71" s="119">
        <v>0</v>
      </c>
      <c r="W71" s="110">
        <v>0</v>
      </c>
      <c r="X71" s="121">
        <v>400</v>
      </c>
      <c r="Y71" s="122">
        <v>0</v>
      </c>
      <c r="Z71" s="122">
        <v>1</v>
      </c>
      <c r="AA71" s="113">
        <v>4.7</v>
      </c>
      <c r="AB71" s="111">
        <v>10</v>
      </c>
      <c r="AC71" s="114">
        <v>2.1</v>
      </c>
      <c r="AD71" s="117" t="s">
        <v>229</v>
      </c>
      <c r="AE71" s="180">
        <v>1.29</v>
      </c>
      <c r="AF71" s="125">
        <v>0.4</v>
      </c>
      <c r="AG71" s="123">
        <v>0</v>
      </c>
      <c r="AH71" s="123">
        <v>0</v>
      </c>
      <c r="AI71" s="124">
        <v>0.4</v>
      </c>
      <c r="AJ71" s="125">
        <v>0.21</v>
      </c>
      <c r="AK71" s="123">
        <v>0</v>
      </c>
      <c r="AL71" s="123">
        <v>0</v>
      </c>
      <c r="AM71" s="124">
        <v>0.21</v>
      </c>
      <c r="AN71" s="125">
        <v>0.68</v>
      </c>
      <c r="AO71" s="123">
        <v>0</v>
      </c>
      <c r="AP71" s="123">
        <v>0</v>
      </c>
      <c r="AQ71" s="124">
        <v>0.68</v>
      </c>
      <c r="AR71" s="125">
        <v>0.65</v>
      </c>
      <c r="AS71" s="123">
        <v>0</v>
      </c>
      <c r="AT71" s="123">
        <v>0</v>
      </c>
      <c r="AU71" s="124">
        <v>0.65</v>
      </c>
      <c r="AV71" s="125">
        <v>0.21</v>
      </c>
      <c r="AW71" s="123">
        <v>0</v>
      </c>
      <c r="AX71" s="123">
        <v>0</v>
      </c>
      <c r="AY71" s="124">
        <v>0.21</v>
      </c>
      <c r="AZ71" s="125">
        <v>0.37</v>
      </c>
      <c r="BA71" s="123">
        <v>1.42</v>
      </c>
      <c r="BB71" s="123">
        <v>0</v>
      </c>
      <c r="BC71" s="124">
        <v>1.79</v>
      </c>
      <c r="BD71" s="126">
        <v>0.19</v>
      </c>
      <c r="BE71" s="125">
        <v>0.53</v>
      </c>
      <c r="BF71" s="123">
        <v>0</v>
      </c>
      <c r="BG71" s="123">
        <v>0</v>
      </c>
      <c r="BH71" s="124">
        <v>0.53</v>
      </c>
      <c r="BI71" s="125">
        <v>0.53</v>
      </c>
      <c r="BJ71" s="123">
        <v>0</v>
      </c>
      <c r="BK71" s="123">
        <v>0</v>
      </c>
      <c r="BL71" s="124">
        <v>0.53</v>
      </c>
      <c r="BM71" s="125">
        <v>3.2</v>
      </c>
      <c r="BN71" s="123">
        <v>6.13</v>
      </c>
      <c r="BO71" s="123">
        <v>1.89</v>
      </c>
      <c r="BP71" s="123">
        <v>1.98</v>
      </c>
      <c r="BQ71" s="123">
        <v>6.01</v>
      </c>
      <c r="BR71" s="123">
        <v>0.72</v>
      </c>
      <c r="BS71" s="123">
        <v>6.77</v>
      </c>
      <c r="BT71" s="123">
        <v>2.4300000000000002</v>
      </c>
      <c r="BU71" s="124">
        <v>2.4300000000000002</v>
      </c>
      <c r="BV71" s="79">
        <v>3240000</v>
      </c>
      <c r="BW71" s="110">
        <v>60</v>
      </c>
      <c r="BX71" s="110">
        <v>1700</v>
      </c>
      <c r="BY71" s="162">
        <v>24.5</v>
      </c>
      <c r="BZ71" s="111">
        <v>18.5</v>
      </c>
      <c r="CA71" s="120">
        <v>1.4540000000000001E-2</v>
      </c>
      <c r="CB71" s="110">
        <v>318</v>
      </c>
      <c r="CC71" s="119">
        <v>0</v>
      </c>
      <c r="CD71" s="110">
        <v>0</v>
      </c>
      <c r="CE71" s="104">
        <f t="shared" si="5"/>
        <v>2.2500000000000003E-2</v>
      </c>
      <c r="CF71" s="105">
        <f t="shared" si="3"/>
        <v>1.29</v>
      </c>
    </row>
    <row r="72" spans="1:84" x14ac:dyDescent="0.25">
      <c r="A72" s="106">
        <v>71</v>
      </c>
      <c r="B72" s="107"/>
      <c r="C72" s="108" t="s">
        <v>286</v>
      </c>
      <c r="D72" s="109">
        <v>1800</v>
      </c>
      <c r="E72" s="110">
        <v>1800</v>
      </c>
      <c r="F72" s="111">
        <f t="shared" si="4"/>
        <v>3240000</v>
      </c>
      <c r="G72" s="110">
        <v>60</v>
      </c>
      <c r="H72" s="110">
        <v>1700</v>
      </c>
      <c r="I72" s="112">
        <v>1</v>
      </c>
      <c r="J72" s="160">
        <v>24</v>
      </c>
      <c r="K72" s="161">
        <v>16.899999999999999</v>
      </c>
      <c r="L72" s="162">
        <v>24.5</v>
      </c>
      <c r="M72" s="163">
        <v>1.06</v>
      </c>
      <c r="N72" s="111">
        <v>18.5</v>
      </c>
      <c r="O72" s="117" t="s">
        <v>206</v>
      </c>
      <c r="P72" s="118" t="s">
        <v>216</v>
      </c>
      <c r="Q72" s="119">
        <v>2.9099999999999998E-3</v>
      </c>
      <c r="R72" s="120">
        <v>6.5399999999999998E-3</v>
      </c>
      <c r="S72" s="120">
        <v>8.7299999999999999E-3</v>
      </c>
      <c r="T72" s="110">
        <v>318</v>
      </c>
      <c r="U72" s="121">
        <v>800</v>
      </c>
      <c r="V72" s="119">
        <v>0</v>
      </c>
      <c r="W72" s="110">
        <v>0</v>
      </c>
      <c r="X72" s="121">
        <v>400</v>
      </c>
      <c r="Y72" s="122">
        <v>0</v>
      </c>
      <c r="Z72" s="122">
        <v>1</v>
      </c>
      <c r="AA72" s="113">
        <v>5.0999999999999996</v>
      </c>
      <c r="AB72" s="111">
        <v>14</v>
      </c>
      <c r="AC72" s="114">
        <v>2.7</v>
      </c>
      <c r="AD72" s="117" t="s">
        <v>229</v>
      </c>
      <c r="AE72" s="180">
        <v>0.86</v>
      </c>
      <c r="AF72" s="125">
        <v>0.4</v>
      </c>
      <c r="AG72" s="123">
        <v>0</v>
      </c>
      <c r="AH72" s="123">
        <v>0</v>
      </c>
      <c r="AI72" s="124">
        <v>0.4</v>
      </c>
      <c r="AJ72" s="125">
        <v>0.21</v>
      </c>
      <c r="AK72" s="123">
        <v>0</v>
      </c>
      <c r="AL72" s="123">
        <v>0</v>
      </c>
      <c r="AM72" s="124">
        <v>0.21</v>
      </c>
      <c r="AN72" s="125">
        <v>0.39</v>
      </c>
      <c r="AO72" s="123">
        <v>0</v>
      </c>
      <c r="AP72" s="123">
        <v>0</v>
      </c>
      <c r="AQ72" s="124">
        <v>0.39</v>
      </c>
      <c r="AR72" s="125">
        <v>0.65</v>
      </c>
      <c r="AS72" s="123">
        <v>0</v>
      </c>
      <c r="AT72" s="123">
        <v>0</v>
      </c>
      <c r="AU72" s="124">
        <v>0.65</v>
      </c>
      <c r="AV72" s="125">
        <v>0.21</v>
      </c>
      <c r="AW72" s="123">
        <v>0</v>
      </c>
      <c r="AX72" s="123">
        <v>0</v>
      </c>
      <c r="AY72" s="124">
        <v>0.21</v>
      </c>
      <c r="AZ72" s="125">
        <v>0.37</v>
      </c>
      <c r="BA72" s="123">
        <v>1.01</v>
      </c>
      <c r="BB72" s="123">
        <v>0</v>
      </c>
      <c r="BC72" s="124">
        <v>1.38</v>
      </c>
      <c r="BD72" s="126">
        <v>0.19</v>
      </c>
      <c r="BE72" s="125">
        <v>0.53</v>
      </c>
      <c r="BF72" s="123">
        <v>0</v>
      </c>
      <c r="BG72" s="123">
        <v>0</v>
      </c>
      <c r="BH72" s="124">
        <v>0.53</v>
      </c>
      <c r="BI72" s="125">
        <v>0.53</v>
      </c>
      <c r="BJ72" s="123">
        <v>0</v>
      </c>
      <c r="BK72" s="123">
        <v>0</v>
      </c>
      <c r="BL72" s="124">
        <v>0.53</v>
      </c>
      <c r="BM72" s="125">
        <v>2.14</v>
      </c>
      <c r="BN72" s="123">
        <v>4.0999999999999996</v>
      </c>
      <c r="BO72" s="123">
        <v>2.19</v>
      </c>
      <c r="BP72" s="123">
        <v>1.32</v>
      </c>
      <c r="BQ72" s="123">
        <v>4.0199999999999996</v>
      </c>
      <c r="BR72" s="123">
        <v>0.63</v>
      </c>
      <c r="BS72" s="123">
        <v>4.53</v>
      </c>
      <c r="BT72" s="123">
        <v>1.62</v>
      </c>
      <c r="BU72" s="124">
        <v>1.62</v>
      </c>
      <c r="BV72" s="79">
        <v>3240000</v>
      </c>
      <c r="BW72" s="110">
        <v>60</v>
      </c>
      <c r="BX72" s="110">
        <v>1700</v>
      </c>
      <c r="BY72" s="162">
        <v>24.5</v>
      </c>
      <c r="BZ72" s="111">
        <v>18.5</v>
      </c>
      <c r="CA72" s="120">
        <v>8.7299999999999999E-3</v>
      </c>
      <c r="CB72" s="110">
        <v>318</v>
      </c>
      <c r="CC72" s="119">
        <v>0</v>
      </c>
      <c r="CD72" s="110">
        <v>0</v>
      </c>
      <c r="CE72" s="184">
        <f t="shared" si="5"/>
        <v>1.5000000000000001E-2</v>
      </c>
      <c r="CF72" s="185">
        <f t="shared" si="3"/>
        <v>0.86</v>
      </c>
    </row>
    <row r="73" spans="1:84" hidden="1" x14ac:dyDescent="0.25">
      <c r="A73" s="106">
        <v>72</v>
      </c>
      <c r="B73" s="107"/>
      <c r="C73" s="108" t="s">
        <v>287</v>
      </c>
      <c r="D73" s="109">
        <v>1800</v>
      </c>
      <c r="E73" s="110">
        <v>1800</v>
      </c>
      <c r="F73" s="111">
        <f t="shared" si="4"/>
        <v>3240000</v>
      </c>
      <c r="G73" s="110">
        <v>140</v>
      </c>
      <c r="H73" s="110">
        <v>1700</v>
      </c>
      <c r="I73" s="112">
        <v>1</v>
      </c>
      <c r="J73" s="160">
        <v>24</v>
      </c>
      <c r="K73" s="161">
        <v>16.899999999999999</v>
      </c>
      <c r="L73" s="162">
        <v>21.1</v>
      </c>
      <c r="M73" s="163">
        <v>1.06</v>
      </c>
      <c r="N73" s="111">
        <v>18.5</v>
      </c>
      <c r="O73" s="117" t="s">
        <v>215</v>
      </c>
      <c r="P73" s="118" t="s">
        <v>216</v>
      </c>
      <c r="Q73" s="119">
        <v>1.25E-3</v>
      </c>
      <c r="R73" s="120">
        <v>5.6100000000000004E-3</v>
      </c>
      <c r="S73" s="120">
        <v>6.2300000000000003E-3</v>
      </c>
      <c r="T73" s="110">
        <v>318</v>
      </c>
      <c r="U73" s="121">
        <v>400</v>
      </c>
      <c r="V73" s="119">
        <v>5.0000000000000001E-4</v>
      </c>
      <c r="W73" s="110">
        <v>325</v>
      </c>
      <c r="X73" s="121">
        <v>400</v>
      </c>
      <c r="Y73" s="165">
        <v>0.5</v>
      </c>
      <c r="Z73" s="122">
        <v>1</v>
      </c>
      <c r="AA73" s="113">
        <v>2.2000000000000002</v>
      </c>
      <c r="AB73" s="111">
        <v>8</v>
      </c>
      <c r="AC73" s="114">
        <v>2.7</v>
      </c>
      <c r="AD73" s="117" t="s">
        <v>229</v>
      </c>
      <c r="AE73" s="180">
        <v>1.04</v>
      </c>
      <c r="AF73" s="125">
        <v>0.8</v>
      </c>
      <c r="AG73" s="123">
        <v>0.08</v>
      </c>
      <c r="AH73" s="123">
        <v>0.13</v>
      </c>
      <c r="AI73" s="124">
        <v>1</v>
      </c>
      <c r="AJ73" s="125">
        <v>0.28000000000000003</v>
      </c>
      <c r="AK73" s="123">
        <v>0.16</v>
      </c>
      <c r="AL73" s="123">
        <v>0</v>
      </c>
      <c r="AM73" s="124">
        <v>0.44</v>
      </c>
      <c r="AN73" s="125">
        <v>0.39</v>
      </c>
      <c r="AO73" s="123">
        <v>0.1</v>
      </c>
      <c r="AP73" s="123">
        <v>0.19</v>
      </c>
      <c r="AQ73" s="124">
        <v>0.66</v>
      </c>
      <c r="AR73" s="125">
        <v>0.65</v>
      </c>
      <c r="AS73" s="123">
        <v>0.09</v>
      </c>
      <c r="AT73" s="123">
        <v>0.13</v>
      </c>
      <c r="AU73" s="124">
        <v>0.87</v>
      </c>
      <c r="AV73" s="125">
        <v>0.43</v>
      </c>
      <c r="AW73" s="123">
        <v>0.16</v>
      </c>
      <c r="AX73" s="123">
        <v>0</v>
      </c>
      <c r="AY73" s="124">
        <v>0.59</v>
      </c>
      <c r="AZ73" s="125">
        <v>0.3</v>
      </c>
      <c r="BA73" s="123">
        <v>1.21</v>
      </c>
      <c r="BB73" s="123">
        <v>0.04</v>
      </c>
      <c r="BC73" s="124">
        <v>1.56</v>
      </c>
      <c r="BD73" s="126">
        <v>0.52</v>
      </c>
      <c r="BE73" s="125">
        <v>0.53</v>
      </c>
      <c r="BF73" s="123">
        <v>0</v>
      </c>
      <c r="BG73" s="123">
        <v>0.12</v>
      </c>
      <c r="BH73" s="124">
        <v>0.65</v>
      </c>
      <c r="BI73" s="125">
        <v>0.53</v>
      </c>
      <c r="BJ73" s="123">
        <v>0.1</v>
      </c>
      <c r="BK73" s="123">
        <v>0.15</v>
      </c>
      <c r="BL73" s="124">
        <v>0.78</v>
      </c>
      <c r="BM73" s="125">
        <v>1.03</v>
      </c>
      <c r="BN73" s="123">
        <v>2.35</v>
      </c>
      <c r="BO73" s="123">
        <v>1.57</v>
      </c>
      <c r="BP73" s="123">
        <v>1.2</v>
      </c>
      <c r="BQ73" s="123">
        <v>1.76</v>
      </c>
      <c r="BR73" s="123">
        <v>0.67</v>
      </c>
      <c r="BS73" s="123">
        <v>2</v>
      </c>
      <c r="BT73" s="123">
        <v>1.61</v>
      </c>
      <c r="BU73" s="124">
        <v>1.34</v>
      </c>
      <c r="BV73" s="79">
        <v>3240000</v>
      </c>
      <c r="BW73" s="110">
        <v>140</v>
      </c>
      <c r="BX73" s="110">
        <v>1700</v>
      </c>
      <c r="BY73" s="162">
        <v>21.1</v>
      </c>
      <c r="BZ73" s="111">
        <v>18.5</v>
      </c>
      <c r="CA73" s="120">
        <v>6.2300000000000003E-3</v>
      </c>
      <c r="CB73" s="110">
        <v>318</v>
      </c>
      <c r="CC73" s="119">
        <v>5.0000000000000001E-4</v>
      </c>
      <c r="CD73" s="110">
        <v>325</v>
      </c>
      <c r="CE73" s="104">
        <f t="shared" si="5"/>
        <v>6.3888888888888893E-3</v>
      </c>
      <c r="CF73" s="105">
        <f t="shared" si="3"/>
        <v>1.04</v>
      </c>
    </row>
    <row r="74" spans="1:84" hidden="1" x14ac:dyDescent="0.25">
      <c r="A74" s="106">
        <v>73</v>
      </c>
      <c r="B74" s="107"/>
      <c r="C74" s="108" t="s">
        <v>288</v>
      </c>
      <c r="D74" s="109">
        <v>1800</v>
      </c>
      <c r="E74" s="110">
        <v>1800</v>
      </c>
      <c r="F74" s="111">
        <f t="shared" si="4"/>
        <v>3240000</v>
      </c>
      <c r="G74" s="110">
        <v>140</v>
      </c>
      <c r="H74" s="110">
        <v>1700</v>
      </c>
      <c r="I74" s="112">
        <v>1</v>
      </c>
      <c r="J74" s="160">
        <v>24</v>
      </c>
      <c r="K74" s="161">
        <v>16.899999999999999</v>
      </c>
      <c r="L74" s="162">
        <v>24.5</v>
      </c>
      <c r="M74" s="163">
        <v>1.06</v>
      </c>
      <c r="N74" s="111">
        <v>18.5</v>
      </c>
      <c r="O74" s="117" t="s">
        <v>215</v>
      </c>
      <c r="P74" s="118" t="s">
        <v>216</v>
      </c>
      <c r="Q74" s="119">
        <v>1.25E-3</v>
      </c>
      <c r="R74" s="120">
        <v>5.6100000000000004E-3</v>
      </c>
      <c r="S74" s="120">
        <v>6.2300000000000003E-3</v>
      </c>
      <c r="T74" s="110">
        <v>318</v>
      </c>
      <c r="U74" s="121">
        <v>400</v>
      </c>
      <c r="V74" s="119">
        <v>5.0000000000000001E-4</v>
      </c>
      <c r="W74" s="110">
        <v>325</v>
      </c>
      <c r="X74" s="121">
        <v>400</v>
      </c>
      <c r="Y74" s="165">
        <v>0.25</v>
      </c>
      <c r="Z74" s="122">
        <v>1</v>
      </c>
      <c r="AA74" s="113">
        <v>2.2000000000000002</v>
      </c>
      <c r="AB74" s="111">
        <v>6</v>
      </c>
      <c r="AC74" s="114">
        <v>2.7</v>
      </c>
      <c r="AD74" s="117" t="s">
        <v>229</v>
      </c>
      <c r="AE74" s="180">
        <v>0.98</v>
      </c>
      <c r="AF74" s="125">
        <v>0.8</v>
      </c>
      <c r="AG74" s="123">
        <v>0.08</v>
      </c>
      <c r="AH74" s="123">
        <v>0.06</v>
      </c>
      <c r="AI74" s="124">
        <v>0.94</v>
      </c>
      <c r="AJ74" s="125">
        <v>0.28000000000000003</v>
      </c>
      <c r="AK74" s="123">
        <v>0.16</v>
      </c>
      <c r="AL74" s="123">
        <v>0</v>
      </c>
      <c r="AM74" s="124">
        <v>0.44</v>
      </c>
      <c r="AN74" s="125">
        <v>0.39</v>
      </c>
      <c r="AO74" s="123">
        <v>0.1</v>
      </c>
      <c r="AP74" s="123">
        <v>0.09</v>
      </c>
      <c r="AQ74" s="124">
        <v>0.56999999999999995</v>
      </c>
      <c r="AR74" s="125">
        <v>0.65</v>
      </c>
      <c r="AS74" s="123">
        <v>0.09</v>
      </c>
      <c r="AT74" s="123">
        <v>0.06</v>
      </c>
      <c r="AU74" s="124">
        <v>0.8</v>
      </c>
      <c r="AV74" s="125">
        <v>0.43</v>
      </c>
      <c r="AW74" s="123">
        <v>0.16</v>
      </c>
      <c r="AX74" s="123">
        <v>0</v>
      </c>
      <c r="AY74" s="124">
        <v>0.59</v>
      </c>
      <c r="AZ74" s="125">
        <v>0.3</v>
      </c>
      <c r="BA74" s="123">
        <v>1.21</v>
      </c>
      <c r="BB74" s="123">
        <v>0.02</v>
      </c>
      <c r="BC74" s="124">
        <v>1.54</v>
      </c>
      <c r="BD74" s="126">
        <v>0.52</v>
      </c>
      <c r="BE74" s="125">
        <v>0.53</v>
      </c>
      <c r="BF74" s="123">
        <v>0</v>
      </c>
      <c r="BG74" s="123">
        <v>0.06</v>
      </c>
      <c r="BH74" s="124">
        <v>0.59</v>
      </c>
      <c r="BI74" s="125">
        <v>0.53</v>
      </c>
      <c r="BJ74" s="123">
        <v>0.1</v>
      </c>
      <c r="BK74" s="123">
        <v>0.08</v>
      </c>
      <c r="BL74" s="124">
        <v>0.7</v>
      </c>
      <c r="BM74" s="125">
        <v>1.04</v>
      </c>
      <c r="BN74" s="123">
        <v>2.2200000000000002</v>
      </c>
      <c r="BO74" s="123">
        <v>1.72</v>
      </c>
      <c r="BP74" s="123">
        <v>1.22</v>
      </c>
      <c r="BQ74" s="123">
        <v>1.66</v>
      </c>
      <c r="BR74" s="123">
        <v>0.64</v>
      </c>
      <c r="BS74" s="123">
        <v>1.88</v>
      </c>
      <c r="BT74" s="123">
        <v>1.67</v>
      </c>
      <c r="BU74" s="124">
        <v>1.39</v>
      </c>
      <c r="BV74" s="79">
        <v>3240000</v>
      </c>
      <c r="BW74" s="110">
        <v>140</v>
      </c>
      <c r="BX74" s="110">
        <v>1700</v>
      </c>
      <c r="BY74" s="162">
        <v>24.5</v>
      </c>
      <c r="BZ74" s="111">
        <v>18.5</v>
      </c>
      <c r="CA74" s="120">
        <v>6.2300000000000003E-3</v>
      </c>
      <c r="CB74" s="110">
        <v>318</v>
      </c>
      <c r="CC74" s="119">
        <v>5.0000000000000001E-4</v>
      </c>
      <c r="CD74" s="110">
        <v>325</v>
      </c>
      <c r="CE74" s="104">
        <f t="shared" si="5"/>
        <v>6.6269841269841262E-3</v>
      </c>
      <c r="CF74" s="105">
        <f t="shared" si="3"/>
        <v>0.98</v>
      </c>
    </row>
    <row r="75" spans="1:84" hidden="1" x14ac:dyDescent="0.25">
      <c r="A75" s="106">
        <v>74</v>
      </c>
      <c r="B75" s="107"/>
      <c r="C75" s="108" t="s">
        <v>289</v>
      </c>
      <c r="D75" s="109">
        <v>3600</v>
      </c>
      <c r="E75" s="110">
        <v>1800</v>
      </c>
      <c r="F75" s="111">
        <f t="shared" si="4"/>
        <v>6480000</v>
      </c>
      <c r="G75" s="110">
        <v>140</v>
      </c>
      <c r="H75" s="110">
        <v>1700</v>
      </c>
      <c r="I75" s="112">
        <v>2</v>
      </c>
      <c r="J75" s="160">
        <v>24</v>
      </c>
      <c r="K75" s="161">
        <v>16.899999999999999</v>
      </c>
      <c r="L75" s="162">
        <v>24.5</v>
      </c>
      <c r="M75" s="163">
        <v>1.22</v>
      </c>
      <c r="N75" s="111">
        <v>24.3</v>
      </c>
      <c r="O75" s="117" t="s">
        <v>215</v>
      </c>
      <c r="P75" s="118" t="s">
        <v>216</v>
      </c>
      <c r="Q75" s="119">
        <v>1.9E-3</v>
      </c>
      <c r="R75" s="120">
        <v>8.77E-3</v>
      </c>
      <c r="S75" s="120">
        <v>9.7000000000000003E-3</v>
      </c>
      <c r="T75" s="110">
        <v>550</v>
      </c>
      <c r="U75" s="121">
        <v>400</v>
      </c>
      <c r="V75" s="119">
        <v>5.1000000000000004E-4</v>
      </c>
      <c r="W75" s="110">
        <v>325</v>
      </c>
      <c r="X75" s="121">
        <v>400</v>
      </c>
      <c r="Y75" s="165">
        <v>0.25</v>
      </c>
      <c r="Z75" s="122">
        <v>1</v>
      </c>
      <c r="AA75" s="113">
        <v>7</v>
      </c>
      <c r="AB75" s="111">
        <v>24</v>
      </c>
      <c r="AC75" s="114">
        <v>2.9</v>
      </c>
      <c r="AD75" s="117" t="s">
        <v>229</v>
      </c>
      <c r="AE75" s="180">
        <v>0.82</v>
      </c>
      <c r="AF75" s="125">
        <v>0.92</v>
      </c>
      <c r="AG75" s="123">
        <v>0.08</v>
      </c>
      <c r="AH75" s="123">
        <v>0.06</v>
      </c>
      <c r="AI75" s="124">
        <v>1.06</v>
      </c>
      <c r="AJ75" s="125">
        <v>0.28000000000000003</v>
      </c>
      <c r="AK75" s="123">
        <v>0.17</v>
      </c>
      <c r="AL75" s="123">
        <v>0</v>
      </c>
      <c r="AM75" s="124">
        <v>0.45</v>
      </c>
      <c r="AN75" s="125">
        <v>0.55000000000000004</v>
      </c>
      <c r="AO75" s="123">
        <v>0.11</v>
      </c>
      <c r="AP75" s="123">
        <v>0.04</v>
      </c>
      <c r="AQ75" s="124">
        <v>0.67</v>
      </c>
      <c r="AR75" s="125">
        <v>0.74</v>
      </c>
      <c r="AS75" s="123">
        <v>0.09</v>
      </c>
      <c r="AT75" s="123">
        <v>0.06</v>
      </c>
      <c r="AU75" s="124">
        <v>0.9</v>
      </c>
      <c r="AV75" s="125">
        <v>0.49</v>
      </c>
      <c r="AW75" s="123">
        <v>0.17</v>
      </c>
      <c r="AX75" s="123">
        <v>0</v>
      </c>
      <c r="AY75" s="124">
        <v>0.66</v>
      </c>
      <c r="AZ75" s="125">
        <v>0.2</v>
      </c>
      <c r="BA75" s="123">
        <v>1.82</v>
      </c>
      <c r="BB75" s="123">
        <v>0.02</v>
      </c>
      <c r="BC75" s="124">
        <v>2.04</v>
      </c>
      <c r="BD75" s="126">
        <v>0.52</v>
      </c>
      <c r="BE75" s="125">
        <v>0.3</v>
      </c>
      <c r="BF75" s="123">
        <v>0</v>
      </c>
      <c r="BG75" s="123">
        <v>0.06</v>
      </c>
      <c r="BH75" s="124">
        <v>0.36</v>
      </c>
      <c r="BI75" s="125">
        <v>0.61</v>
      </c>
      <c r="BJ75" s="123">
        <v>0.1</v>
      </c>
      <c r="BK75" s="123">
        <v>0.08</v>
      </c>
      <c r="BL75" s="124">
        <v>0.78</v>
      </c>
      <c r="BM75" s="125">
        <v>0.77</v>
      </c>
      <c r="BN75" s="123">
        <v>1.83</v>
      </c>
      <c r="BO75" s="123">
        <v>1.21</v>
      </c>
      <c r="BP75" s="123">
        <v>0.91</v>
      </c>
      <c r="BQ75" s="123">
        <v>1.24</v>
      </c>
      <c r="BR75" s="123">
        <v>0.4</v>
      </c>
      <c r="BS75" s="123">
        <v>1.57</v>
      </c>
      <c r="BT75" s="123">
        <v>2.2599999999999998</v>
      </c>
      <c r="BU75" s="124">
        <v>1.05</v>
      </c>
      <c r="BV75" s="79">
        <v>6480000</v>
      </c>
      <c r="BW75" s="110">
        <v>140</v>
      </c>
      <c r="BX75" s="110">
        <v>1700</v>
      </c>
      <c r="BY75" s="162">
        <v>24.5</v>
      </c>
      <c r="BZ75" s="111">
        <v>24.3</v>
      </c>
      <c r="CA75" s="120">
        <v>9.7000000000000003E-3</v>
      </c>
      <c r="CB75" s="110">
        <v>550</v>
      </c>
      <c r="CC75" s="119">
        <v>5.1000000000000004E-4</v>
      </c>
      <c r="CD75" s="110">
        <v>325</v>
      </c>
      <c r="CE75" s="104">
        <f t="shared" si="5"/>
        <v>8.9682539682539673E-3</v>
      </c>
      <c r="CF75" s="105">
        <f t="shared" si="3"/>
        <v>0.82</v>
      </c>
    </row>
    <row r="76" spans="1:84" hidden="1" x14ac:dyDescent="0.25">
      <c r="A76" s="106">
        <v>75</v>
      </c>
      <c r="B76" s="107"/>
      <c r="C76" s="108" t="s">
        <v>290</v>
      </c>
      <c r="D76" s="109">
        <v>1800</v>
      </c>
      <c r="E76" s="110">
        <v>3000</v>
      </c>
      <c r="F76" s="111">
        <f t="shared" si="4"/>
        <v>5400000</v>
      </c>
      <c r="G76" s="110">
        <v>140</v>
      </c>
      <c r="H76" s="110">
        <v>2900</v>
      </c>
      <c r="I76" s="112">
        <v>0.6</v>
      </c>
      <c r="J76" s="160">
        <v>24</v>
      </c>
      <c r="K76" s="161">
        <v>16.899999999999999</v>
      </c>
      <c r="L76" s="162">
        <v>24.5</v>
      </c>
      <c r="M76" s="163">
        <v>1.22</v>
      </c>
      <c r="N76" s="111">
        <v>24.3</v>
      </c>
      <c r="O76" s="117" t="s">
        <v>215</v>
      </c>
      <c r="P76" s="118" t="s">
        <v>216</v>
      </c>
      <c r="Q76" s="119">
        <v>7.5000000000000002E-4</v>
      </c>
      <c r="R76" s="120">
        <v>5.6100000000000004E-3</v>
      </c>
      <c r="S76" s="120">
        <v>5.8999999999999999E-3</v>
      </c>
      <c r="T76" s="110">
        <v>318</v>
      </c>
      <c r="U76" s="121">
        <v>400</v>
      </c>
      <c r="V76" s="119">
        <v>5.1000000000000004E-4</v>
      </c>
      <c r="W76" s="110">
        <v>325</v>
      </c>
      <c r="X76" s="121">
        <v>400</v>
      </c>
      <c r="Y76" s="165">
        <v>0.25</v>
      </c>
      <c r="Z76" s="122">
        <v>1</v>
      </c>
      <c r="AA76" s="113">
        <v>3</v>
      </c>
      <c r="AB76" s="111">
        <v>4</v>
      </c>
      <c r="AC76" s="114">
        <v>1.3</v>
      </c>
      <c r="AD76" s="117" t="s">
        <v>229</v>
      </c>
      <c r="AE76" s="180">
        <v>1.39</v>
      </c>
      <c r="AF76" s="125">
        <v>1.19</v>
      </c>
      <c r="AG76" s="123">
        <v>0.08</v>
      </c>
      <c r="AH76" s="123">
        <v>0.06</v>
      </c>
      <c r="AI76" s="124">
        <v>1.33</v>
      </c>
      <c r="AJ76" s="125">
        <v>0.28000000000000003</v>
      </c>
      <c r="AK76" s="123">
        <v>0.17</v>
      </c>
      <c r="AL76" s="123">
        <v>0</v>
      </c>
      <c r="AM76" s="124">
        <v>0.45</v>
      </c>
      <c r="AN76" s="125">
        <v>1.1499999999999999</v>
      </c>
      <c r="AO76" s="123">
        <v>0.11</v>
      </c>
      <c r="AP76" s="123">
        <v>0.17</v>
      </c>
      <c r="AQ76" s="124">
        <v>1.38</v>
      </c>
      <c r="AR76" s="125">
        <v>1.07</v>
      </c>
      <c r="AS76" s="123">
        <v>0.1</v>
      </c>
      <c r="AT76" s="123">
        <v>0.06</v>
      </c>
      <c r="AU76" s="124">
        <v>1.23</v>
      </c>
      <c r="AV76" s="125">
        <v>0.74</v>
      </c>
      <c r="AW76" s="123">
        <v>0.17</v>
      </c>
      <c r="AX76" s="123">
        <v>0</v>
      </c>
      <c r="AY76" s="124">
        <v>0.91</v>
      </c>
      <c r="AZ76" s="125">
        <v>0.32</v>
      </c>
      <c r="BA76" s="123">
        <v>1.24</v>
      </c>
      <c r="BB76" s="123">
        <v>0.02</v>
      </c>
      <c r="BC76" s="124">
        <v>1.59</v>
      </c>
      <c r="BD76" s="126">
        <v>0.64</v>
      </c>
      <c r="BE76" s="125">
        <v>1.01</v>
      </c>
      <c r="BF76" s="123">
        <v>0</v>
      </c>
      <c r="BG76" s="123">
        <v>0.06</v>
      </c>
      <c r="BH76" s="124">
        <v>1.07</v>
      </c>
      <c r="BI76" s="125">
        <v>0.61</v>
      </c>
      <c r="BJ76" s="123">
        <v>0.1</v>
      </c>
      <c r="BK76" s="123">
        <v>0.08</v>
      </c>
      <c r="BL76" s="124">
        <v>0.78</v>
      </c>
      <c r="BM76" s="125">
        <v>1.04</v>
      </c>
      <c r="BN76" s="123">
        <v>3.12</v>
      </c>
      <c r="BO76" s="123">
        <v>1.01</v>
      </c>
      <c r="BP76" s="123">
        <v>1.1399999999999999</v>
      </c>
      <c r="BQ76" s="123">
        <v>1.54</v>
      </c>
      <c r="BR76" s="123">
        <v>0.88</v>
      </c>
      <c r="BS76" s="123">
        <v>2.17</v>
      </c>
      <c r="BT76" s="123">
        <v>1.3</v>
      </c>
      <c r="BU76" s="124">
        <v>1.78</v>
      </c>
      <c r="BV76" s="79">
        <v>5400000</v>
      </c>
      <c r="BW76" s="110">
        <v>140</v>
      </c>
      <c r="BX76" s="110">
        <v>2900</v>
      </c>
      <c r="BY76" s="162">
        <v>24.5</v>
      </c>
      <c r="BZ76" s="111">
        <v>24.3</v>
      </c>
      <c r="CA76" s="120">
        <v>5.8999999999999999E-3</v>
      </c>
      <c r="CB76" s="110">
        <v>318</v>
      </c>
      <c r="CC76" s="119">
        <v>5.1000000000000004E-4</v>
      </c>
      <c r="CD76" s="110">
        <v>325</v>
      </c>
      <c r="CE76" s="104">
        <f t="shared" si="5"/>
        <v>3.0952380952380953E-3</v>
      </c>
      <c r="CF76" s="105">
        <f t="shared" si="3"/>
        <v>1.39</v>
      </c>
    </row>
    <row r="77" spans="1:84" ht="14.25" hidden="1" customHeight="1" x14ac:dyDescent="0.25">
      <c r="A77" s="133">
        <v>76</v>
      </c>
      <c r="B77" s="134"/>
      <c r="C77" s="135" t="s">
        <v>291</v>
      </c>
      <c r="D77" s="136">
        <v>1800</v>
      </c>
      <c r="E77" s="137">
        <v>1800</v>
      </c>
      <c r="F77" s="138">
        <f t="shared" si="4"/>
        <v>3240000</v>
      </c>
      <c r="G77" s="137">
        <v>140</v>
      </c>
      <c r="H77" s="137">
        <v>1700</v>
      </c>
      <c r="I77" s="139">
        <v>1</v>
      </c>
      <c r="J77" s="169">
        <v>24</v>
      </c>
      <c r="K77" s="161">
        <v>16.899999999999999</v>
      </c>
      <c r="L77" s="186">
        <v>24.5</v>
      </c>
      <c r="M77" s="171">
        <v>1.03</v>
      </c>
      <c r="N77" s="138">
        <v>17.600000000000001</v>
      </c>
      <c r="O77" s="144" t="s">
        <v>215</v>
      </c>
      <c r="P77" s="145" t="s">
        <v>216</v>
      </c>
      <c r="Q77" s="146">
        <v>1.25E-3</v>
      </c>
      <c r="R77" s="147">
        <v>5.6100000000000004E-3</v>
      </c>
      <c r="S77" s="147">
        <v>6.2300000000000003E-3</v>
      </c>
      <c r="T77" s="137">
        <v>318</v>
      </c>
      <c r="U77" s="145" t="s">
        <v>217</v>
      </c>
      <c r="V77" s="146">
        <v>5.0000000000000001E-4</v>
      </c>
      <c r="W77" s="137">
        <v>325</v>
      </c>
      <c r="X77" s="148">
        <v>400</v>
      </c>
      <c r="Y77" s="149">
        <v>0</v>
      </c>
      <c r="Z77" s="149">
        <v>1</v>
      </c>
      <c r="AA77" s="173" t="s">
        <v>292</v>
      </c>
      <c r="AB77" s="174"/>
      <c r="AC77" s="141">
        <v>2.7</v>
      </c>
      <c r="AD77" s="181" t="s">
        <v>229</v>
      </c>
      <c r="AE77" s="182">
        <v>0.83</v>
      </c>
      <c r="AF77" s="152">
        <v>0.78</v>
      </c>
      <c r="AG77" s="150">
        <v>0.08</v>
      </c>
      <c r="AH77" s="150">
        <v>0</v>
      </c>
      <c r="AI77" s="151">
        <v>0.86</v>
      </c>
      <c r="AJ77" s="152">
        <v>0.21</v>
      </c>
      <c r="AK77" s="150">
        <v>0.16</v>
      </c>
      <c r="AL77" s="150">
        <v>0</v>
      </c>
      <c r="AM77" s="151">
        <v>0.37</v>
      </c>
      <c r="AN77" s="152">
        <v>0.4</v>
      </c>
      <c r="AO77" s="150">
        <v>0.1</v>
      </c>
      <c r="AP77" s="150">
        <v>0</v>
      </c>
      <c r="AQ77" s="151">
        <v>0.48</v>
      </c>
      <c r="AR77" s="152">
        <v>0.63</v>
      </c>
      <c r="AS77" s="150">
        <v>0.09</v>
      </c>
      <c r="AT77" s="150">
        <v>0</v>
      </c>
      <c r="AU77" s="151">
        <v>0.73</v>
      </c>
      <c r="AV77" s="152">
        <v>0.42</v>
      </c>
      <c r="AW77" s="150">
        <v>0.16</v>
      </c>
      <c r="AX77" s="150">
        <v>0</v>
      </c>
      <c r="AY77" s="151">
        <v>0.57999999999999996</v>
      </c>
      <c r="AZ77" s="152">
        <v>0.3</v>
      </c>
      <c r="BA77" s="150">
        <v>1.21</v>
      </c>
      <c r="BB77" s="150">
        <v>0</v>
      </c>
      <c r="BC77" s="151">
        <v>1.51</v>
      </c>
      <c r="BD77" s="153">
        <v>0.52</v>
      </c>
      <c r="BE77" s="152">
        <v>0.52</v>
      </c>
      <c r="BF77" s="150">
        <v>0</v>
      </c>
      <c r="BG77" s="150">
        <v>0</v>
      </c>
      <c r="BH77" s="151">
        <v>0.52</v>
      </c>
      <c r="BI77" s="152">
        <v>0.52</v>
      </c>
      <c r="BJ77" s="150">
        <v>0.1</v>
      </c>
      <c r="BK77" s="150">
        <v>0</v>
      </c>
      <c r="BL77" s="151">
        <v>0.61</v>
      </c>
      <c r="BM77" s="152">
        <v>0.96</v>
      </c>
      <c r="BN77" s="150">
        <v>2.23</v>
      </c>
      <c r="BO77" s="150">
        <v>1.72</v>
      </c>
      <c r="BP77" s="150">
        <v>1.1399999999999999</v>
      </c>
      <c r="BQ77" s="150">
        <v>1.43</v>
      </c>
      <c r="BR77" s="150">
        <v>0.55000000000000004</v>
      </c>
      <c r="BS77" s="150">
        <v>1.6</v>
      </c>
      <c r="BT77" s="150">
        <v>1.61</v>
      </c>
      <c r="BU77" s="151">
        <v>1.35</v>
      </c>
      <c r="BV77" s="79">
        <v>3240000</v>
      </c>
      <c r="BW77" s="137">
        <v>140</v>
      </c>
      <c r="BX77" s="137">
        <v>1700</v>
      </c>
      <c r="BY77" s="186">
        <v>24.5</v>
      </c>
      <c r="BZ77" s="138">
        <v>17.600000000000001</v>
      </c>
      <c r="CA77" s="147">
        <v>6.2300000000000003E-3</v>
      </c>
      <c r="CB77" s="137">
        <v>318</v>
      </c>
      <c r="CC77" s="146">
        <v>5.0000000000000001E-4</v>
      </c>
      <c r="CD77" s="137">
        <v>325</v>
      </c>
      <c r="CE77" s="104">
        <f t="shared" si="5"/>
        <v>6.3888888888888893E-3</v>
      </c>
      <c r="CF77" s="105">
        <f t="shared" si="3"/>
        <v>0.83</v>
      </c>
    </row>
    <row r="78" spans="1:84" ht="14.25" customHeight="1" x14ac:dyDescent="0.25">
      <c r="A78" s="83">
        <v>77</v>
      </c>
      <c r="B78" s="84" t="s">
        <v>293</v>
      </c>
      <c r="C78" s="85" t="s">
        <v>294</v>
      </c>
      <c r="D78" s="86">
        <v>2640</v>
      </c>
      <c r="E78" s="87">
        <v>3860</v>
      </c>
      <c r="F78" s="187">
        <f t="shared" si="4"/>
        <v>10190400</v>
      </c>
      <c r="G78" s="87">
        <v>200</v>
      </c>
      <c r="H78" s="87">
        <v>3088</v>
      </c>
      <c r="I78" s="89">
        <v>0.68</v>
      </c>
      <c r="J78" s="90">
        <v>13.8</v>
      </c>
      <c r="K78" s="91">
        <v>25.8</v>
      </c>
      <c r="L78" s="92">
        <v>22</v>
      </c>
      <c r="M78" s="157">
        <v>0.44</v>
      </c>
      <c r="N78" s="187">
        <v>6.2</v>
      </c>
      <c r="O78" s="94" t="s">
        <v>206</v>
      </c>
      <c r="P78" s="95" t="s">
        <v>216</v>
      </c>
      <c r="Q78" s="96">
        <v>3.6999999999999999E-4</v>
      </c>
      <c r="R78" s="97">
        <v>4.6699999999999997E-3</v>
      </c>
      <c r="S78" s="97">
        <v>5.9100000000000003E-3</v>
      </c>
      <c r="T78" s="188">
        <v>414</v>
      </c>
      <c r="U78" s="98">
        <v>1220</v>
      </c>
      <c r="V78" s="96">
        <v>1.17E-3</v>
      </c>
      <c r="W78" s="188">
        <v>321</v>
      </c>
      <c r="X78" s="98">
        <v>1220</v>
      </c>
      <c r="Y78" s="158">
        <v>0.7</v>
      </c>
      <c r="Z78" s="99">
        <v>1</v>
      </c>
      <c r="AA78" s="90">
        <v>2.7</v>
      </c>
      <c r="AB78" s="88">
        <v>23.2</v>
      </c>
      <c r="AC78" s="91">
        <v>8.6</v>
      </c>
      <c r="AD78" s="117" t="s">
        <v>229</v>
      </c>
      <c r="AE78" s="178">
        <v>0.41</v>
      </c>
      <c r="AF78" s="102">
        <v>0.26</v>
      </c>
      <c r="AG78" s="100">
        <v>0.15</v>
      </c>
      <c r="AH78" s="100">
        <v>0.18</v>
      </c>
      <c r="AI78" s="101">
        <v>0.57999999999999996</v>
      </c>
      <c r="AJ78" s="102">
        <v>0.41</v>
      </c>
      <c r="AK78" s="100">
        <v>0.47</v>
      </c>
      <c r="AL78" s="100">
        <v>0</v>
      </c>
      <c r="AM78" s="101">
        <v>0.87</v>
      </c>
      <c r="AN78" s="102">
        <v>0</v>
      </c>
      <c r="AO78" s="100">
        <v>0.24</v>
      </c>
      <c r="AP78" s="100">
        <v>0.26</v>
      </c>
      <c r="AQ78" s="101">
        <v>0.5</v>
      </c>
      <c r="AR78" s="102">
        <v>0.42</v>
      </c>
      <c r="AS78" s="100">
        <v>0.18</v>
      </c>
      <c r="AT78" s="100">
        <v>0.18</v>
      </c>
      <c r="AU78" s="101">
        <v>0.4</v>
      </c>
      <c r="AV78" s="102">
        <v>0.15</v>
      </c>
      <c r="AW78" s="100">
        <v>0.37</v>
      </c>
      <c r="AX78" s="100">
        <v>0</v>
      </c>
      <c r="AY78" s="101">
        <v>0.52</v>
      </c>
      <c r="AZ78" s="102">
        <v>0.13</v>
      </c>
      <c r="BA78" s="100">
        <v>1.18</v>
      </c>
      <c r="BB78" s="100">
        <v>0.05</v>
      </c>
      <c r="BC78" s="101">
        <v>1.36</v>
      </c>
      <c r="BD78" s="103">
        <v>0.34</v>
      </c>
      <c r="BE78" s="102">
        <v>0.32</v>
      </c>
      <c r="BF78" s="100">
        <v>0</v>
      </c>
      <c r="BG78" s="100">
        <v>0.16</v>
      </c>
      <c r="BH78" s="101">
        <v>0.48</v>
      </c>
      <c r="BI78" s="102">
        <v>0.22</v>
      </c>
      <c r="BJ78" s="100">
        <v>0.22</v>
      </c>
      <c r="BK78" s="100">
        <v>0.21</v>
      </c>
      <c r="BL78" s="101">
        <v>0.66</v>
      </c>
      <c r="BM78" s="102">
        <v>0.71</v>
      </c>
      <c r="BN78" s="100">
        <v>0.47</v>
      </c>
      <c r="BO78" s="100">
        <v>0.82</v>
      </c>
      <c r="BP78" s="100">
        <v>1.03</v>
      </c>
      <c r="BQ78" s="100">
        <v>0.79</v>
      </c>
      <c r="BR78" s="100">
        <v>0.3</v>
      </c>
      <c r="BS78" s="100">
        <v>1.22</v>
      </c>
      <c r="BT78" s="100">
        <v>0.85</v>
      </c>
      <c r="BU78" s="101">
        <v>0.63</v>
      </c>
      <c r="BV78" s="79">
        <v>10190400</v>
      </c>
      <c r="BW78" s="87">
        <v>200</v>
      </c>
      <c r="BX78" s="87">
        <v>3088</v>
      </c>
      <c r="BY78" s="92">
        <v>22</v>
      </c>
      <c r="BZ78" s="187">
        <v>6.2</v>
      </c>
      <c r="CA78" s="97">
        <v>5.9100000000000003E-3</v>
      </c>
      <c r="CB78" s="188">
        <v>414</v>
      </c>
      <c r="CC78" s="96">
        <v>1.17E-3</v>
      </c>
      <c r="CD78" s="188">
        <v>321</v>
      </c>
      <c r="CE78" s="104">
        <f t="shared" si="5"/>
        <v>1.101036269430052E-3</v>
      </c>
      <c r="CF78" s="105">
        <f t="shared" si="3"/>
        <v>0.41</v>
      </c>
    </row>
    <row r="79" spans="1:84" x14ac:dyDescent="0.25">
      <c r="A79" s="127">
        <v>78</v>
      </c>
      <c r="B79" s="107"/>
      <c r="C79" s="108" t="s">
        <v>295</v>
      </c>
      <c r="D79" s="132">
        <v>2640</v>
      </c>
      <c r="E79" s="129">
        <v>3860</v>
      </c>
      <c r="F79" s="189">
        <f t="shared" si="4"/>
        <v>10190400</v>
      </c>
      <c r="G79" s="129">
        <v>200</v>
      </c>
      <c r="H79" s="129">
        <v>3088</v>
      </c>
      <c r="I79" s="130">
        <v>0.68</v>
      </c>
      <c r="J79" s="132">
        <v>13.8</v>
      </c>
      <c r="K79" s="130">
        <v>12.6</v>
      </c>
      <c r="L79" s="115">
        <v>22</v>
      </c>
      <c r="M79" s="163">
        <v>0.34</v>
      </c>
      <c r="N79" s="189">
        <v>5.2</v>
      </c>
      <c r="O79" s="117" t="s">
        <v>206</v>
      </c>
      <c r="P79" s="118" t="s">
        <v>216</v>
      </c>
      <c r="Q79" s="119">
        <v>3.6999999999999999E-4</v>
      </c>
      <c r="R79" s="120">
        <v>4.6699999999999997E-3</v>
      </c>
      <c r="S79" s="120">
        <v>5.9100000000000003E-3</v>
      </c>
      <c r="T79" s="190">
        <v>414</v>
      </c>
      <c r="U79" s="121">
        <v>1220</v>
      </c>
      <c r="V79" s="119">
        <v>1.17E-3</v>
      </c>
      <c r="W79" s="190">
        <v>321</v>
      </c>
      <c r="X79" s="121">
        <v>1220</v>
      </c>
      <c r="Y79" s="165">
        <v>0.7</v>
      </c>
      <c r="Z79" s="122">
        <v>1</v>
      </c>
      <c r="AA79" s="113">
        <v>9.3000000000000007</v>
      </c>
      <c r="AB79" s="111">
        <v>29</v>
      </c>
      <c r="AC79" s="114">
        <v>3.1</v>
      </c>
      <c r="AD79" s="117" t="s">
        <v>229</v>
      </c>
      <c r="AE79" s="180">
        <v>0.25</v>
      </c>
      <c r="AF79" s="125">
        <v>0.24</v>
      </c>
      <c r="AG79" s="123">
        <v>0.15</v>
      </c>
      <c r="AH79" s="123">
        <v>0.18</v>
      </c>
      <c r="AI79" s="124">
        <v>0.56000000000000005</v>
      </c>
      <c r="AJ79" s="125">
        <v>0.41</v>
      </c>
      <c r="AK79" s="123">
        <v>0.47</v>
      </c>
      <c r="AL79" s="123">
        <v>0</v>
      </c>
      <c r="AM79" s="124">
        <v>0.87</v>
      </c>
      <c r="AN79" s="125">
        <v>0.17</v>
      </c>
      <c r="AO79" s="123">
        <v>0.24</v>
      </c>
      <c r="AP79" s="123">
        <v>0.25</v>
      </c>
      <c r="AQ79" s="124">
        <v>0.67</v>
      </c>
      <c r="AR79" s="125">
        <v>0.38</v>
      </c>
      <c r="AS79" s="123">
        <v>0.18</v>
      </c>
      <c r="AT79" s="123">
        <v>0.18</v>
      </c>
      <c r="AU79" s="124">
        <v>0.36</v>
      </c>
      <c r="AV79" s="125">
        <v>0.14000000000000001</v>
      </c>
      <c r="AW79" s="123">
        <v>0.37</v>
      </c>
      <c r="AX79" s="123">
        <v>0</v>
      </c>
      <c r="AY79" s="124">
        <v>0.51</v>
      </c>
      <c r="AZ79" s="125">
        <v>0.12</v>
      </c>
      <c r="BA79" s="123">
        <v>1.18</v>
      </c>
      <c r="BB79" s="123">
        <v>0.05</v>
      </c>
      <c r="BC79" s="124">
        <v>1.36</v>
      </c>
      <c r="BD79" s="126">
        <v>0.31</v>
      </c>
      <c r="BE79" s="125">
        <v>0.25</v>
      </c>
      <c r="BF79" s="123">
        <v>0</v>
      </c>
      <c r="BG79" s="123">
        <v>0.16</v>
      </c>
      <c r="BH79" s="124">
        <v>0.41</v>
      </c>
      <c r="BI79" s="125">
        <v>0.17</v>
      </c>
      <c r="BJ79" s="123">
        <v>0.22</v>
      </c>
      <c r="BK79" s="123">
        <v>0.21</v>
      </c>
      <c r="BL79" s="124">
        <v>0.6</v>
      </c>
      <c r="BM79" s="125">
        <v>0.44</v>
      </c>
      <c r="BN79" s="123">
        <v>0.28000000000000003</v>
      </c>
      <c r="BO79" s="123">
        <v>0.37</v>
      </c>
      <c r="BP79" s="123">
        <v>0.68</v>
      </c>
      <c r="BQ79" s="123">
        <v>0.48</v>
      </c>
      <c r="BR79" s="123">
        <v>0.18</v>
      </c>
      <c r="BS79" s="123">
        <v>0.8</v>
      </c>
      <c r="BT79" s="123">
        <v>0.6</v>
      </c>
      <c r="BU79" s="124">
        <v>0.41</v>
      </c>
      <c r="BV79" s="79">
        <v>10190400</v>
      </c>
      <c r="BW79" s="129">
        <v>200</v>
      </c>
      <c r="BX79" s="129">
        <v>3088</v>
      </c>
      <c r="BY79" s="115">
        <v>22</v>
      </c>
      <c r="BZ79" s="189">
        <v>5.2</v>
      </c>
      <c r="CA79" s="120">
        <v>5.9100000000000003E-3</v>
      </c>
      <c r="CB79" s="190">
        <v>414</v>
      </c>
      <c r="CC79" s="119">
        <v>1.17E-3</v>
      </c>
      <c r="CD79" s="190">
        <v>321</v>
      </c>
      <c r="CE79" s="104">
        <f t="shared" si="5"/>
        <v>7.7720207253886007E-4</v>
      </c>
      <c r="CF79" s="105">
        <f t="shared" si="3"/>
        <v>0.25</v>
      </c>
    </row>
    <row r="80" spans="1:84" x14ac:dyDescent="0.25">
      <c r="A80" s="127">
        <v>79</v>
      </c>
      <c r="B80" s="107"/>
      <c r="C80" s="108" t="s">
        <v>296</v>
      </c>
      <c r="D80" s="132">
        <v>2640</v>
      </c>
      <c r="E80" s="129">
        <v>3860</v>
      </c>
      <c r="F80" s="189">
        <f t="shared" si="4"/>
        <v>10190400</v>
      </c>
      <c r="G80" s="129">
        <v>200</v>
      </c>
      <c r="H80" s="129">
        <v>3088</v>
      </c>
      <c r="I80" s="130">
        <v>0.68</v>
      </c>
      <c r="J80" s="132">
        <v>13.8</v>
      </c>
      <c r="K80" s="130">
        <v>25.8</v>
      </c>
      <c r="L80" s="115">
        <v>22</v>
      </c>
      <c r="M80" s="163">
        <v>0.44</v>
      </c>
      <c r="N80" s="189">
        <v>6.2</v>
      </c>
      <c r="O80" s="117" t="s">
        <v>206</v>
      </c>
      <c r="P80" s="118" t="s">
        <v>216</v>
      </c>
      <c r="Q80" s="119">
        <v>3.6999999999999999E-4</v>
      </c>
      <c r="R80" s="120">
        <v>4.6699999999999997E-3</v>
      </c>
      <c r="S80" s="120">
        <v>5.9100000000000003E-3</v>
      </c>
      <c r="T80" s="190">
        <v>414</v>
      </c>
      <c r="U80" s="121">
        <v>1220</v>
      </c>
      <c r="V80" s="119">
        <v>1.17E-3</v>
      </c>
      <c r="W80" s="190">
        <v>321</v>
      </c>
      <c r="X80" s="121">
        <v>1220</v>
      </c>
      <c r="Y80" s="122">
        <v>0</v>
      </c>
      <c r="Z80" s="115">
        <v>0.5</v>
      </c>
      <c r="AA80" s="113">
        <v>9.3000000000000007</v>
      </c>
      <c r="AB80" s="111">
        <v>29</v>
      </c>
      <c r="AC80" s="114">
        <v>3.1</v>
      </c>
      <c r="AD80" s="117" t="s">
        <v>229</v>
      </c>
      <c r="AE80" s="180">
        <v>0.31</v>
      </c>
      <c r="AF80" s="125">
        <v>0.34</v>
      </c>
      <c r="AG80" s="123">
        <v>0.15</v>
      </c>
      <c r="AH80" s="123">
        <v>0</v>
      </c>
      <c r="AI80" s="124">
        <v>0.49</v>
      </c>
      <c r="AJ80" s="125">
        <v>0.21</v>
      </c>
      <c r="AK80" s="123">
        <v>0.47</v>
      </c>
      <c r="AL80" s="123">
        <v>0</v>
      </c>
      <c r="AM80" s="124">
        <v>0.68</v>
      </c>
      <c r="AN80" s="125">
        <v>0.22</v>
      </c>
      <c r="AO80" s="123">
        <v>0.24</v>
      </c>
      <c r="AP80" s="123">
        <v>0</v>
      </c>
      <c r="AQ80" s="124">
        <v>0.46</v>
      </c>
      <c r="AR80" s="125">
        <v>0.53</v>
      </c>
      <c r="AS80" s="123">
        <v>0.18</v>
      </c>
      <c r="AT80" s="123">
        <v>0</v>
      </c>
      <c r="AU80" s="124">
        <v>0.4</v>
      </c>
      <c r="AV80" s="125">
        <v>0.22</v>
      </c>
      <c r="AW80" s="123">
        <v>0.37</v>
      </c>
      <c r="AX80" s="123">
        <v>0</v>
      </c>
      <c r="AY80" s="124">
        <v>0.59</v>
      </c>
      <c r="AZ80" s="125">
        <v>0.13</v>
      </c>
      <c r="BA80" s="123">
        <v>1.18</v>
      </c>
      <c r="BB80" s="123">
        <v>0</v>
      </c>
      <c r="BC80" s="124">
        <v>1.31</v>
      </c>
      <c r="BD80" s="126">
        <v>0.38</v>
      </c>
      <c r="BE80" s="125">
        <v>0.64</v>
      </c>
      <c r="BF80" s="123">
        <v>0</v>
      </c>
      <c r="BG80" s="123">
        <v>0</v>
      </c>
      <c r="BH80" s="124">
        <v>0.64</v>
      </c>
      <c r="BI80" s="125">
        <v>0.22</v>
      </c>
      <c r="BJ80" s="123">
        <v>0.22</v>
      </c>
      <c r="BK80" s="123">
        <v>0</v>
      </c>
      <c r="BL80" s="124">
        <v>0.45</v>
      </c>
      <c r="BM80" s="125">
        <v>0.64</v>
      </c>
      <c r="BN80" s="123">
        <v>0.46</v>
      </c>
      <c r="BO80" s="123">
        <v>0.68</v>
      </c>
      <c r="BP80" s="123">
        <v>0.78</v>
      </c>
      <c r="BQ80" s="123">
        <v>0.53</v>
      </c>
      <c r="BR80" s="123">
        <v>0.24</v>
      </c>
      <c r="BS80" s="123">
        <v>0.82</v>
      </c>
      <c r="BT80" s="123">
        <v>0.48</v>
      </c>
      <c r="BU80" s="124">
        <v>0.7</v>
      </c>
      <c r="BV80" s="79">
        <v>10190400</v>
      </c>
      <c r="BW80" s="129">
        <v>200</v>
      </c>
      <c r="BX80" s="129">
        <v>3088</v>
      </c>
      <c r="BY80" s="115">
        <v>22</v>
      </c>
      <c r="BZ80" s="189">
        <v>6.2</v>
      </c>
      <c r="CA80" s="120">
        <v>5.9100000000000003E-3</v>
      </c>
      <c r="CB80" s="190">
        <v>414</v>
      </c>
      <c r="CC80" s="119">
        <v>1.17E-3</v>
      </c>
      <c r="CD80" s="190">
        <v>321</v>
      </c>
      <c r="CE80" s="104">
        <f t="shared" si="5"/>
        <v>6.2176165803108803E-4</v>
      </c>
      <c r="CF80" s="105">
        <f t="shared" si="3"/>
        <v>0.31</v>
      </c>
    </row>
    <row r="81" spans="1:84" x14ac:dyDescent="0.25">
      <c r="A81" s="133">
        <v>80</v>
      </c>
      <c r="B81" s="134"/>
      <c r="C81" s="135" t="s">
        <v>297</v>
      </c>
      <c r="D81" s="136">
        <v>2640</v>
      </c>
      <c r="E81" s="137">
        <v>3860</v>
      </c>
      <c r="F81" s="191">
        <f t="shared" si="4"/>
        <v>10190400</v>
      </c>
      <c r="G81" s="137">
        <v>200</v>
      </c>
      <c r="H81" s="137">
        <v>3088</v>
      </c>
      <c r="I81" s="139">
        <v>0.68</v>
      </c>
      <c r="J81" s="140">
        <v>13.8</v>
      </c>
      <c r="K81" s="141">
        <v>12.6</v>
      </c>
      <c r="L81" s="142">
        <v>22</v>
      </c>
      <c r="M81" s="171">
        <v>0.34</v>
      </c>
      <c r="N81" s="191">
        <v>5.2</v>
      </c>
      <c r="O81" s="144" t="s">
        <v>206</v>
      </c>
      <c r="P81" s="145" t="s">
        <v>216</v>
      </c>
      <c r="Q81" s="146">
        <v>3.6999999999999999E-4</v>
      </c>
      <c r="R81" s="147">
        <v>4.6699999999999997E-3</v>
      </c>
      <c r="S81" s="147">
        <v>5.9100000000000003E-3</v>
      </c>
      <c r="T81" s="192">
        <v>414</v>
      </c>
      <c r="U81" s="148">
        <v>1220</v>
      </c>
      <c r="V81" s="146">
        <v>1.17E-3</v>
      </c>
      <c r="W81" s="192">
        <v>321</v>
      </c>
      <c r="X81" s="148">
        <v>1220</v>
      </c>
      <c r="Y81" s="149">
        <v>0</v>
      </c>
      <c r="Z81" s="142">
        <v>0.5</v>
      </c>
      <c r="AA81" s="140">
        <v>8.9</v>
      </c>
      <c r="AB81" s="138">
        <v>29</v>
      </c>
      <c r="AC81" s="141">
        <v>3.3</v>
      </c>
      <c r="AD81" s="117" t="s">
        <v>229</v>
      </c>
      <c r="AE81" s="182">
        <v>0.3</v>
      </c>
      <c r="AF81" s="152">
        <v>0.31</v>
      </c>
      <c r="AG81" s="150">
        <v>0.15</v>
      </c>
      <c r="AH81" s="150">
        <v>0</v>
      </c>
      <c r="AI81" s="151">
        <v>0.46</v>
      </c>
      <c r="AJ81" s="152">
        <v>0.21</v>
      </c>
      <c r="AK81" s="150">
        <v>0.47</v>
      </c>
      <c r="AL81" s="150">
        <v>0</v>
      </c>
      <c r="AM81" s="151">
        <v>0.68</v>
      </c>
      <c r="AN81" s="152">
        <v>0.16</v>
      </c>
      <c r="AO81" s="150">
        <v>0.24</v>
      </c>
      <c r="AP81" s="150">
        <v>0</v>
      </c>
      <c r="AQ81" s="151">
        <v>0.4</v>
      </c>
      <c r="AR81" s="152">
        <v>0.48</v>
      </c>
      <c r="AS81" s="150">
        <v>0.18</v>
      </c>
      <c r="AT81" s="150">
        <v>0</v>
      </c>
      <c r="AU81" s="151">
        <v>0.36</v>
      </c>
      <c r="AV81" s="152">
        <v>0.2</v>
      </c>
      <c r="AW81" s="150">
        <v>0.37</v>
      </c>
      <c r="AX81" s="150">
        <v>0</v>
      </c>
      <c r="AY81" s="151">
        <v>0.57999999999999996</v>
      </c>
      <c r="AZ81" s="152">
        <v>0.12</v>
      </c>
      <c r="BA81" s="150">
        <v>1.18</v>
      </c>
      <c r="BB81" s="150">
        <v>0</v>
      </c>
      <c r="BC81" s="151">
        <v>1.31</v>
      </c>
      <c r="BD81" s="153">
        <v>0.35</v>
      </c>
      <c r="BE81" s="152">
        <v>0.5</v>
      </c>
      <c r="BF81" s="150">
        <v>0</v>
      </c>
      <c r="BG81" s="150">
        <v>0</v>
      </c>
      <c r="BH81" s="151">
        <v>0.5</v>
      </c>
      <c r="BI81" s="152">
        <v>0.17</v>
      </c>
      <c r="BJ81" s="150">
        <v>0.22</v>
      </c>
      <c r="BK81" s="150">
        <v>0</v>
      </c>
      <c r="BL81" s="151">
        <v>0.39</v>
      </c>
      <c r="BM81" s="152">
        <v>0.65</v>
      </c>
      <c r="BN81" s="150">
        <v>0.44</v>
      </c>
      <c r="BO81" s="150">
        <v>0.75</v>
      </c>
      <c r="BP81" s="150">
        <v>0.82</v>
      </c>
      <c r="BQ81" s="150">
        <v>0.52</v>
      </c>
      <c r="BR81" s="150">
        <v>0.23</v>
      </c>
      <c r="BS81" s="150">
        <v>0.86</v>
      </c>
      <c r="BT81" s="150">
        <v>0.6</v>
      </c>
      <c r="BU81" s="151">
        <v>0.76</v>
      </c>
      <c r="BV81" s="79">
        <v>10190400</v>
      </c>
      <c r="BW81" s="137">
        <v>200</v>
      </c>
      <c r="BX81" s="137">
        <v>3088</v>
      </c>
      <c r="BY81" s="142">
        <v>22</v>
      </c>
      <c r="BZ81" s="191">
        <v>5.2</v>
      </c>
      <c r="CA81" s="147">
        <v>5.9100000000000003E-3</v>
      </c>
      <c r="CB81" s="192">
        <v>414</v>
      </c>
      <c r="CC81" s="146">
        <v>1.17E-3</v>
      </c>
      <c r="CD81" s="192">
        <v>321</v>
      </c>
      <c r="CE81" s="184">
        <f t="shared" si="5"/>
        <v>7.7720207253886007E-4</v>
      </c>
      <c r="CF81" s="185">
        <f t="shared" si="3"/>
        <v>0.3</v>
      </c>
    </row>
    <row r="82" spans="1:84" ht="14.25" hidden="1" customHeight="1" x14ac:dyDescent="0.25">
      <c r="A82" s="83">
        <v>81</v>
      </c>
      <c r="B82" s="84" t="s">
        <v>298</v>
      </c>
      <c r="C82" s="85" t="s">
        <v>299</v>
      </c>
      <c r="D82" s="86">
        <v>800</v>
      </c>
      <c r="E82" s="87">
        <v>1206</v>
      </c>
      <c r="F82" s="88">
        <f t="shared" si="4"/>
        <v>964800</v>
      </c>
      <c r="G82" s="87">
        <v>93</v>
      </c>
      <c r="H82" s="88">
        <v>964.8</v>
      </c>
      <c r="I82" s="89">
        <v>0.66</v>
      </c>
      <c r="J82" s="90">
        <v>12.1</v>
      </c>
      <c r="K82" s="91">
        <v>3.8</v>
      </c>
      <c r="L82" s="92">
        <v>3.8</v>
      </c>
      <c r="M82" s="93">
        <v>0.19</v>
      </c>
      <c r="N82" s="88">
        <v>6</v>
      </c>
      <c r="O82" s="94" t="s">
        <v>215</v>
      </c>
      <c r="P82" s="95" t="s">
        <v>216</v>
      </c>
      <c r="Q82" s="96">
        <v>3.3E-4</v>
      </c>
      <c r="R82" s="97">
        <v>6.4999999999999997E-4</v>
      </c>
      <c r="S82" s="97">
        <v>9.7999999999999997E-4</v>
      </c>
      <c r="T82" s="87">
        <v>580</v>
      </c>
      <c r="U82" s="98">
        <v>603</v>
      </c>
      <c r="V82" s="96">
        <v>9.3999999999999997E-4</v>
      </c>
      <c r="W82" s="87">
        <v>580</v>
      </c>
      <c r="X82" s="95" t="s">
        <v>300</v>
      </c>
      <c r="Y82" s="158">
        <v>1.3</v>
      </c>
      <c r="Z82" s="92">
        <v>0.5</v>
      </c>
      <c r="AA82" s="90">
        <v>0.8</v>
      </c>
      <c r="AB82" s="88">
        <v>4.7</v>
      </c>
      <c r="AC82" s="91">
        <v>6</v>
      </c>
      <c r="AD82" s="100">
        <v>0.37</v>
      </c>
      <c r="AE82" s="101">
        <v>0.47</v>
      </c>
      <c r="AF82" s="102">
        <v>0.66</v>
      </c>
      <c r="AG82" s="100">
        <v>0.22</v>
      </c>
      <c r="AH82" s="100">
        <v>0.33</v>
      </c>
      <c r="AI82" s="101">
        <v>1.1299999999999999</v>
      </c>
      <c r="AJ82" s="102">
        <v>0.08</v>
      </c>
      <c r="AK82" s="100">
        <v>0.49</v>
      </c>
      <c r="AL82" s="100">
        <v>0</v>
      </c>
      <c r="AM82" s="101">
        <v>0.57999999999999996</v>
      </c>
      <c r="AN82" s="102">
        <v>0</v>
      </c>
      <c r="AO82" s="100">
        <v>0.35</v>
      </c>
      <c r="AP82" s="100">
        <v>1.2</v>
      </c>
      <c r="AQ82" s="101">
        <v>1.1000000000000001</v>
      </c>
      <c r="AR82" s="102">
        <v>0.52</v>
      </c>
      <c r="AS82" s="100">
        <v>0.26</v>
      </c>
      <c r="AT82" s="100">
        <v>0.33</v>
      </c>
      <c r="AU82" s="101">
        <v>0.78</v>
      </c>
      <c r="AV82" s="102">
        <v>0.43</v>
      </c>
      <c r="AW82" s="100">
        <v>0.55000000000000004</v>
      </c>
      <c r="AX82" s="100">
        <v>0</v>
      </c>
      <c r="AY82" s="101">
        <v>0.98</v>
      </c>
      <c r="AZ82" s="102">
        <v>0.12</v>
      </c>
      <c r="BA82" s="100">
        <v>0.8</v>
      </c>
      <c r="BB82" s="100">
        <v>0.09</v>
      </c>
      <c r="BC82" s="101">
        <v>1.01</v>
      </c>
      <c r="BD82" s="103">
        <v>0.37</v>
      </c>
      <c r="BE82" s="102">
        <v>0.28999999999999998</v>
      </c>
      <c r="BF82" s="100">
        <v>0</v>
      </c>
      <c r="BG82" s="100">
        <v>0.3</v>
      </c>
      <c r="BH82" s="101">
        <v>0.59</v>
      </c>
      <c r="BI82" s="102">
        <v>0.1</v>
      </c>
      <c r="BJ82" s="100">
        <v>0.33</v>
      </c>
      <c r="BK82" s="100">
        <v>0.39</v>
      </c>
      <c r="BL82" s="101">
        <v>0.81</v>
      </c>
      <c r="BM82" s="102">
        <v>0.42</v>
      </c>
      <c r="BN82" s="100">
        <v>0.82</v>
      </c>
      <c r="BO82" s="100">
        <v>0.43</v>
      </c>
      <c r="BP82" s="100">
        <v>0.6</v>
      </c>
      <c r="BQ82" s="100">
        <v>0.48</v>
      </c>
      <c r="BR82" s="100">
        <v>0.46</v>
      </c>
      <c r="BS82" s="100">
        <v>1.26</v>
      </c>
      <c r="BT82" s="100">
        <v>0.8</v>
      </c>
      <c r="BU82" s="101">
        <v>0.57999999999999996</v>
      </c>
      <c r="BV82" s="79">
        <v>964800</v>
      </c>
      <c r="BW82" s="87">
        <v>93</v>
      </c>
      <c r="BX82" s="88">
        <v>964.8</v>
      </c>
      <c r="BY82" s="92">
        <v>3.8</v>
      </c>
      <c r="BZ82" s="88">
        <v>6</v>
      </c>
      <c r="CA82" s="97">
        <v>9.7999999999999997E-4</v>
      </c>
      <c r="CB82" s="87">
        <v>580</v>
      </c>
      <c r="CC82" s="96">
        <v>9.3999999999999997E-4</v>
      </c>
      <c r="CD82" s="87">
        <v>580</v>
      </c>
      <c r="CE82" s="104">
        <f t="shared" si="5"/>
        <v>7.1327948073253806E-3</v>
      </c>
      <c r="CF82" s="105">
        <f t="shared" si="3"/>
        <v>0.47</v>
      </c>
    </row>
    <row r="83" spans="1:84" hidden="1" x14ac:dyDescent="0.25">
      <c r="A83" s="106">
        <v>82</v>
      </c>
      <c r="B83" s="107"/>
      <c r="C83" s="108" t="s">
        <v>301</v>
      </c>
      <c r="D83" s="109">
        <v>800</v>
      </c>
      <c r="E83" s="110">
        <v>1208</v>
      </c>
      <c r="F83" s="111">
        <f t="shared" si="4"/>
        <v>966400</v>
      </c>
      <c r="G83" s="110">
        <v>93</v>
      </c>
      <c r="H83" s="111">
        <v>966.4</v>
      </c>
      <c r="I83" s="112">
        <v>0.66</v>
      </c>
      <c r="J83" s="113">
        <v>12.1</v>
      </c>
      <c r="K83" s="114">
        <v>7.1</v>
      </c>
      <c r="L83" s="115">
        <v>7.1</v>
      </c>
      <c r="M83" s="116">
        <v>0.19</v>
      </c>
      <c r="N83" s="111">
        <v>6</v>
      </c>
      <c r="O83" s="117" t="s">
        <v>215</v>
      </c>
      <c r="P83" s="118" t="s">
        <v>216</v>
      </c>
      <c r="Q83" s="119">
        <v>3.3E-4</v>
      </c>
      <c r="R83" s="120">
        <v>6.4999999999999997E-4</v>
      </c>
      <c r="S83" s="120">
        <v>9.7999999999999997E-4</v>
      </c>
      <c r="T83" s="110">
        <v>580</v>
      </c>
      <c r="U83" s="121">
        <v>604</v>
      </c>
      <c r="V83" s="119">
        <v>9.3999999999999997E-4</v>
      </c>
      <c r="W83" s="110">
        <v>580</v>
      </c>
      <c r="X83" s="118" t="s">
        <v>300</v>
      </c>
      <c r="Y83" s="165">
        <v>1.3</v>
      </c>
      <c r="Z83" s="115">
        <v>0.5</v>
      </c>
      <c r="AA83" s="113">
        <v>0.7</v>
      </c>
      <c r="AB83" s="111">
        <v>4.8</v>
      </c>
      <c r="AC83" s="114">
        <v>6.9</v>
      </c>
      <c r="AD83" s="123">
        <v>0.33</v>
      </c>
      <c r="AE83" s="124">
        <v>0.56999999999999995</v>
      </c>
      <c r="AF83" s="125">
        <v>0.66</v>
      </c>
      <c r="AG83" s="123">
        <v>0.22</v>
      </c>
      <c r="AH83" s="123">
        <v>0.33</v>
      </c>
      <c r="AI83" s="124">
        <v>1.1299999999999999</v>
      </c>
      <c r="AJ83" s="125">
        <v>0.13</v>
      </c>
      <c r="AK83" s="123">
        <v>0.49</v>
      </c>
      <c r="AL83" s="123">
        <v>0</v>
      </c>
      <c r="AM83" s="124">
        <v>0.62</v>
      </c>
      <c r="AN83" s="125">
        <v>0</v>
      </c>
      <c r="AO83" s="123">
        <v>0.35</v>
      </c>
      <c r="AP83" s="123">
        <v>1.21</v>
      </c>
      <c r="AQ83" s="124">
        <v>1.1000000000000001</v>
      </c>
      <c r="AR83" s="125">
        <v>0.52</v>
      </c>
      <c r="AS83" s="123">
        <v>0.26</v>
      </c>
      <c r="AT83" s="123">
        <v>0.33</v>
      </c>
      <c r="AU83" s="124">
        <v>0.78</v>
      </c>
      <c r="AV83" s="125">
        <v>0.43</v>
      </c>
      <c r="AW83" s="123">
        <v>0.55000000000000004</v>
      </c>
      <c r="AX83" s="123">
        <v>0</v>
      </c>
      <c r="AY83" s="124">
        <v>0.98</v>
      </c>
      <c r="AZ83" s="125">
        <v>0.12</v>
      </c>
      <c r="BA83" s="123">
        <v>0.8</v>
      </c>
      <c r="BB83" s="123">
        <v>0.09</v>
      </c>
      <c r="BC83" s="124">
        <v>1.01</v>
      </c>
      <c r="BD83" s="126">
        <v>0.37</v>
      </c>
      <c r="BE83" s="125">
        <v>0.28999999999999998</v>
      </c>
      <c r="BF83" s="123">
        <v>0</v>
      </c>
      <c r="BG83" s="123">
        <v>0.3</v>
      </c>
      <c r="BH83" s="124">
        <v>0.59</v>
      </c>
      <c r="BI83" s="125">
        <v>0.1</v>
      </c>
      <c r="BJ83" s="123">
        <v>0.33</v>
      </c>
      <c r="BK83" s="123">
        <v>0.39</v>
      </c>
      <c r="BL83" s="124">
        <v>0.81</v>
      </c>
      <c r="BM83" s="125">
        <v>0.5</v>
      </c>
      <c r="BN83" s="123">
        <v>0.91</v>
      </c>
      <c r="BO83" s="123">
        <v>0.52</v>
      </c>
      <c r="BP83" s="123">
        <v>0.73</v>
      </c>
      <c r="BQ83" s="123">
        <v>0.57999999999999996</v>
      </c>
      <c r="BR83" s="123">
        <v>0.56000000000000005</v>
      </c>
      <c r="BS83" s="123">
        <v>1.51</v>
      </c>
      <c r="BT83" s="123">
        <v>0.97</v>
      </c>
      <c r="BU83" s="124">
        <v>0.7</v>
      </c>
      <c r="BV83" s="79">
        <v>966400</v>
      </c>
      <c r="BW83" s="110">
        <v>93</v>
      </c>
      <c r="BX83" s="111">
        <v>966.4</v>
      </c>
      <c r="BY83" s="115">
        <v>7.1</v>
      </c>
      <c r="BZ83" s="111">
        <v>6</v>
      </c>
      <c r="CA83" s="120">
        <v>9.7999999999999997E-4</v>
      </c>
      <c r="CB83" s="110">
        <v>580</v>
      </c>
      <c r="CC83" s="119">
        <v>9.3999999999999997E-4</v>
      </c>
      <c r="CD83" s="110">
        <v>580</v>
      </c>
      <c r="CE83" s="104">
        <f t="shared" si="5"/>
        <v>8.6341949725842054E-3</v>
      </c>
      <c r="CF83" s="105">
        <f t="shared" si="3"/>
        <v>0.56999999999999995</v>
      </c>
    </row>
    <row r="84" spans="1:84" hidden="1" x14ac:dyDescent="0.25">
      <c r="A84" s="127">
        <v>83</v>
      </c>
      <c r="B84" s="107"/>
      <c r="C84" s="108" t="s">
        <v>302</v>
      </c>
      <c r="D84" s="132">
        <v>800</v>
      </c>
      <c r="E84" s="129">
        <v>1206</v>
      </c>
      <c r="F84" s="111">
        <f t="shared" si="4"/>
        <v>964800</v>
      </c>
      <c r="G84" s="129">
        <v>93</v>
      </c>
      <c r="H84" s="129">
        <v>964.8</v>
      </c>
      <c r="I84" s="130">
        <v>0.66</v>
      </c>
      <c r="J84" s="132">
        <v>12.1</v>
      </c>
      <c r="K84" s="130">
        <v>8.6</v>
      </c>
      <c r="L84" s="115">
        <v>8.6</v>
      </c>
      <c r="M84" s="116">
        <v>0.19</v>
      </c>
      <c r="N84" s="111">
        <v>6</v>
      </c>
      <c r="O84" s="117" t="s">
        <v>215</v>
      </c>
      <c r="P84" s="118" t="s">
        <v>216</v>
      </c>
      <c r="Q84" s="119">
        <v>3.3E-4</v>
      </c>
      <c r="R84" s="120">
        <v>6.4999999999999997E-4</v>
      </c>
      <c r="S84" s="120">
        <v>9.7999999999999997E-4</v>
      </c>
      <c r="T84" s="110">
        <v>580</v>
      </c>
      <c r="U84" s="121">
        <v>603</v>
      </c>
      <c r="V84" s="119">
        <v>9.3999999999999997E-4</v>
      </c>
      <c r="W84" s="110">
        <v>580</v>
      </c>
      <c r="X84" s="118" t="s">
        <v>300</v>
      </c>
      <c r="Y84" s="165">
        <v>0.56000000000000005</v>
      </c>
      <c r="Z84" s="115">
        <v>0.5</v>
      </c>
      <c r="AA84" s="113">
        <v>1.3</v>
      </c>
      <c r="AB84" s="111">
        <v>4.8</v>
      </c>
      <c r="AC84" s="114">
        <v>3.7</v>
      </c>
      <c r="AD84" s="123">
        <v>0.66</v>
      </c>
      <c r="AE84" s="124">
        <v>0.83</v>
      </c>
      <c r="AF84" s="125">
        <v>0.66</v>
      </c>
      <c r="AG84" s="123">
        <v>0.22</v>
      </c>
      <c r="AH84" s="123">
        <v>0.14000000000000001</v>
      </c>
      <c r="AI84" s="124">
        <v>1.02</v>
      </c>
      <c r="AJ84" s="125">
        <v>0.15</v>
      </c>
      <c r="AK84" s="123">
        <v>0.49</v>
      </c>
      <c r="AL84" s="123">
        <v>0</v>
      </c>
      <c r="AM84" s="124">
        <v>0.64</v>
      </c>
      <c r="AN84" s="125">
        <v>0.06</v>
      </c>
      <c r="AO84" s="123">
        <v>0.35</v>
      </c>
      <c r="AP84" s="123">
        <v>0.55000000000000004</v>
      </c>
      <c r="AQ84" s="124">
        <v>0.97</v>
      </c>
      <c r="AR84" s="125">
        <v>0.52</v>
      </c>
      <c r="AS84" s="123">
        <v>0.26</v>
      </c>
      <c r="AT84" s="123">
        <v>0.14000000000000001</v>
      </c>
      <c r="AU84" s="124">
        <v>0.78</v>
      </c>
      <c r="AV84" s="125">
        <v>0.43</v>
      </c>
      <c r="AW84" s="123">
        <v>0.55000000000000004</v>
      </c>
      <c r="AX84" s="123">
        <v>0</v>
      </c>
      <c r="AY84" s="124">
        <v>0.98</v>
      </c>
      <c r="AZ84" s="125">
        <v>0.12</v>
      </c>
      <c r="BA84" s="123">
        <v>0.8</v>
      </c>
      <c r="BB84" s="123">
        <v>0.04</v>
      </c>
      <c r="BC84" s="124">
        <v>0.96</v>
      </c>
      <c r="BD84" s="126">
        <v>0.37</v>
      </c>
      <c r="BE84" s="125">
        <v>0.28999999999999998</v>
      </c>
      <c r="BF84" s="123">
        <v>0</v>
      </c>
      <c r="BG84" s="123">
        <v>0.13</v>
      </c>
      <c r="BH84" s="124">
        <v>0.42</v>
      </c>
      <c r="BI84" s="125">
        <v>0.1</v>
      </c>
      <c r="BJ84" s="123">
        <v>0.33</v>
      </c>
      <c r="BK84" s="123">
        <v>0.17</v>
      </c>
      <c r="BL84" s="124">
        <v>0.59</v>
      </c>
      <c r="BM84" s="125">
        <v>0.81</v>
      </c>
      <c r="BN84" s="123">
        <v>1.3</v>
      </c>
      <c r="BO84" s="123">
        <v>0.86</v>
      </c>
      <c r="BP84" s="123">
        <v>1.06</v>
      </c>
      <c r="BQ84" s="123">
        <v>0.85</v>
      </c>
      <c r="BR84" s="123">
        <v>0.86</v>
      </c>
      <c r="BS84" s="123">
        <v>2.2200000000000002</v>
      </c>
      <c r="BT84" s="123">
        <v>2</v>
      </c>
      <c r="BU84" s="124">
        <v>1.41</v>
      </c>
      <c r="BV84" s="79">
        <v>964800</v>
      </c>
      <c r="BW84" s="129">
        <v>93</v>
      </c>
      <c r="BX84" s="129">
        <v>964.8</v>
      </c>
      <c r="BY84" s="115">
        <v>8.6</v>
      </c>
      <c r="BZ84" s="111">
        <v>6</v>
      </c>
      <c r="CA84" s="120">
        <v>9.7999999999999997E-4</v>
      </c>
      <c r="CB84" s="110">
        <v>580</v>
      </c>
      <c r="CC84" s="119">
        <v>9.3999999999999997E-4</v>
      </c>
      <c r="CD84" s="110">
        <v>580</v>
      </c>
      <c r="CE84" s="104">
        <f t="shared" si="5"/>
        <v>1.7831987018313452E-2</v>
      </c>
      <c r="CF84" s="105">
        <f t="shared" si="3"/>
        <v>0.83</v>
      </c>
    </row>
    <row r="85" spans="1:84" hidden="1" x14ac:dyDescent="0.25">
      <c r="A85" s="127">
        <v>84</v>
      </c>
      <c r="B85" s="107"/>
      <c r="C85" s="108" t="s">
        <v>303</v>
      </c>
      <c r="D85" s="132">
        <v>800</v>
      </c>
      <c r="E85" s="129">
        <v>1208</v>
      </c>
      <c r="F85" s="111">
        <f t="shared" si="4"/>
        <v>966400</v>
      </c>
      <c r="G85" s="129">
        <v>93</v>
      </c>
      <c r="H85" s="129">
        <v>966.4</v>
      </c>
      <c r="I85" s="130">
        <v>0.66</v>
      </c>
      <c r="J85" s="132">
        <v>12.1</v>
      </c>
      <c r="K85" s="130">
        <v>7.7</v>
      </c>
      <c r="L85" s="115">
        <v>7.7</v>
      </c>
      <c r="M85" s="116">
        <v>0.19</v>
      </c>
      <c r="N85" s="111">
        <v>6</v>
      </c>
      <c r="O85" s="117" t="s">
        <v>215</v>
      </c>
      <c r="P85" s="118" t="s">
        <v>216</v>
      </c>
      <c r="Q85" s="119">
        <v>3.3E-4</v>
      </c>
      <c r="R85" s="120">
        <v>6.4999999999999997E-4</v>
      </c>
      <c r="S85" s="120">
        <v>9.7999999999999997E-4</v>
      </c>
      <c r="T85" s="110">
        <v>580</v>
      </c>
      <c r="U85" s="121">
        <v>604</v>
      </c>
      <c r="V85" s="119">
        <v>9.3999999999999997E-4</v>
      </c>
      <c r="W85" s="110">
        <v>580</v>
      </c>
      <c r="X85" s="118" t="s">
        <v>300</v>
      </c>
      <c r="Y85" s="165">
        <v>0.56000000000000005</v>
      </c>
      <c r="Z85" s="115">
        <v>0.5</v>
      </c>
      <c r="AA85" s="113">
        <v>0.9</v>
      </c>
      <c r="AB85" s="111">
        <v>4.7</v>
      </c>
      <c r="AC85" s="114">
        <v>5.0999999999999996</v>
      </c>
      <c r="AD85" s="123">
        <v>0.78</v>
      </c>
      <c r="AE85" s="124">
        <v>0.83</v>
      </c>
      <c r="AF85" s="125">
        <v>0.66</v>
      </c>
      <c r="AG85" s="123">
        <v>0.22</v>
      </c>
      <c r="AH85" s="123">
        <v>0.14000000000000001</v>
      </c>
      <c r="AI85" s="124">
        <v>1.02</v>
      </c>
      <c r="AJ85" s="125">
        <v>0.14000000000000001</v>
      </c>
      <c r="AK85" s="123">
        <v>0.49</v>
      </c>
      <c r="AL85" s="123">
        <v>0</v>
      </c>
      <c r="AM85" s="124">
        <v>0.63</v>
      </c>
      <c r="AN85" s="125">
        <v>0</v>
      </c>
      <c r="AO85" s="123">
        <v>0.35</v>
      </c>
      <c r="AP85" s="123">
        <v>0.56000000000000005</v>
      </c>
      <c r="AQ85" s="124">
        <v>0.9</v>
      </c>
      <c r="AR85" s="125">
        <v>0.52</v>
      </c>
      <c r="AS85" s="123">
        <v>0.26</v>
      </c>
      <c r="AT85" s="123">
        <v>0.14000000000000001</v>
      </c>
      <c r="AU85" s="124">
        <v>0.78</v>
      </c>
      <c r="AV85" s="125">
        <v>0.43</v>
      </c>
      <c r="AW85" s="123">
        <v>0.55000000000000004</v>
      </c>
      <c r="AX85" s="123">
        <v>0</v>
      </c>
      <c r="AY85" s="124">
        <v>0.98</v>
      </c>
      <c r="AZ85" s="125">
        <v>0.12</v>
      </c>
      <c r="BA85" s="123">
        <v>0.8</v>
      </c>
      <c r="BB85" s="123">
        <v>0.04</v>
      </c>
      <c r="BC85" s="124">
        <v>0.96</v>
      </c>
      <c r="BD85" s="126">
        <v>0.37</v>
      </c>
      <c r="BE85" s="125">
        <v>0.28999999999999998</v>
      </c>
      <c r="BF85" s="123">
        <v>0</v>
      </c>
      <c r="BG85" s="123">
        <v>0.13</v>
      </c>
      <c r="BH85" s="124">
        <v>0.42</v>
      </c>
      <c r="BI85" s="125">
        <v>0.1</v>
      </c>
      <c r="BJ85" s="123">
        <v>0.33</v>
      </c>
      <c r="BK85" s="123">
        <v>0.17</v>
      </c>
      <c r="BL85" s="124">
        <v>0.59</v>
      </c>
      <c r="BM85" s="125">
        <v>0.82</v>
      </c>
      <c r="BN85" s="123">
        <v>1.32</v>
      </c>
      <c r="BO85" s="123">
        <v>0.92</v>
      </c>
      <c r="BP85" s="123">
        <v>1.07</v>
      </c>
      <c r="BQ85" s="123">
        <v>0.85</v>
      </c>
      <c r="BR85" s="123">
        <v>0.87</v>
      </c>
      <c r="BS85" s="123">
        <v>2.2200000000000002</v>
      </c>
      <c r="BT85" s="123">
        <v>2</v>
      </c>
      <c r="BU85" s="124">
        <v>1.41</v>
      </c>
      <c r="BV85" s="79">
        <v>966400</v>
      </c>
      <c r="BW85" s="129">
        <v>93</v>
      </c>
      <c r="BX85" s="129">
        <v>966.4</v>
      </c>
      <c r="BY85" s="115">
        <v>7.7</v>
      </c>
      <c r="BZ85" s="111">
        <v>6</v>
      </c>
      <c r="CA85" s="120">
        <v>9.7999999999999997E-4</v>
      </c>
      <c r="CB85" s="110">
        <v>580</v>
      </c>
      <c r="CC85" s="119">
        <v>9.3999999999999997E-4</v>
      </c>
      <c r="CD85" s="110">
        <v>580</v>
      </c>
      <c r="CE85" s="104">
        <f t="shared" si="5"/>
        <v>1.780246386099836E-2</v>
      </c>
      <c r="CF85" s="105">
        <f t="shared" si="3"/>
        <v>0.83</v>
      </c>
    </row>
    <row r="86" spans="1:84" ht="24" hidden="1" x14ac:dyDescent="0.25">
      <c r="A86" s="106">
        <v>85</v>
      </c>
      <c r="B86" s="107"/>
      <c r="C86" s="108" t="s">
        <v>304</v>
      </c>
      <c r="D86" s="109">
        <v>800</v>
      </c>
      <c r="E86" s="110">
        <v>1206</v>
      </c>
      <c r="F86" s="111">
        <f t="shared" si="4"/>
        <v>964800</v>
      </c>
      <c r="G86" s="110">
        <v>93</v>
      </c>
      <c r="H86" s="111">
        <v>964.8</v>
      </c>
      <c r="I86" s="112">
        <v>0.66</v>
      </c>
      <c r="J86" s="113">
        <v>12.1</v>
      </c>
      <c r="K86" s="114">
        <v>4.8</v>
      </c>
      <c r="L86" s="115">
        <v>4.8</v>
      </c>
      <c r="M86" s="116">
        <v>0.19</v>
      </c>
      <c r="N86" s="111">
        <v>6</v>
      </c>
      <c r="O86" s="117" t="s">
        <v>215</v>
      </c>
      <c r="P86" s="118" t="s">
        <v>216</v>
      </c>
      <c r="Q86" s="119">
        <v>3.3E-4</v>
      </c>
      <c r="R86" s="120">
        <v>6.4999999999999997E-4</v>
      </c>
      <c r="S86" s="120">
        <v>9.7999999999999997E-4</v>
      </c>
      <c r="T86" s="110">
        <v>580</v>
      </c>
      <c r="U86" s="121">
        <v>603</v>
      </c>
      <c r="V86" s="119">
        <v>5.2999999999999998E-4</v>
      </c>
      <c r="W86" s="110">
        <v>580</v>
      </c>
      <c r="X86" s="118" t="s">
        <v>300</v>
      </c>
      <c r="Y86" s="165">
        <v>0.56000000000000005</v>
      </c>
      <c r="Z86" s="115">
        <v>0.5</v>
      </c>
      <c r="AA86" s="113">
        <v>0.7</v>
      </c>
      <c r="AB86" s="111">
        <v>7.7</v>
      </c>
      <c r="AC86" s="114">
        <v>10.7</v>
      </c>
      <c r="AD86" s="123">
        <v>0.44</v>
      </c>
      <c r="AE86" s="124">
        <v>0.61</v>
      </c>
      <c r="AF86" s="125">
        <v>0.66</v>
      </c>
      <c r="AG86" s="123">
        <v>0.12</v>
      </c>
      <c r="AH86" s="123">
        <v>0.14000000000000001</v>
      </c>
      <c r="AI86" s="124">
        <v>0.93</v>
      </c>
      <c r="AJ86" s="125">
        <v>0.1</v>
      </c>
      <c r="AK86" s="123">
        <v>0.28000000000000003</v>
      </c>
      <c r="AL86" s="123">
        <v>0</v>
      </c>
      <c r="AM86" s="124">
        <v>0.38</v>
      </c>
      <c r="AN86" s="125">
        <v>0</v>
      </c>
      <c r="AO86" s="123">
        <v>0.2</v>
      </c>
      <c r="AP86" s="123">
        <v>0.55000000000000004</v>
      </c>
      <c r="AQ86" s="124">
        <v>0.75</v>
      </c>
      <c r="AR86" s="125">
        <v>0.52</v>
      </c>
      <c r="AS86" s="123">
        <v>0.15</v>
      </c>
      <c r="AT86" s="123">
        <v>0.14000000000000001</v>
      </c>
      <c r="AU86" s="124">
        <v>0.78</v>
      </c>
      <c r="AV86" s="125">
        <v>0.43</v>
      </c>
      <c r="AW86" s="123">
        <v>0.31</v>
      </c>
      <c r="AX86" s="123">
        <v>0</v>
      </c>
      <c r="AY86" s="124">
        <v>0.74</v>
      </c>
      <c r="AZ86" s="125">
        <v>0.12</v>
      </c>
      <c r="BA86" s="123">
        <v>0.69</v>
      </c>
      <c r="BB86" s="123">
        <v>0.04</v>
      </c>
      <c r="BC86" s="124">
        <v>0.85</v>
      </c>
      <c r="BD86" s="126">
        <v>0.37</v>
      </c>
      <c r="BE86" s="125">
        <v>0.28999999999999998</v>
      </c>
      <c r="BF86" s="123">
        <v>0</v>
      </c>
      <c r="BG86" s="123">
        <v>0.13</v>
      </c>
      <c r="BH86" s="124">
        <v>0.42</v>
      </c>
      <c r="BI86" s="125">
        <v>0.1</v>
      </c>
      <c r="BJ86" s="123">
        <v>0.18</v>
      </c>
      <c r="BK86" s="123">
        <v>0.17</v>
      </c>
      <c r="BL86" s="124">
        <v>0.45</v>
      </c>
      <c r="BM86" s="125">
        <v>0.66</v>
      </c>
      <c r="BN86" s="123">
        <v>1.62</v>
      </c>
      <c r="BO86" s="123">
        <v>0.81</v>
      </c>
      <c r="BP86" s="123">
        <v>0.78</v>
      </c>
      <c r="BQ86" s="123">
        <v>0.83</v>
      </c>
      <c r="BR86" s="123">
        <v>0.72</v>
      </c>
      <c r="BS86" s="123">
        <v>1.63</v>
      </c>
      <c r="BT86" s="123">
        <v>1.47</v>
      </c>
      <c r="BU86" s="124">
        <v>1.37</v>
      </c>
      <c r="BV86" s="79">
        <v>964800</v>
      </c>
      <c r="BW86" s="110">
        <v>93</v>
      </c>
      <c r="BX86" s="111">
        <v>964.8</v>
      </c>
      <c r="BY86" s="115">
        <v>4.8</v>
      </c>
      <c r="BZ86" s="111">
        <v>6</v>
      </c>
      <c r="CA86" s="120">
        <v>9.7999999999999997E-4</v>
      </c>
      <c r="CB86" s="110">
        <v>580</v>
      </c>
      <c r="CC86" s="119">
        <v>5.2999999999999998E-4</v>
      </c>
      <c r="CD86" s="110">
        <v>580</v>
      </c>
      <c r="CE86" s="104">
        <f t="shared" si="5"/>
        <v>1.3106510458460386E-2</v>
      </c>
      <c r="CF86" s="105">
        <f t="shared" si="3"/>
        <v>0.61</v>
      </c>
    </row>
    <row r="87" spans="1:84" ht="24" hidden="1" x14ac:dyDescent="0.25">
      <c r="A87" s="133">
        <v>86</v>
      </c>
      <c r="B87" s="134"/>
      <c r="C87" s="135" t="s">
        <v>305</v>
      </c>
      <c r="D87" s="136">
        <v>800</v>
      </c>
      <c r="E87" s="137">
        <v>1206</v>
      </c>
      <c r="F87" s="138">
        <f t="shared" si="4"/>
        <v>964800</v>
      </c>
      <c r="G87" s="137">
        <v>93</v>
      </c>
      <c r="H87" s="138">
        <v>964.8</v>
      </c>
      <c r="I87" s="139">
        <v>0.66</v>
      </c>
      <c r="J87" s="140">
        <v>12.1</v>
      </c>
      <c r="K87" s="141">
        <v>5.2</v>
      </c>
      <c r="L87" s="142">
        <v>5.2</v>
      </c>
      <c r="M87" s="143">
        <v>0.19</v>
      </c>
      <c r="N87" s="138">
        <v>6</v>
      </c>
      <c r="O87" s="144" t="s">
        <v>215</v>
      </c>
      <c r="P87" s="145" t="s">
        <v>216</v>
      </c>
      <c r="Q87" s="146">
        <v>3.3E-4</v>
      </c>
      <c r="R87" s="147">
        <v>6.4999999999999997E-4</v>
      </c>
      <c r="S87" s="147">
        <v>9.7999999999999997E-4</v>
      </c>
      <c r="T87" s="137">
        <v>580</v>
      </c>
      <c r="U87" s="148">
        <v>603</v>
      </c>
      <c r="V87" s="146">
        <v>1.2600000000000001E-3</v>
      </c>
      <c r="W87" s="137">
        <v>580</v>
      </c>
      <c r="X87" s="145" t="s">
        <v>300</v>
      </c>
      <c r="Y87" s="172">
        <v>0.56000000000000005</v>
      </c>
      <c r="Z87" s="142">
        <v>0.5</v>
      </c>
      <c r="AA87" s="140">
        <v>1</v>
      </c>
      <c r="AB87" s="138">
        <v>7.2</v>
      </c>
      <c r="AC87" s="141">
        <v>7</v>
      </c>
      <c r="AD87" s="150">
        <v>0.45</v>
      </c>
      <c r="AE87" s="151">
        <v>0.68</v>
      </c>
      <c r="AF87" s="152">
        <v>0.66</v>
      </c>
      <c r="AG87" s="150">
        <v>0.28999999999999998</v>
      </c>
      <c r="AH87" s="150">
        <v>0.14000000000000001</v>
      </c>
      <c r="AI87" s="151">
        <v>1.1000000000000001</v>
      </c>
      <c r="AJ87" s="152">
        <v>0.1</v>
      </c>
      <c r="AK87" s="150">
        <v>0.66</v>
      </c>
      <c r="AL87" s="150">
        <v>0</v>
      </c>
      <c r="AM87" s="151">
        <v>0.76</v>
      </c>
      <c r="AN87" s="152">
        <v>0</v>
      </c>
      <c r="AO87" s="150">
        <v>0.47</v>
      </c>
      <c r="AP87" s="150">
        <v>0.55000000000000004</v>
      </c>
      <c r="AQ87" s="151">
        <v>1.02</v>
      </c>
      <c r="AR87" s="152">
        <v>0.52</v>
      </c>
      <c r="AS87" s="150">
        <v>0.35</v>
      </c>
      <c r="AT87" s="150">
        <v>0.14000000000000001</v>
      </c>
      <c r="AU87" s="151">
        <v>0.78</v>
      </c>
      <c r="AV87" s="152">
        <v>0.43</v>
      </c>
      <c r="AW87" s="150">
        <v>0.73</v>
      </c>
      <c r="AX87" s="150">
        <v>0</v>
      </c>
      <c r="AY87" s="151">
        <v>1.1599999999999999</v>
      </c>
      <c r="AZ87" s="152">
        <v>0.12</v>
      </c>
      <c r="BA87" s="150">
        <v>0.87</v>
      </c>
      <c r="BB87" s="150">
        <v>0.04</v>
      </c>
      <c r="BC87" s="151">
        <v>1.03</v>
      </c>
      <c r="BD87" s="153">
        <v>0.37</v>
      </c>
      <c r="BE87" s="152">
        <v>0.28999999999999998</v>
      </c>
      <c r="BF87" s="150">
        <v>0</v>
      </c>
      <c r="BG87" s="150">
        <v>0.13</v>
      </c>
      <c r="BH87" s="151">
        <v>0.42</v>
      </c>
      <c r="BI87" s="152">
        <v>0.1</v>
      </c>
      <c r="BJ87" s="150">
        <v>0.31</v>
      </c>
      <c r="BK87" s="150">
        <v>0.17</v>
      </c>
      <c r="BL87" s="151">
        <v>0.56999999999999995</v>
      </c>
      <c r="BM87" s="152">
        <v>0.62</v>
      </c>
      <c r="BN87" s="150">
        <v>0.89</v>
      </c>
      <c r="BO87" s="150">
        <v>0.67</v>
      </c>
      <c r="BP87" s="150">
        <v>0.87</v>
      </c>
      <c r="BQ87" s="150">
        <v>0.59</v>
      </c>
      <c r="BR87" s="150">
        <v>0.66</v>
      </c>
      <c r="BS87" s="150">
        <v>1.82</v>
      </c>
      <c r="BT87" s="150">
        <v>1.64</v>
      </c>
      <c r="BU87" s="151">
        <v>1.19</v>
      </c>
      <c r="BV87" s="79">
        <v>964800</v>
      </c>
      <c r="BW87" s="137">
        <v>93</v>
      </c>
      <c r="BX87" s="138">
        <v>964.8</v>
      </c>
      <c r="BY87" s="142">
        <v>5.2</v>
      </c>
      <c r="BZ87" s="138">
        <v>6</v>
      </c>
      <c r="CA87" s="147">
        <v>9.7999999999999997E-4</v>
      </c>
      <c r="CB87" s="137">
        <v>580</v>
      </c>
      <c r="CC87" s="146">
        <v>1.2600000000000001E-3</v>
      </c>
      <c r="CD87" s="137">
        <v>580</v>
      </c>
      <c r="CE87" s="104">
        <f t="shared" si="5"/>
        <v>1.4622229355017028E-2</v>
      </c>
      <c r="CF87" s="105">
        <f t="shared" si="3"/>
        <v>0.68</v>
      </c>
    </row>
    <row r="88" spans="1:84" ht="14.25" hidden="1" customHeight="1" x14ac:dyDescent="0.25">
      <c r="A88" s="83">
        <v>87</v>
      </c>
      <c r="B88" s="84" t="s">
        <v>306</v>
      </c>
      <c r="C88" s="85" t="s">
        <v>307</v>
      </c>
      <c r="D88" s="90">
        <v>1422.4</v>
      </c>
      <c r="E88" s="88">
        <v>1219.2</v>
      </c>
      <c r="F88" s="88">
        <f t="shared" si="4"/>
        <v>1734190.0800000001</v>
      </c>
      <c r="G88" s="88">
        <v>142.9</v>
      </c>
      <c r="H88" s="100">
        <v>975.36</v>
      </c>
      <c r="I88" s="89">
        <v>1.17</v>
      </c>
      <c r="J88" s="154">
        <v>24</v>
      </c>
      <c r="K88" s="155">
        <v>19.2</v>
      </c>
      <c r="L88" s="156">
        <v>22</v>
      </c>
      <c r="M88" s="157">
        <v>1</v>
      </c>
      <c r="N88" s="88">
        <v>16.5</v>
      </c>
      <c r="O88" s="94" t="s">
        <v>215</v>
      </c>
      <c r="P88" s="95" t="s">
        <v>216</v>
      </c>
      <c r="Q88" s="193" t="s">
        <v>217</v>
      </c>
      <c r="R88" s="97">
        <v>4.4999999999999997E-3</v>
      </c>
      <c r="S88" s="97">
        <v>4.4999999999999997E-3</v>
      </c>
      <c r="T88" s="87">
        <v>391</v>
      </c>
      <c r="U88" s="95" t="s">
        <v>217</v>
      </c>
      <c r="V88" s="96">
        <v>3.8999999999999998E-3</v>
      </c>
      <c r="W88" s="87">
        <v>438</v>
      </c>
      <c r="X88" s="95" t="s">
        <v>217</v>
      </c>
      <c r="Y88" s="158">
        <v>2.76</v>
      </c>
      <c r="Z88" s="92">
        <v>0.5</v>
      </c>
      <c r="AA88" s="90">
        <v>2.1</v>
      </c>
      <c r="AB88" s="88">
        <v>9.5</v>
      </c>
      <c r="AC88" s="91">
        <v>4.5</v>
      </c>
      <c r="AD88" s="100">
        <v>1.66</v>
      </c>
      <c r="AE88" s="101">
        <v>2.46</v>
      </c>
      <c r="AF88" s="102">
        <v>0.92</v>
      </c>
      <c r="AG88" s="100">
        <v>0.68</v>
      </c>
      <c r="AH88" s="100">
        <v>0.69</v>
      </c>
      <c r="AI88" s="101">
        <v>1.59</v>
      </c>
      <c r="AJ88" s="102">
        <v>0.28999999999999998</v>
      </c>
      <c r="AK88" s="100">
        <v>1.54</v>
      </c>
      <c r="AL88" s="100">
        <v>0</v>
      </c>
      <c r="AM88" s="101">
        <v>1.83</v>
      </c>
      <c r="AN88" s="102">
        <v>0</v>
      </c>
      <c r="AO88" s="100">
        <v>1.0900000000000001</v>
      </c>
      <c r="AP88" s="100">
        <v>1.49</v>
      </c>
      <c r="AQ88" s="101">
        <v>1.83</v>
      </c>
      <c r="AR88" s="102">
        <v>0.74</v>
      </c>
      <c r="AS88" s="100">
        <v>0.82</v>
      </c>
      <c r="AT88" s="100">
        <v>0.69</v>
      </c>
      <c r="AU88" s="101">
        <v>1.3</v>
      </c>
      <c r="AV88" s="102">
        <v>0.55000000000000004</v>
      </c>
      <c r="AW88" s="100">
        <v>1.71</v>
      </c>
      <c r="AX88" s="100">
        <v>0</v>
      </c>
      <c r="AY88" s="101">
        <v>2.2599999999999998</v>
      </c>
      <c r="AZ88" s="194"/>
      <c r="BA88" s="195"/>
      <c r="BB88" s="195"/>
      <c r="BC88" s="196"/>
      <c r="BD88" s="103">
        <v>0.56999999999999995</v>
      </c>
      <c r="BE88" s="102">
        <v>0.85</v>
      </c>
      <c r="BF88" s="100">
        <v>0</v>
      </c>
      <c r="BG88" s="100">
        <v>0.63</v>
      </c>
      <c r="BH88" s="101">
        <v>1.49</v>
      </c>
      <c r="BI88" s="102">
        <v>0.5</v>
      </c>
      <c r="BJ88" s="100">
        <v>0.34</v>
      </c>
      <c r="BK88" s="100">
        <v>0.83</v>
      </c>
      <c r="BL88" s="101">
        <v>1.67</v>
      </c>
      <c r="BM88" s="102">
        <v>1.54</v>
      </c>
      <c r="BN88" s="100">
        <v>1.35</v>
      </c>
      <c r="BO88" s="100">
        <v>1.34</v>
      </c>
      <c r="BP88" s="100">
        <v>1.89</v>
      </c>
      <c r="BQ88" s="100">
        <v>1.0900000000000001</v>
      </c>
      <c r="BR88" s="195"/>
      <c r="BS88" s="100">
        <v>4.29</v>
      </c>
      <c r="BT88" s="100">
        <v>1.65</v>
      </c>
      <c r="BU88" s="101">
        <v>1.48</v>
      </c>
      <c r="BV88" s="79">
        <v>1734190.0800000001</v>
      </c>
      <c r="BW88" s="88">
        <v>142.9</v>
      </c>
      <c r="BX88" s="100">
        <v>975.36</v>
      </c>
      <c r="BY88" s="156">
        <v>22</v>
      </c>
      <c r="BZ88" s="88">
        <v>16.5</v>
      </c>
      <c r="CA88" s="97">
        <v>4.4999999999999997E-3</v>
      </c>
      <c r="CB88" s="87">
        <v>391</v>
      </c>
      <c r="CC88" s="96">
        <v>3.8999999999999998E-3</v>
      </c>
      <c r="CD88" s="87">
        <v>438</v>
      </c>
      <c r="CE88" s="104">
        <f t="shared" si="5"/>
        <v>9.4705840216438991E-3</v>
      </c>
      <c r="CF88" s="105">
        <f t="shared" si="3"/>
        <v>2.46</v>
      </c>
    </row>
    <row r="89" spans="1:84" hidden="1" x14ac:dyDescent="0.25">
      <c r="A89" s="106">
        <v>88</v>
      </c>
      <c r="B89" s="107"/>
      <c r="C89" s="108" t="s">
        <v>308</v>
      </c>
      <c r="D89" s="113">
        <v>1422.4</v>
      </c>
      <c r="E89" s="111">
        <v>1219.2</v>
      </c>
      <c r="F89" s="111">
        <f t="shared" si="4"/>
        <v>1734190.0800000001</v>
      </c>
      <c r="G89" s="111">
        <v>142.9</v>
      </c>
      <c r="H89" s="123">
        <v>975.36</v>
      </c>
      <c r="I89" s="112">
        <v>1.17</v>
      </c>
      <c r="J89" s="160">
        <v>24</v>
      </c>
      <c r="K89" s="161">
        <v>19.2</v>
      </c>
      <c r="L89" s="162">
        <v>22</v>
      </c>
      <c r="M89" s="163">
        <v>1</v>
      </c>
      <c r="N89" s="111">
        <v>16.5</v>
      </c>
      <c r="O89" s="117" t="s">
        <v>215</v>
      </c>
      <c r="P89" s="118" t="s">
        <v>216</v>
      </c>
      <c r="Q89" s="128" t="s">
        <v>217</v>
      </c>
      <c r="R89" s="120">
        <v>4.4000000000000003E-3</v>
      </c>
      <c r="S89" s="120">
        <v>4.4000000000000003E-3</v>
      </c>
      <c r="T89" s="110">
        <v>391</v>
      </c>
      <c r="U89" s="118" t="s">
        <v>217</v>
      </c>
      <c r="V89" s="119">
        <v>3.8999999999999998E-3</v>
      </c>
      <c r="W89" s="110">
        <v>438</v>
      </c>
      <c r="X89" s="118" t="s">
        <v>217</v>
      </c>
      <c r="Y89" s="165">
        <v>2.76</v>
      </c>
      <c r="Z89" s="115">
        <v>0.5</v>
      </c>
      <c r="AA89" s="113">
        <v>2.4</v>
      </c>
      <c r="AB89" s="111">
        <v>5.3</v>
      </c>
      <c r="AC89" s="114">
        <v>2.2000000000000002</v>
      </c>
      <c r="AD89" s="123">
        <v>2.06</v>
      </c>
      <c r="AE89" s="124">
        <v>2.46</v>
      </c>
      <c r="AF89" s="125">
        <v>0.92</v>
      </c>
      <c r="AG89" s="123">
        <v>0.68</v>
      </c>
      <c r="AH89" s="123">
        <v>0.69</v>
      </c>
      <c r="AI89" s="124">
        <v>1.59</v>
      </c>
      <c r="AJ89" s="125">
        <v>0.28999999999999998</v>
      </c>
      <c r="AK89" s="123">
        <v>1.54</v>
      </c>
      <c r="AL89" s="123">
        <v>0</v>
      </c>
      <c r="AM89" s="124">
        <v>1.83</v>
      </c>
      <c r="AN89" s="125">
        <v>0.61</v>
      </c>
      <c r="AO89" s="123">
        <v>1.0900000000000001</v>
      </c>
      <c r="AP89" s="123">
        <v>1.49</v>
      </c>
      <c r="AQ89" s="124">
        <v>1.83</v>
      </c>
      <c r="AR89" s="125">
        <v>0.74</v>
      </c>
      <c r="AS89" s="123">
        <v>0.82</v>
      </c>
      <c r="AT89" s="123">
        <v>0.69</v>
      </c>
      <c r="AU89" s="124">
        <v>1.3</v>
      </c>
      <c r="AV89" s="125">
        <v>0.55000000000000004</v>
      </c>
      <c r="AW89" s="123">
        <v>1.71</v>
      </c>
      <c r="AX89" s="123">
        <v>0</v>
      </c>
      <c r="AY89" s="124">
        <v>2.2599999999999998</v>
      </c>
      <c r="AZ89" s="127"/>
      <c r="BA89" s="129"/>
      <c r="BB89" s="129"/>
      <c r="BC89" s="197"/>
      <c r="BD89" s="126">
        <v>0.56999999999999995</v>
      </c>
      <c r="BE89" s="125">
        <v>0.85</v>
      </c>
      <c r="BF89" s="123">
        <v>0</v>
      </c>
      <c r="BG89" s="123">
        <v>0.63</v>
      </c>
      <c r="BH89" s="124">
        <v>1.49</v>
      </c>
      <c r="BI89" s="125">
        <v>0.5</v>
      </c>
      <c r="BJ89" s="123">
        <v>0.34</v>
      </c>
      <c r="BK89" s="123">
        <v>0.83</v>
      </c>
      <c r="BL89" s="124">
        <v>1.67</v>
      </c>
      <c r="BM89" s="125">
        <v>1.54</v>
      </c>
      <c r="BN89" s="123">
        <v>1.35</v>
      </c>
      <c r="BO89" s="123">
        <v>1.34</v>
      </c>
      <c r="BP89" s="123">
        <v>1.89</v>
      </c>
      <c r="BQ89" s="123">
        <v>1.0900000000000001</v>
      </c>
      <c r="BR89" s="129"/>
      <c r="BS89" s="123">
        <v>4.29</v>
      </c>
      <c r="BT89" s="123">
        <v>1.65</v>
      </c>
      <c r="BU89" s="124">
        <v>1.48</v>
      </c>
      <c r="BV89" s="79">
        <v>1734190.0800000001</v>
      </c>
      <c r="BW89" s="111">
        <v>142.9</v>
      </c>
      <c r="BX89" s="123">
        <v>975.36</v>
      </c>
      <c r="BY89" s="162">
        <v>22</v>
      </c>
      <c r="BZ89" s="111">
        <v>16.5</v>
      </c>
      <c r="CA89" s="120">
        <v>4.4000000000000003E-3</v>
      </c>
      <c r="CB89" s="110">
        <v>391</v>
      </c>
      <c r="CC89" s="119">
        <v>3.8999999999999998E-3</v>
      </c>
      <c r="CD89" s="110">
        <v>438</v>
      </c>
      <c r="CE89" s="104">
        <f t="shared" si="5"/>
        <v>9.4705840216438991E-3</v>
      </c>
      <c r="CF89" s="105">
        <f t="shared" si="3"/>
        <v>2.46</v>
      </c>
    </row>
    <row r="90" spans="1:84" hidden="1" x14ac:dyDescent="0.25">
      <c r="A90" s="106">
        <v>89</v>
      </c>
      <c r="B90" s="107"/>
      <c r="C90" s="108" t="s">
        <v>309</v>
      </c>
      <c r="D90" s="113">
        <v>1422.4</v>
      </c>
      <c r="E90" s="111">
        <v>1219.2</v>
      </c>
      <c r="F90" s="111">
        <f t="shared" si="4"/>
        <v>1734190.0800000001</v>
      </c>
      <c r="G90" s="111">
        <v>142.9</v>
      </c>
      <c r="H90" s="123">
        <v>975.36</v>
      </c>
      <c r="I90" s="112">
        <v>1.17</v>
      </c>
      <c r="J90" s="160">
        <v>24</v>
      </c>
      <c r="K90" s="161">
        <v>19.2</v>
      </c>
      <c r="L90" s="162">
        <v>22</v>
      </c>
      <c r="M90" s="163">
        <v>1</v>
      </c>
      <c r="N90" s="111">
        <v>16.5</v>
      </c>
      <c r="O90" s="117" t="s">
        <v>215</v>
      </c>
      <c r="P90" s="118" t="s">
        <v>216</v>
      </c>
      <c r="Q90" s="128" t="s">
        <v>217</v>
      </c>
      <c r="R90" s="120">
        <v>4.4999999999999997E-3</v>
      </c>
      <c r="S90" s="120">
        <v>4.4999999999999997E-3</v>
      </c>
      <c r="T90" s="110">
        <v>391</v>
      </c>
      <c r="U90" s="118" t="s">
        <v>217</v>
      </c>
      <c r="V90" s="119">
        <v>2E-3</v>
      </c>
      <c r="W90" s="110">
        <v>438</v>
      </c>
      <c r="X90" s="118" t="s">
        <v>217</v>
      </c>
      <c r="Y90" s="165">
        <v>2.76</v>
      </c>
      <c r="Z90" s="115">
        <v>0.5</v>
      </c>
      <c r="AA90" s="113">
        <v>1.3</v>
      </c>
      <c r="AB90" s="111">
        <v>6.2</v>
      </c>
      <c r="AC90" s="114">
        <v>4.9000000000000004</v>
      </c>
      <c r="AD90" s="123">
        <v>1.69</v>
      </c>
      <c r="AE90" s="124">
        <v>2.36</v>
      </c>
      <c r="AF90" s="125">
        <v>0.92</v>
      </c>
      <c r="AG90" s="123">
        <v>0.35</v>
      </c>
      <c r="AH90" s="123">
        <v>0.69</v>
      </c>
      <c r="AI90" s="124">
        <v>1.59</v>
      </c>
      <c r="AJ90" s="125">
        <v>0.28999999999999998</v>
      </c>
      <c r="AK90" s="123">
        <v>0.79</v>
      </c>
      <c r="AL90" s="123">
        <v>0</v>
      </c>
      <c r="AM90" s="124">
        <v>1.08</v>
      </c>
      <c r="AN90" s="125">
        <v>0</v>
      </c>
      <c r="AO90" s="123">
        <v>0.56000000000000005</v>
      </c>
      <c r="AP90" s="123">
        <v>1.49</v>
      </c>
      <c r="AQ90" s="124">
        <v>1.83</v>
      </c>
      <c r="AR90" s="125">
        <v>0.74</v>
      </c>
      <c r="AS90" s="123">
        <v>0.42</v>
      </c>
      <c r="AT90" s="123">
        <v>0.69</v>
      </c>
      <c r="AU90" s="124">
        <v>1.3</v>
      </c>
      <c r="AV90" s="125">
        <v>0.55000000000000004</v>
      </c>
      <c r="AW90" s="123">
        <v>0.88</v>
      </c>
      <c r="AX90" s="123">
        <v>0</v>
      </c>
      <c r="AY90" s="124">
        <v>1.43</v>
      </c>
      <c r="AZ90" s="127"/>
      <c r="BA90" s="129"/>
      <c r="BB90" s="129"/>
      <c r="BC90" s="197"/>
      <c r="BD90" s="126">
        <v>0.56999999999999995</v>
      </c>
      <c r="BE90" s="125">
        <v>0.85</v>
      </c>
      <c r="BF90" s="123">
        <v>0</v>
      </c>
      <c r="BG90" s="123">
        <v>0.63</v>
      </c>
      <c r="BH90" s="124">
        <v>1.49</v>
      </c>
      <c r="BI90" s="125">
        <v>0.5</v>
      </c>
      <c r="BJ90" s="123">
        <v>0.2</v>
      </c>
      <c r="BK90" s="123">
        <v>0.83</v>
      </c>
      <c r="BL90" s="124">
        <v>1.53</v>
      </c>
      <c r="BM90" s="125">
        <v>1.48</v>
      </c>
      <c r="BN90" s="123">
        <v>2.19</v>
      </c>
      <c r="BO90" s="123">
        <v>1.29</v>
      </c>
      <c r="BP90" s="123">
        <v>1.81</v>
      </c>
      <c r="BQ90" s="123">
        <v>1.65</v>
      </c>
      <c r="BR90" s="129"/>
      <c r="BS90" s="123">
        <v>4.1100000000000003</v>
      </c>
      <c r="BT90" s="123">
        <v>1.58</v>
      </c>
      <c r="BU90" s="124">
        <v>1.54</v>
      </c>
      <c r="BV90" s="79">
        <v>1734190.0800000001</v>
      </c>
      <c r="BW90" s="111">
        <v>142.9</v>
      </c>
      <c r="BX90" s="123">
        <v>975.36</v>
      </c>
      <c r="BY90" s="162">
        <v>22</v>
      </c>
      <c r="BZ90" s="111">
        <v>16.5</v>
      </c>
      <c r="CA90" s="120">
        <v>4.4999999999999997E-3</v>
      </c>
      <c r="CB90" s="110">
        <v>391</v>
      </c>
      <c r="CC90" s="119">
        <v>2E-3</v>
      </c>
      <c r="CD90" s="110">
        <v>438</v>
      </c>
      <c r="CE90" s="104">
        <f t="shared" si="5"/>
        <v>9.0688016692105234E-3</v>
      </c>
      <c r="CF90" s="105">
        <f t="shared" si="3"/>
        <v>2.36</v>
      </c>
    </row>
    <row r="91" spans="1:84" hidden="1" x14ac:dyDescent="0.25">
      <c r="A91" s="106">
        <v>90</v>
      </c>
      <c r="B91" s="107"/>
      <c r="C91" s="108" t="s">
        <v>310</v>
      </c>
      <c r="D91" s="113">
        <v>1422.4</v>
      </c>
      <c r="E91" s="111">
        <v>1219.2</v>
      </c>
      <c r="F91" s="111">
        <f t="shared" si="4"/>
        <v>1734190.0800000001</v>
      </c>
      <c r="G91" s="111">
        <v>142.9</v>
      </c>
      <c r="H91" s="123">
        <v>975.36</v>
      </c>
      <c r="I91" s="112">
        <v>1.17</v>
      </c>
      <c r="J91" s="160">
        <v>24</v>
      </c>
      <c r="K91" s="161">
        <v>19.2</v>
      </c>
      <c r="L91" s="162">
        <v>22</v>
      </c>
      <c r="M91" s="163">
        <v>1</v>
      </c>
      <c r="N91" s="111">
        <v>16.5</v>
      </c>
      <c r="O91" s="117" t="s">
        <v>215</v>
      </c>
      <c r="P91" s="118" t="s">
        <v>216</v>
      </c>
      <c r="Q91" s="128" t="s">
        <v>217</v>
      </c>
      <c r="R91" s="120">
        <v>4.4000000000000003E-3</v>
      </c>
      <c r="S91" s="120">
        <v>4.4000000000000003E-3</v>
      </c>
      <c r="T91" s="110">
        <v>391</v>
      </c>
      <c r="U91" s="118" t="s">
        <v>217</v>
      </c>
      <c r="V91" s="119">
        <v>2E-3</v>
      </c>
      <c r="W91" s="110">
        <v>438</v>
      </c>
      <c r="X91" s="118" t="s">
        <v>217</v>
      </c>
      <c r="Y91" s="165">
        <v>2.76</v>
      </c>
      <c r="Z91" s="115">
        <v>0.5</v>
      </c>
      <c r="AA91" s="113">
        <v>1</v>
      </c>
      <c r="AB91" s="111">
        <v>6.4</v>
      </c>
      <c r="AC91" s="114">
        <v>6.5</v>
      </c>
      <c r="AD91" s="123">
        <v>1.52</v>
      </c>
      <c r="AE91" s="124">
        <v>2.23</v>
      </c>
      <c r="AF91" s="125">
        <v>0.92</v>
      </c>
      <c r="AG91" s="123">
        <v>0.35</v>
      </c>
      <c r="AH91" s="123">
        <v>0.69</v>
      </c>
      <c r="AI91" s="124">
        <v>1.59</v>
      </c>
      <c r="AJ91" s="125">
        <v>0.28999999999999998</v>
      </c>
      <c r="AK91" s="123">
        <v>0.79</v>
      </c>
      <c r="AL91" s="123">
        <v>0</v>
      </c>
      <c r="AM91" s="124">
        <v>1.08</v>
      </c>
      <c r="AN91" s="125">
        <v>0</v>
      </c>
      <c r="AO91" s="123">
        <v>0.56000000000000005</v>
      </c>
      <c r="AP91" s="123">
        <v>1.49</v>
      </c>
      <c r="AQ91" s="124">
        <v>1.83</v>
      </c>
      <c r="AR91" s="125">
        <v>0.74</v>
      </c>
      <c r="AS91" s="123">
        <v>0.42</v>
      </c>
      <c r="AT91" s="123">
        <v>0.69</v>
      </c>
      <c r="AU91" s="124">
        <v>1.3</v>
      </c>
      <c r="AV91" s="125">
        <v>0.55000000000000004</v>
      </c>
      <c r="AW91" s="123">
        <v>0.88</v>
      </c>
      <c r="AX91" s="123">
        <v>0</v>
      </c>
      <c r="AY91" s="124">
        <v>1.43</v>
      </c>
      <c r="AZ91" s="127"/>
      <c r="BA91" s="129"/>
      <c r="BB91" s="129"/>
      <c r="BC91" s="197"/>
      <c r="BD91" s="126">
        <v>0.56999999999999995</v>
      </c>
      <c r="BE91" s="125">
        <v>0.85</v>
      </c>
      <c r="BF91" s="123">
        <v>0</v>
      </c>
      <c r="BG91" s="123">
        <v>0.63</v>
      </c>
      <c r="BH91" s="124">
        <v>1.49</v>
      </c>
      <c r="BI91" s="125">
        <v>0.5</v>
      </c>
      <c r="BJ91" s="123">
        <v>0.2</v>
      </c>
      <c r="BK91" s="123">
        <v>0.83</v>
      </c>
      <c r="BL91" s="124">
        <v>1.53</v>
      </c>
      <c r="BM91" s="125">
        <v>1.4</v>
      </c>
      <c r="BN91" s="123">
        <v>2.0699999999999998</v>
      </c>
      <c r="BO91" s="123">
        <v>1.22</v>
      </c>
      <c r="BP91" s="123">
        <v>1.72</v>
      </c>
      <c r="BQ91" s="123">
        <v>1.56</v>
      </c>
      <c r="BR91" s="129"/>
      <c r="BS91" s="123">
        <v>3.9</v>
      </c>
      <c r="BT91" s="123">
        <v>1.5</v>
      </c>
      <c r="BU91" s="124">
        <v>1.46</v>
      </c>
      <c r="BV91" s="79">
        <v>1734190.0800000001</v>
      </c>
      <c r="BW91" s="111">
        <v>142.9</v>
      </c>
      <c r="BX91" s="123">
        <v>975.36</v>
      </c>
      <c r="BY91" s="162">
        <v>22</v>
      </c>
      <c r="BZ91" s="111">
        <v>16.5</v>
      </c>
      <c r="CA91" s="120">
        <v>4.4000000000000003E-3</v>
      </c>
      <c r="CB91" s="110">
        <v>391</v>
      </c>
      <c r="CC91" s="119">
        <v>2E-3</v>
      </c>
      <c r="CD91" s="110">
        <v>438</v>
      </c>
      <c r="CE91" s="104">
        <f t="shared" si="5"/>
        <v>8.6096218378580898E-3</v>
      </c>
      <c r="CF91" s="105">
        <f t="shared" si="3"/>
        <v>2.23</v>
      </c>
    </row>
    <row r="92" spans="1:84" hidden="1" x14ac:dyDescent="0.25">
      <c r="A92" s="106">
        <v>91</v>
      </c>
      <c r="B92" s="107"/>
      <c r="C92" s="108" t="s">
        <v>311</v>
      </c>
      <c r="D92" s="113">
        <v>1422.4</v>
      </c>
      <c r="E92" s="111">
        <v>1219.2</v>
      </c>
      <c r="F92" s="111">
        <f t="shared" si="4"/>
        <v>1734190.0800000001</v>
      </c>
      <c r="G92" s="111">
        <v>142.9</v>
      </c>
      <c r="H92" s="123">
        <v>975.36</v>
      </c>
      <c r="I92" s="112">
        <v>1.17</v>
      </c>
      <c r="J92" s="160">
        <v>24</v>
      </c>
      <c r="K92" s="161">
        <v>19.2</v>
      </c>
      <c r="L92" s="162">
        <v>22</v>
      </c>
      <c r="M92" s="163">
        <v>1</v>
      </c>
      <c r="N92" s="111">
        <v>16.5</v>
      </c>
      <c r="O92" s="117" t="s">
        <v>215</v>
      </c>
      <c r="P92" s="118" t="s">
        <v>216</v>
      </c>
      <c r="Q92" s="128" t="s">
        <v>217</v>
      </c>
      <c r="R92" s="120">
        <v>4.4999999999999997E-3</v>
      </c>
      <c r="S92" s="120">
        <v>4.4999999999999997E-3</v>
      </c>
      <c r="T92" s="110">
        <v>391</v>
      </c>
      <c r="U92" s="118" t="s">
        <v>217</v>
      </c>
      <c r="V92" s="119">
        <v>1E-3</v>
      </c>
      <c r="W92" s="110">
        <v>438</v>
      </c>
      <c r="X92" s="118" t="s">
        <v>217</v>
      </c>
      <c r="Y92" s="165">
        <v>2.76</v>
      </c>
      <c r="Z92" s="115">
        <v>0.5</v>
      </c>
      <c r="AA92" s="113">
        <v>1.2</v>
      </c>
      <c r="AB92" s="111">
        <v>6.7</v>
      </c>
      <c r="AC92" s="114">
        <v>5.4</v>
      </c>
      <c r="AD92" s="123">
        <v>1.53</v>
      </c>
      <c r="AE92" s="124">
        <v>1.92</v>
      </c>
      <c r="AF92" s="125">
        <v>0.92</v>
      </c>
      <c r="AG92" s="123">
        <v>0.18</v>
      </c>
      <c r="AH92" s="123">
        <v>0.69</v>
      </c>
      <c r="AI92" s="124">
        <v>1.59</v>
      </c>
      <c r="AJ92" s="125">
        <v>0.28999999999999998</v>
      </c>
      <c r="AK92" s="123">
        <v>0.39</v>
      </c>
      <c r="AL92" s="123">
        <v>0</v>
      </c>
      <c r="AM92" s="124">
        <v>0.68</v>
      </c>
      <c r="AN92" s="125">
        <v>0</v>
      </c>
      <c r="AO92" s="123">
        <v>0.28000000000000003</v>
      </c>
      <c r="AP92" s="123">
        <v>1.49</v>
      </c>
      <c r="AQ92" s="124">
        <v>1.77</v>
      </c>
      <c r="AR92" s="125">
        <v>0.74</v>
      </c>
      <c r="AS92" s="123">
        <v>0.21</v>
      </c>
      <c r="AT92" s="123">
        <v>0.69</v>
      </c>
      <c r="AU92" s="124">
        <v>1.3</v>
      </c>
      <c r="AV92" s="125">
        <v>0.55000000000000004</v>
      </c>
      <c r="AW92" s="123">
        <v>0.44</v>
      </c>
      <c r="AX92" s="123">
        <v>0</v>
      </c>
      <c r="AY92" s="124">
        <v>0.99</v>
      </c>
      <c r="AZ92" s="127"/>
      <c r="BA92" s="129"/>
      <c r="BB92" s="129"/>
      <c r="BC92" s="197"/>
      <c r="BD92" s="126">
        <v>0.56999999999999995</v>
      </c>
      <c r="BE92" s="125">
        <v>0.85</v>
      </c>
      <c r="BF92" s="123">
        <v>0</v>
      </c>
      <c r="BG92" s="123">
        <v>0.63</v>
      </c>
      <c r="BH92" s="124">
        <v>1.49</v>
      </c>
      <c r="BI92" s="125">
        <v>0.5</v>
      </c>
      <c r="BJ92" s="123">
        <v>0.26</v>
      </c>
      <c r="BK92" s="123">
        <v>0.83</v>
      </c>
      <c r="BL92" s="124">
        <v>1.59</v>
      </c>
      <c r="BM92" s="125">
        <v>1.2</v>
      </c>
      <c r="BN92" s="123">
        <v>2.8</v>
      </c>
      <c r="BO92" s="123">
        <v>1.08</v>
      </c>
      <c r="BP92" s="123">
        <v>1.47</v>
      </c>
      <c r="BQ92" s="123">
        <v>1.94</v>
      </c>
      <c r="BR92" s="129"/>
      <c r="BS92" s="123">
        <v>3.34</v>
      </c>
      <c r="BT92" s="123">
        <v>1.29</v>
      </c>
      <c r="BU92" s="124">
        <v>1.21</v>
      </c>
      <c r="BV92" s="79">
        <v>1734190.0800000001</v>
      </c>
      <c r="BW92" s="111">
        <v>142.9</v>
      </c>
      <c r="BX92" s="123">
        <v>975.36</v>
      </c>
      <c r="BY92" s="162">
        <v>22</v>
      </c>
      <c r="BZ92" s="111">
        <v>16.5</v>
      </c>
      <c r="CA92" s="120">
        <v>4.4999999999999997E-3</v>
      </c>
      <c r="CB92" s="110">
        <v>391</v>
      </c>
      <c r="CC92" s="119">
        <v>1E-3</v>
      </c>
      <c r="CD92" s="110">
        <v>438</v>
      </c>
      <c r="CE92" s="104">
        <f t="shared" si="5"/>
        <v>7.4042747805579574E-3</v>
      </c>
      <c r="CF92" s="105">
        <f t="shared" si="3"/>
        <v>1.92</v>
      </c>
    </row>
    <row r="93" spans="1:84" hidden="1" x14ac:dyDescent="0.25">
      <c r="A93" s="106">
        <v>92</v>
      </c>
      <c r="B93" s="107"/>
      <c r="C93" s="108" t="s">
        <v>312</v>
      </c>
      <c r="D93" s="113">
        <v>1422.4</v>
      </c>
      <c r="E93" s="111">
        <v>1219.2</v>
      </c>
      <c r="F93" s="111">
        <f t="shared" si="4"/>
        <v>1734190.0800000001</v>
      </c>
      <c r="G93" s="111">
        <v>142.9</v>
      </c>
      <c r="H93" s="123">
        <v>975.36</v>
      </c>
      <c r="I93" s="112">
        <v>1.17</v>
      </c>
      <c r="J93" s="160">
        <v>24</v>
      </c>
      <c r="K93" s="161">
        <v>19.2</v>
      </c>
      <c r="L93" s="162">
        <v>22</v>
      </c>
      <c r="M93" s="163">
        <v>1</v>
      </c>
      <c r="N93" s="111">
        <v>16.5</v>
      </c>
      <c r="O93" s="117" t="s">
        <v>215</v>
      </c>
      <c r="P93" s="118" t="s">
        <v>216</v>
      </c>
      <c r="Q93" s="128" t="s">
        <v>217</v>
      </c>
      <c r="R93" s="120">
        <v>4.4999999999999997E-3</v>
      </c>
      <c r="S93" s="120">
        <v>4.4999999999999997E-3</v>
      </c>
      <c r="T93" s="110">
        <v>391</v>
      </c>
      <c r="U93" s="118" t="s">
        <v>217</v>
      </c>
      <c r="V93" s="119">
        <v>3.0000000000000001E-3</v>
      </c>
      <c r="W93" s="110">
        <v>438</v>
      </c>
      <c r="X93" s="118" t="s">
        <v>217</v>
      </c>
      <c r="Y93" s="165">
        <v>2.76</v>
      </c>
      <c r="Z93" s="115">
        <v>0.5</v>
      </c>
      <c r="AA93" s="113">
        <v>1</v>
      </c>
      <c r="AB93" s="111">
        <v>9.6999999999999993</v>
      </c>
      <c r="AC93" s="114">
        <v>9.6999999999999993</v>
      </c>
      <c r="AD93" s="123">
        <v>1.53</v>
      </c>
      <c r="AE93" s="124">
        <v>2.4300000000000002</v>
      </c>
      <c r="AF93" s="125">
        <v>0.92</v>
      </c>
      <c r="AG93" s="123">
        <v>0.53</v>
      </c>
      <c r="AH93" s="123">
        <v>0.69</v>
      </c>
      <c r="AI93" s="124">
        <v>1.59</v>
      </c>
      <c r="AJ93" s="125">
        <v>0.28999999999999998</v>
      </c>
      <c r="AK93" s="123">
        <v>1.18</v>
      </c>
      <c r="AL93" s="123">
        <v>0</v>
      </c>
      <c r="AM93" s="124">
        <v>1.47</v>
      </c>
      <c r="AN93" s="125">
        <v>0</v>
      </c>
      <c r="AO93" s="123">
        <v>0.84</v>
      </c>
      <c r="AP93" s="123">
        <v>1.49</v>
      </c>
      <c r="AQ93" s="124">
        <v>1.83</v>
      </c>
      <c r="AR93" s="125">
        <v>0.74</v>
      </c>
      <c r="AS93" s="123">
        <v>0.63</v>
      </c>
      <c r="AT93" s="123">
        <v>0.69</v>
      </c>
      <c r="AU93" s="124">
        <v>1.3</v>
      </c>
      <c r="AV93" s="125">
        <v>0.55000000000000004</v>
      </c>
      <c r="AW93" s="123">
        <v>1.31</v>
      </c>
      <c r="AX93" s="123">
        <v>0</v>
      </c>
      <c r="AY93" s="124">
        <v>1.87</v>
      </c>
      <c r="AZ93" s="127"/>
      <c r="BA93" s="129"/>
      <c r="BB93" s="129"/>
      <c r="BC93" s="197"/>
      <c r="BD93" s="126">
        <v>0.56999999999999995</v>
      </c>
      <c r="BE93" s="125">
        <v>0.85</v>
      </c>
      <c r="BF93" s="123">
        <v>0</v>
      </c>
      <c r="BG93" s="123">
        <v>0.63</v>
      </c>
      <c r="BH93" s="124">
        <v>1.49</v>
      </c>
      <c r="BI93" s="125">
        <v>0.5</v>
      </c>
      <c r="BJ93" s="123">
        <v>0.26</v>
      </c>
      <c r="BK93" s="123">
        <v>0.83</v>
      </c>
      <c r="BL93" s="124">
        <v>1.59</v>
      </c>
      <c r="BM93" s="125">
        <v>1.53</v>
      </c>
      <c r="BN93" s="123">
        <v>1.65</v>
      </c>
      <c r="BO93" s="123">
        <v>1.33</v>
      </c>
      <c r="BP93" s="123">
        <v>1.87</v>
      </c>
      <c r="BQ93" s="123">
        <v>1.3</v>
      </c>
      <c r="BR93" s="129"/>
      <c r="BS93" s="123">
        <v>4.25</v>
      </c>
      <c r="BT93" s="123">
        <v>1.63</v>
      </c>
      <c r="BU93" s="124">
        <v>1.53</v>
      </c>
      <c r="BV93" s="79">
        <v>1734190.0800000001</v>
      </c>
      <c r="BW93" s="111">
        <v>142.9</v>
      </c>
      <c r="BX93" s="123">
        <v>975.36</v>
      </c>
      <c r="BY93" s="162">
        <v>22</v>
      </c>
      <c r="BZ93" s="111">
        <v>16.5</v>
      </c>
      <c r="CA93" s="120">
        <v>4.4999999999999997E-3</v>
      </c>
      <c r="CB93" s="110">
        <v>391</v>
      </c>
      <c r="CC93" s="119">
        <v>3.0000000000000001E-3</v>
      </c>
      <c r="CD93" s="110">
        <v>438</v>
      </c>
      <c r="CE93" s="104">
        <f t="shared" si="5"/>
        <v>9.3557890638057903E-3</v>
      </c>
      <c r="CF93" s="105">
        <f t="shared" si="3"/>
        <v>2.4300000000000002</v>
      </c>
    </row>
    <row r="94" spans="1:84" hidden="1" x14ac:dyDescent="0.25">
      <c r="A94" s="106">
        <v>93</v>
      </c>
      <c r="B94" s="107"/>
      <c r="C94" s="108" t="s">
        <v>313</v>
      </c>
      <c r="D94" s="113">
        <v>1422.4</v>
      </c>
      <c r="E94" s="111">
        <v>1219.2</v>
      </c>
      <c r="F94" s="111">
        <f t="shared" si="4"/>
        <v>1734190.0800000001</v>
      </c>
      <c r="G94" s="111">
        <v>142.9</v>
      </c>
      <c r="H94" s="123">
        <v>975.36</v>
      </c>
      <c r="I94" s="112">
        <v>1.17</v>
      </c>
      <c r="J94" s="160">
        <v>24</v>
      </c>
      <c r="K94" s="161">
        <v>19.2</v>
      </c>
      <c r="L94" s="162">
        <v>22</v>
      </c>
      <c r="M94" s="163">
        <v>1</v>
      </c>
      <c r="N94" s="111">
        <v>16.5</v>
      </c>
      <c r="O94" s="117" t="s">
        <v>215</v>
      </c>
      <c r="P94" s="118" t="s">
        <v>216</v>
      </c>
      <c r="Q94" s="128" t="s">
        <v>217</v>
      </c>
      <c r="R94" s="120">
        <v>4.4999999999999997E-3</v>
      </c>
      <c r="S94" s="120">
        <v>4.4999999999999997E-3</v>
      </c>
      <c r="T94" s="110">
        <v>391</v>
      </c>
      <c r="U94" s="118" t="s">
        <v>217</v>
      </c>
      <c r="V94" s="119">
        <v>2E-3</v>
      </c>
      <c r="W94" s="110">
        <v>438</v>
      </c>
      <c r="X94" s="118" t="s">
        <v>217</v>
      </c>
      <c r="Y94" s="165">
        <v>1.74</v>
      </c>
      <c r="Z94" s="115">
        <v>0.5</v>
      </c>
      <c r="AA94" s="113">
        <v>1.2</v>
      </c>
      <c r="AB94" s="111">
        <v>6.9</v>
      </c>
      <c r="AC94" s="114">
        <v>5.7</v>
      </c>
      <c r="AD94" s="123">
        <v>1.68</v>
      </c>
      <c r="AE94" s="124">
        <v>1.96</v>
      </c>
      <c r="AF94" s="125">
        <v>0.92</v>
      </c>
      <c r="AG94" s="123">
        <v>0.35</v>
      </c>
      <c r="AH94" s="123">
        <v>0.43</v>
      </c>
      <c r="AI94" s="124">
        <v>1.59</v>
      </c>
      <c r="AJ94" s="125">
        <v>0.28999999999999998</v>
      </c>
      <c r="AK94" s="123">
        <v>0.79</v>
      </c>
      <c r="AL94" s="123">
        <v>0</v>
      </c>
      <c r="AM94" s="124">
        <v>1.08</v>
      </c>
      <c r="AN94" s="125">
        <v>0</v>
      </c>
      <c r="AO94" s="123">
        <v>0.56000000000000005</v>
      </c>
      <c r="AP94" s="123">
        <v>0.97</v>
      </c>
      <c r="AQ94" s="124">
        <v>1.53</v>
      </c>
      <c r="AR94" s="125">
        <v>0.74</v>
      </c>
      <c r="AS94" s="123">
        <v>0.42</v>
      </c>
      <c r="AT94" s="123">
        <v>0.43</v>
      </c>
      <c r="AU94" s="124">
        <v>1.3</v>
      </c>
      <c r="AV94" s="125">
        <v>0.55000000000000004</v>
      </c>
      <c r="AW94" s="123">
        <v>0.88</v>
      </c>
      <c r="AX94" s="123">
        <v>0</v>
      </c>
      <c r="AY94" s="124">
        <v>1.43</v>
      </c>
      <c r="AZ94" s="127"/>
      <c r="BA94" s="129"/>
      <c r="BB94" s="129"/>
      <c r="BC94" s="197"/>
      <c r="BD94" s="126">
        <v>0.56999999999999995</v>
      </c>
      <c r="BE94" s="125">
        <v>0.85</v>
      </c>
      <c r="BF94" s="123">
        <v>0</v>
      </c>
      <c r="BG94" s="123">
        <v>0.4</v>
      </c>
      <c r="BH94" s="124">
        <v>1.25</v>
      </c>
      <c r="BI94" s="125">
        <v>0.5</v>
      </c>
      <c r="BJ94" s="123">
        <v>0.2</v>
      </c>
      <c r="BK94" s="123">
        <v>0.52</v>
      </c>
      <c r="BL94" s="124">
        <v>1.22</v>
      </c>
      <c r="BM94" s="125">
        <v>1.23</v>
      </c>
      <c r="BN94" s="123">
        <v>1.82</v>
      </c>
      <c r="BO94" s="123">
        <v>1.28</v>
      </c>
      <c r="BP94" s="123">
        <v>1.51</v>
      </c>
      <c r="BQ94" s="123">
        <v>1.38</v>
      </c>
      <c r="BR94" s="129"/>
      <c r="BS94" s="123">
        <v>3.43</v>
      </c>
      <c r="BT94" s="123">
        <v>1.57</v>
      </c>
      <c r="BU94" s="124">
        <v>1.61</v>
      </c>
      <c r="BV94" s="79">
        <v>1734190.0800000001</v>
      </c>
      <c r="BW94" s="111">
        <v>142.9</v>
      </c>
      <c r="BX94" s="123">
        <v>975.36</v>
      </c>
      <c r="BY94" s="162">
        <v>22</v>
      </c>
      <c r="BZ94" s="111">
        <v>16.5</v>
      </c>
      <c r="CA94" s="120">
        <v>4.4999999999999997E-3</v>
      </c>
      <c r="CB94" s="110">
        <v>391</v>
      </c>
      <c r="CC94" s="119">
        <v>2E-3</v>
      </c>
      <c r="CD94" s="110">
        <v>438</v>
      </c>
      <c r="CE94" s="104">
        <f t="shared" si="5"/>
        <v>9.011404190291469E-3</v>
      </c>
      <c r="CF94" s="105">
        <f t="shared" si="3"/>
        <v>1.96</v>
      </c>
    </row>
    <row r="95" spans="1:84" hidden="1" x14ac:dyDescent="0.25">
      <c r="A95" s="106">
        <v>94</v>
      </c>
      <c r="B95" s="107"/>
      <c r="C95" s="108" t="s">
        <v>314</v>
      </c>
      <c r="D95" s="113">
        <v>1422.4</v>
      </c>
      <c r="E95" s="111">
        <v>1219.2</v>
      </c>
      <c r="F95" s="111">
        <f t="shared" si="4"/>
        <v>1734190.0800000001</v>
      </c>
      <c r="G95" s="111">
        <v>142.9</v>
      </c>
      <c r="H95" s="123">
        <v>975.36</v>
      </c>
      <c r="I95" s="112">
        <v>1.17</v>
      </c>
      <c r="J95" s="160">
        <v>24</v>
      </c>
      <c r="K95" s="161">
        <v>19.2</v>
      </c>
      <c r="L95" s="162">
        <v>22</v>
      </c>
      <c r="M95" s="163">
        <v>1</v>
      </c>
      <c r="N95" s="111">
        <v>16.5</v>
      </c>
      <c r="O95" s="117" t="s">
        <v>215</v>
      </c>
      <c r="P95" s="118" t="s">
        <v>216</v>
      </c>
      <c r="Q95" s="128" t="s">
        <v>217</v>
      </c>
      <c r="R95" s="120">
        <v>4.4999999999999997E-3</v>
      </c>
      <c r="S95" s="120">
        <v>4.4999999999999997E-3</v>
      </c>
      <c r="T95" s="110">
        <v>391</v>
      </c>
      <c r="U95" s="118" t="s">
        <v>217</v>
      </c>
      <c r="V95" s="119">
        <v>2E-3</v>
      </c>
      <c r="W95" s="110">
        <v>438</v>
      </c>
      <c r="X95" s="118" t="s">
        <v>217</v>
      </c>
      <c r="Y95" s="165">
        <v>2.76</v>
      </c>
      <c r="Z95" s="115">
        <v>0.5</v>
      </c>
      <c r="AA95" s="113">
        <v>1.6</v>
      </c>
      <c r="AB95" s="111">
        <v>5.8</v>
      </c>
      <c r="AC95" s="114">
        <v>3.5</v>
      </c>
      <c r="AD95" s="123">
        <v>2.2000000000000002</v>
      </c>
      <c r="AE95" s="124">
        <v>2.4</v>
      </c>
      <c r="AF95" s="125">
        <v>0.92</v>
      </c>
      <c r="AG95" s="123">
        <v>0.35</v>
      </c>
      <c r="AH95" s="123">
        <v>0.69</v>
      </c>
      <c r="AI95" s="124">
        <v>1.59</v>
      </c>
      <c r="AJ95" s="125">
        <v>0.28999999999999998</v>
      </c>
      <c r="AK95" s="123">
        <v>0.79</v>
      </c>
      <c r="AL95" s="123">
        <v>0</v>
      </c>
      <c r="AM95" s="124">
        <v>1.08</v>
      </c>
      <c r="AN95" s="125">
        <v>0.16</v>
      </c>
      <c r="AO95" s="123">
        <v>0.56000000000000005</v>
      </c>
      <c r="AP95" s="123">
        <v>1.49</v>
      </c>
      <c r="AQ95" s="124">
        <v>1.83</v>
      </c>
      <c r="AR95" s="125">
        <v>0.74</v>
      </c>
      <c r="AS95" s="123">
        <v>0.42</v>
      </c>
      <c r="AT95" s="123">
        <v>0.69</v>
      </c>
      <c r="AU95" s="124">
        <v>1.3</v>
      </c>
      <c r="AV95" s="125">
        <v>0.55000000000000004</v>
      </c>
      <c r="AW95" s="123">
        <v>0.88</v>
      </c>
      <c r="AX95" s="123">
        <v>0</v>
      </c>
      <c r="AY95" s="124">
        <v>1.43</v>
      </c>
      <c r="AZ95" s="127"/>
      <c r="BA95" s="129"/>
      <c r="BB95" s="129"/>
      <c r="BC95" s="197"/>
      <c r="BD95" s="126">
        <v>0.56999999999999995</v>
      </c>
      <c r="BE95" s="125">
        <v>0.85</v>
      </c>
      <c r="BF95" s="123">
        <v>0</v>
      </c>
      <c r="BG95" s="123">
        <v>0.63</v>
      </c>
      <c r="BH95" s="124">
        <v>1.49</v>
      </c>
      <c r="BI95" s="125">
        <v>0.5</v>
      </c>
      <c r="BJ95" s="123">
        <v>0.2</v>
      </c>
      <c r="BK95" s="123">
        <v>0.83</v>
      </c>
      <c r="BL95" s="124">
        <v>1.53</v>
      </c>
      <c r="BM95" s="125">
        <v>1.51</v>
      </c>
      <c r="BN95" s="123">
        <v>2.23</v>
      </c>
      <c r="BO95" s="123">
        <v>1.31</v>
      </c>
      <c r="BP95" s="123">
        <v>1.85</v>
      </c>
      <c r="BQ95" s="123">
        <v>1.68</v>
      </c>
      <c r="BR95" s="129"/>
      <c r="BS95" s="123">
        <v>4.2</v>
      </c>
      <c r="BT95" s="123">
        <v>1.62</v>
      </c>
      <c r="BU95" s="124">
        <v>1.57</v>
      </c>
      <c r="BV95" s="79">
        <v>1734190.0800000001</v>
      </c>
      <c r="BW95" s="111">
        <v>142.9</v>
      </c>
      <c r="BX95" s="123">
        <v>975.36</v>
      </c>
      <c r="BY95" s="162">
        <v>22</v>
      </c>
      <c r="BZ95" s="111">
        <v>16.5</v>
      </c>
      <c r="CA95" s="120">
        <v>4.4999999999999997E-3</v>
      </c>
      <c r="CB95" s="110">
        <v>391</v>
      </c>
      <c r="CC95" s="119">
        <v>2E-3</v>
      </c>
      <c r="CD95" s="110">
        <v>438</v>
      </c>
      <c r="CE95" s="104">
        <f t="shared" si="5"/>
        <v>9.2983915848867376E-3</v>
      </c>
      <c r="CF95" s="105">
        <f t="shared" si="3"/>
        <v>2.4</v>
      </c>
    </row>
    <row r="96" spans="1:84" hidden="1" x14ac:dyDescent="0.25">
      <c r="A96" s="106">
        <v>95</v>
      </c>
      <c r="B96" s="107"/>
      <c r="C96" s="108" t="s">
        <v>315</v>
      </c>
      <c r="D96" s="113">
        <v>1422.4</v>
      </c>
      <c r="E96" s="111">
        <v>1219.2</v>
      </c>
      <c r="F96" s="111">
        <f t="shared" si="4"/>
        <v>1734190.0800000001</v>
      </c>
      <c r="G96" s="111">
        <v>142.9</v>
      </c>
      <c r="H96" s="123">
        <v>975.36</v>
      </c>
      <c r="I96" s="112">
        <v>1.17</v>
      </c>
      <c r="J96" s="160">
        <v>24</v>
      </c>
      <c r="K96" s="161">
        <v>19.2</v>
      </c>
      <c r="L96" s="162">
        <v>22</v>
      </c>
      <c r="M96" s="163">
        <v>1.1200000000000001</v>
      </c>
      <c r="N96" s="111">
        <v>20.399999999999999</v>
      </c>
      <c r="O96" s="117" t="s">
        <v>215</v>
      </c>
      <c r="P96" s="118" t="s">
        <v>207</v>
      </c>
      <c r="Q96" s="128" t="s">
        <v>217</v>
      </c>
      <c r="R96" s="120">
        <v>4.4999999999999997E-3</v>
      </c>
      <c r="S96" s="120">
        <v>4.4999999999999997E-3</v>
      </c>
      <c r="T96" s="110">
        <v>391</v>
      </c>
      <c r="U96" s="118" t="s">
        <v>217</v>
      </c>
      <c r="V96" s="119">
        <v>2E-3</v>
      </c>
      <c r="W96" s="110">
        <v>438</v>
      </c>
      <c r="X96" s="118" t="s">
        <v>217</v>
      </c>
      <c r="Y96" s="165">
        <v>2.76</v>
      </c>
      <c r="Z96" s="115">
        <v>0.5</v>
      </c>
      <c r="AA96" s="113">
        <v>1.9</v>
      </c>
      <c r="AB96" s="111">
        <v>8</v>
      </c>
      <c r="AC96" s="114">
        <v>4.2</v>
      </c>
      <c r="AD96" s="123">
        <v>1.49</v>
      </c>
      <c r="AE96" s="124">
        <v>1.84</v>
      </c>
      <c r="AF96" s="125">
        <v>1.02</v>
      </c>
      <c r="AG96" s="123">
        <v>0.35</v>
      </c>
      <c r="AH96" s="123">
        <v>0.69</v>
      </c>
      <c r="AI96" s="124">
        <v>1.77</v>
      </c>
      <c r="AJ96" s="125">
        <v>0.28999999999999998</v>
      </c>
      <c r="AK96" s="123">
        <v>0.79</v>
      </c>
      <c r="AL96" s="123">
        <v>0</v>
      </c>
      <c r="AM96" s="124">
        <v>1.08</v>
      </c>
      <c r="AN96" s="125">
        <v>0</v>
      </c>
      <c r="AO96" s="123">
        <v>0.56000000000000005</v>
      </c>
      <c r="AP96" s="123">
        <v>1.52</v>
      </c>
      <c r="AQ96" s="124">
        <v>2.0299999999999998</v>
      </c>
      <c r="AR96" s="125">
        <v>0.82</v>
      </c>
      <c r="AS96" s="123">
        <v>0.42</v>
      </c>
      <c r="AT96" s="123">
        <v>0.69</v>
      </c>
      <c r="AU96" s="124">
        <v>1.44</v>
      </c>
      <c r="AV96" s="125">
        <v>0.61</v>
      </c>
      <c r="AW96" s="123">
        <v>0.88</v>
      </c>
      <c r="AX96" s="123">
        <v>0</v>
      </c>
      <c r="AY96" s="124">
        <v>1.49</v>
      </c>
      <c r="AZ96" s="127"/>
      <c r="BA96" s="129"/>
      <c r="BB96" s="129"/>
      <c r="BC96" s="197"/>
      <c r="BD96" s="126">
        <v>0.61</v>
      </c>
      <c r="BE96" s="125">
        <v>0.96</v>
      </c>
      <c r="BF96" s="123">
        <v>0</v>
      </c>
      <c r="BG96" s="123">
        <v>0.63</v>
      </c>
      <c r="BH96" s="124">
        <v>1.59</v>
      </c>
      <c r="BI96" s="125">
        <v>0.56000000000000005</v>
      </c>
      <c r="BJ96" s="123">
        <v>0.2</v>
      </c>
      <c r="BK96" s="123">
        <v>0.83</v>
      </c>
      <c r="BL96" s="124">
        <v>1.59</v>
      </c>
      <c r="BM96" s="125">
        <v>1.04</v>
      </c>
      <c r="BN96" s="123">
        <v>1.71</v>
      </c>
      <c r="BO96" s="123">
        <v>0.91</v>
      </c>
      <c r="BP96" s="123">
        <v>1.27</v>
      </c>
      <c r="BQ96" s="123">
        <v>1.24</v>
      </c>
      <c r="BR96" s="129"/>
      <c r="BS96" s="123">
        <v>3.03</v>
      </c>
      <c r="BT96" s="123">
        <v>1.1599999999999999</v>
      </c>
      <c r="BU96" s="124">
        <v>1.1599999999999999</v>
      </c>
      <c r="BV96" s="79">
        <v>1734190.0800000001</v>
      </c>
      <c r="BW96" s="111">
        <v>142.9</v>
      </c>
      <c r="BX96" s="123">
        <v>975.36</v>
      </c>
      <c r="BY96" s="162">
        <v>22</v>
      </c>
      <c r="BZ96" s="111">
        <v>20.399999999999999</v>
      </c>
      <c r="CA96" s="120">
        <v>4.4999999999999997E-3</v>
      </c>
      <c r="CB96" s="110">
        <v>391</v>
      </c>
      <c r="CC96" s="119">
        <v>2E-3</v>
      </c>
      <c r="CD96" s="110">
        <v>438</v>
      </c>
      <c r="CE96" s="104">
        <f t="shared" si="5"/>
        <v>6.6581075546102561E-3</v>
      </c>
      <c r="CF96" s="105">
        <f t="shared" si="3"/>
        <v>1.84</v>
      </c>
    </row>
    <row r="97" spans="1:84" hidden="1" x14ac:dyDescent="0.25">
      <c r="A97" s="106">
        <v>96</v>
      </c>
      <c r="B97" s="107"/>
      <c r="C97" s="108" t="s">
        <v>316</v>
      </c>
      <c r="D97" s="113">
        <v>1422.4</v>
      </c>
      <c r="E97" s="111">
        <v>1219.2</v>
      </c>
      <c r="F97" s="111">
        <f t="shared" si="4"/>
        <v>1734190.0800000001</v>
      </c>
      <c r="G97" s="111">
        <v>142.9</v>
      </c>
      <c r="H97" s="123">
        <v>975.36</v>
      </c>
      <c r="I97" s="112">
        <v>1.17</v>
      </c>
      <c r="J97" s="160">
        <v>24</v>
      </c>
      <c r="K97" s="161">
        <v>19.2</v>
      </c>
      <c r="L97" s="162">
        <v>22</v>
      </c>
      <c r="M97" s="163">
        <v>1.1200000000000001</v>
      </c>
      <c r="N97" s="111">
        <v>20.399999999999999</v>
      </c>
      <c r="O97" s="117" t="s">
        <v>215</v>
      </c>
      <c r="P97" s="118" t="s">
        <v>207</v>
      </c>
      <c r="Q97" s="128" t="s">
        <v>217</v>
      </c>
      <c r="R97" s="120">
        <v>4.4999999999999997E-3</v>
      </c>
      <c r="S97" s="120">
        <v>4.4999999999999997E-3</v>
      </c>
      <c r="T97" s="110">
        <v>391</v>
      </c>
      <c r="U97" s="118" t="s">
        <v>217</v>
      </c>
      <c r="V97" s="119">
        <v>4.8999999999999998E-3</v>
      </c>
      <c r="W97" s="110">
        <v>438</v>
      </c>
      <c r="X97" s="118" t="s">
        <v>217</v>
      </c>
      <c r="Y97" s="165">
        <v>2.76</v>
      </c>
      <c r="Z97" s="115">
        <v>0.5</v>
      </c>
      <c r="AA97" s="113">
        <v>2.1</v>
      </c>
      <c r="AB97" s="111">
        <v>9.1</v>
      </c>
      <c r="AC97" s="114">
        <v>4.3</v>
      </c>
      <c r="AD97" s="123">
        <v>1.38</v>
      </c>
      <c r="AE97" s="124">
        <v>1.92</v>
      </c>
      <c r="AF97" s="125">
        <v>1.02</v>
      </c>
      <c r="AG97" s="123">
        <v>0.86</v>
      </c>
      <c r="AH97" s="123">
        <v>0.69</v>
      </c>
      <c r="AI97" s="124">
        <v>1.77</v>
      </c>
      <c r="AJ97" s="125">
        <v>0.28999999999999998</v>
      </c>
      <c r="AK97" s="123">
        <v>1.93</v>
      </c>
      <c r="AL97" s="123">
        <v>0</v>
      </c>
      <c r="AM97" s="124">
        <v>2</v>
      </c>
      <c r="AN97" s="125">
        <v>0</v>
      </c>
      <c r="AO97" s="123">
        <v>1.37</v>
      </c>
      <c r="AP97" s="123">
        <v>1.52</v>
      </c>
      <c r="AQ97" s="124">
        <v>2.0299999999999998</v>
      </c>
      <c r="AR97" s="125">
        <v>0.82</v>
      </c>
      <c r="AS97" s="123">
        <v>1.03</v>
      </c>
      <c r="AT97" s="123">
        <v>0.69</v>
      </c>
      <c r="AU97" s="124">
        <v>1.44</v>
      </c>
      <c r="AV97" s="125">
        <v>0.61</v>
      </c>
      <c r="AW97" s="123">
        <v>2.15</v>
      </c>
      <c r="AX97" s="123">
        <v>0</v>
      </c>
      <c r="AY97" s="124">
        <v>2.76</v>
      </c>
      <c r="AZ97" s="127"/>
      <c r="BA97" s="129"/>
      <c r="BB97" s="129"/>
      <c r="BC97" s="197"/>
      <c r="BD97" s="126">
        <v>0.61</v>
      </c>
      <c r="BE97" s="125">
        <v>0.96</v>
      </c>
      <c r="BF97" s="123">
        <v>0</v>
      </c>
      <c r="BG97" s="123">
        <v>0.63</v>
      </c>
      <c r="BH97" s="124">
        <v>1.59</v>
      </c>
      <c r="BI97" s="125">
        <v>0.56000000000000005</v>
      </c>
      <c r="BJ97" s="123">
        <v>0.43</v>
      </c>
      <c r="BK97" s="123">
        <v>0.83</v>
      </c>
      <c r="BL97" s="124">
        <v>1.81</v>
      </c>
      <c r="BM97" s="125">
        <v>1.08</v>
      </c>
      <c r="BN97" s="123">
        <v>0.96</v>
      </c>
      <c r="BO97" s="123">
        <v>0.94</v>
      </c>
      <c r="BP97" s="123">
        <v>1.33</v>
      </c>
      <c r="BQ97" s="123">
        <v>0.69</v>
      </c>
      <c r="BR97" s="129"/>
      <c r="BS97" s="123">
        <v>3.16</v>
      </c>
      <c r="BT97" s="123">
        <v>1.2</v>
      </c>
      <c r="BU97" s="124">
        <v>1.06</v>
      </c>
      <c r="BV97" s="79">
        <v>1734190.0800000001</v>
      </c>
      <c r="BW97" s="111">
        <v>142.9</v>
      </c>
      <c r="BX97" s="123">
        <v>975.36</v>
      </c>
      <c r="BY97" s="162">
        <v>22</v>
      </c>
      <c r="BZ97" s="111">
        <v>20.399999999999999</v>
      </c>
      <c r="CA97" s="120">
        <v>4.4999999999999997E-3</v>
      </c>
      <c r="CB97" s="110">
        <v>391</v>
      </c>
      <c r="CC97" s="119">
        <v>4.8999999999999998E-3</v>
      </c>
      <c r="CD97" s="110">
        <v>438</v>
      </c>
      <c r="CE97" s="104">
        <f t="shared" si="5"/>
        <v>6.887697470286472E-3</v>
      </c>
      <c r="CF97" s="105">
        <f t="shared" si="3"/>
        <v>1.92</v>
      </c>
    </row>
    <row r="98" spans="1:84" hidden="1" x14ac:dyDescent="0.25">
      <c r="A98" s="106">
        <v>97</v>
      </c>
      <c r="B98" s="107"/>
      <c r="C98" s="108" t="s">
        <v>317</v>
      </c>
      <c r="D98" s="113">
        <v>1422.4</v>
      </c>
      <c r="E98" s="111">
        <v>1219.2</v>
      </c>
      <c r="F98" s="111">
        <f t="shared" si="4"/>
        <v>1734190.0800000001</v>
      </c>
      <c r="G98" s="111">
        <v>142.9</v>
      </c>
      <c r="H98" s="123">
        <v>975.36</v>
      </c>
      <c r="I98" s="112">
        <v>1.17</v>
      </c>
      <c r="J98" s="160">
        <v>24</v>
      </c>
      <c r="K98" s="161">
        <v>19.2</v>
      </c>
      <c r="L98" s="162">
        <v>22</v>
      </c>
      <c r="M98" s="163">
        <v>1.1200000000000001</v>
      </c>
      <c r="N98" s="111">
        <v>20.399999999999999</v>
      </c>
      <c r="O98" s="117" t="s">
        <v>215</v>
      </c>
      <c r="P98" s="118" t="s">
        <v>207</v>
      </c>
      <c r="Q98" s="128" t="s">
        <v>217</v>
      </c>
      <c r="R98" s="120">
        <v>4.4999999999999997E-3</v>
      </c>
      <c r="S98" s="120">
        <v>4.4999999999999997E-3</v>
      </c>
      <c r="T98" s="110">
        <v>391</v>
      </c>
      <c r="U98" s="118" t="s">
        <v>217</v>
      </c>
      <c r="V98" s="119">
        <v>2E-3</v>
      </c>
      <c r="W98" s="110">
        <v>438</v>
      </c>
      <c r="X98" s="118" t="s">
        <v>217</v>
      </c>
      <c r="Y98" s="165">
        <v>2.76</v>
      </c>
      <c r="Z98" s="115">
        <v>0.5</v>
      </c>
      <c r="AA98" s="113">
        <v>2.1</v>
      </c>
      <c r="AB98" s="111">
        <v>10.9</v>
      </c>
      <c r="AC98" s="114">
        <v>5.0999999999999996</v>
      </c>
      <c r="AD98" s="123">
        <v>1.76</v>
      </c>
      <c r="AE98" s="124">
        <v>2.35</v>
      </c>
      <c r="AF98" s="125">
        <v>1.02</v>
      </c>
      <c r="AG98" s="123">
        <v>0.35</v>
      </c>
      <c r="AH98" s="123">
        <v>0.69</v>
      </c>
      <c r="AI98" s="124">
        <v>1.77</v>
      </c>
      <c r="AJ98" s="125">
        <v>0.28999999999999998</v>
      </c>
      <c r="AK98" s="123">
        <v>0.79</v>
      </c>
      <c r="AL98" s="123">
        <v>0</v>
      </c>
      <c r="AM98" s="124">
        <v>1.08</v>
      </c>
      <c r="AN98" s="125">
        <v>0</v>
      </c>
      <c r="AO98" s="123">
        <v>0.56000000000000005</v>
      </c>
      <c r="AP98" s="123">
        <v>1.52</v>
      </c>
      <c r="AQ98" s="124">
        <v>2.0299999999999998</v>
      </c>
      <c r="AR98" s="125">
        <v>0.82</v>
      </c>
      <c r="AS98" s="123">
        <v>0.42</v>
      </c>
      <c r="AT98" s="123">
        <v>0.69</v>
      </c>
      <c r="AU98" s="124">
        <v>1.44</v>
      </c>
      <c r="AV98" s="125">
        <v>0.61</v>
      </c>
      <c r="AW98" s="123">
        <v>0.88</v>
      </c>
      <c r="AX98" s="123">
        <v>0</v>
      </c>
      <c r="AY98" s="124">
        <v>1.49</v>
      </c>
      <c r="AZ98" s="127"/>
      <c r="BA98" s="129"/>
      <c r="BB98" s="129"/>
      <c r="BC98" s="197"/>
      <c r="BD98" s="126">
        <v>0.61</v>
      </c>
      <c r="BE98" s="125">
        <v>0.96</v>
      </c>
      <c r="BF98" s="123">
        <v>0</v>
      </c>
      <c r="BG98" s="123">
        <v>0.63</v>
      </c>
      <c r="BH98" s="124">
        <v>1.59</v>
      </c>
      <c r="BI98" s="125">
        <v>0.56000000000000005</v>
      </c>
      <c r="BJ98" s="123">
        <v>0.2</v>
      </c>
      <c r="BK98" s="123">
        <v>0.83</v>
      </c>
      <c r="BL98" s="124">
        <v>1.59</v>
      </c>
      <c r="BM98" s="125">
        <v>1.33</v>
      </c>
      <c r="BN98" s="123">
        <v>2.1800000000000002</v>
      </c>
      <c r="BO98" s="123">
        <v>1.1599999999999999</v>
      </c>
      <c r="BP98" s="123">
        <v>1.63</v>
      </c>
      <c r="BQ98" s="123">
        <v>1.58</v>
      </c>
      <c r="BR98" s="129"/>
      <c r="BS98" s="123">
        <v>3.87</v>
      </c>
      <c r="BT98" s="123">
        <v>1.48</v>
      </c>
      <c r="BU98" s="124">
        <v>1.48</v>
      </c>
      <c r="BV98" s="79">
        <v>1734190.0800000001</v>
      </c>
      <c r="BW98" s="111">
        <v>142.9</v>
      </c>
      <c r="BX98" s="123">
        <v>975.36</v>
      </c>
      <c r="BY98" s="162">
        <v>22</v>
      </c>
      <c r="BZ98" s="111">
        <v>20.399999999999999</v>
      </c>
      <c r="CA98" s="120">
        <v>4.4999999999999997E-3</v>
      </c>
      <c r="CB98" s="110">
        <v>391</v>
      </c>
      <c r="CC98" s="119">
        <v>2E-3</v>
      </c>
      <c r="CD98" s="110">
        <v>438</v>
      </c>
      <c r="CE98" s="104">
        <f t="shared" si="5"/>
        <v>8.4948268800199827E-3</v>
      </c>
      <c r="CF98" s="105">
        <f t="shared" si="3"/>
        <v>2.35</v>
      </c>
    </row>
    <row r="99" spans="1:84" hidden="1" x14ac:dyDescent="0.25">
      <c r="A99" s="106">
        <v>98</v>
      </c>
      <c r="B99" s="107"/>
      <c r="C99" s="108" t="s">
        <v>318</v>
      </c>
      <c r="D99" s="113">
        <v>1422.4</v>
      </c>
      <c r="E99" s="111">
        <v>1219.2</v>
      </c>
      <c r="F99" s="111">
        <f t="shared" si="4"/>
        <v>1734190.0800000001</v>
      </c>
      <c r="G99" s="111">
        <v>142.9</v>
      </c>
      <c r="H99" s="123">
        <v>975.36</v>
      </c>
      <c r="I99" s="112">
        <v>1.17</v>
      </c>
      <c r="J99" s="160">
        <v>24</v>
      </c>
      <c r="K99" s="161">
        <v>19.2</v>
      </c>
      <c r="L99" s="162">
        <v>22</v>
      </c>
      <c r="M99" s="163">
        <v>1.1200000000000001</v>
      </c>
      <c r="N99" s="111">
        <v>20.399999999999999</v>
      </c>
      <c r="O99" s="117" t="s">
        <v>215</v>
      </c>
      <c r="P99" s="118" t="s">
        <v>207</v>
      </c>
      <c r="Q99" s="128" t="s">
        <v>217</v>
      </c>
      <c r="R99" s="120">
        <v>4.4999999999999997E-3</v>
      </c>
      <c r="S99" s="120">
        <v>4.4999999999999997E-3</v>
      </c>
      <c r="T99" s="110">
        <v>391</v>
      </c>
      <c r="U99" s="118" t="s">
        <v>217</v>
      </c>
      <c r="V99" s="119">
        <v>4.8999999999999998E-3</v>
      </c>
      <c r="W99" s="110">
        <v>438</v>
      </c>
      <c r="X99" s="118" t="s">
        <v>217</v>
      </c>
      <c r="Y99" s="165">
        <v>2.76</v>
      </c>
      <c r="Z99" s="115">
        <v>0.5</v>
      </c>
      <c r="AA99" s="113">
        <v>2.4</v>
      </c>
      <c r="AB99" s="111">
        <v>8.8000000000000007</v>
      </c>
      <c r="AC99" s="114">
        <v>3.6</v>
      </c>
      <c r="AD99" s="123">
        <v>1.96</v>
      </c>
      <c r="AE99" s="124">
        <v>2.4</v>
      </c>
      <c r="AF99" s="125">
        <v>1.02</v>
      </c>
      <c r="AG99" s="123">
        <v>0.86</v>
      </c>
      <c r="AH99" s="123">
        <v>0.69</v>
      </c>
      <c r="AI99" s="124">
        <v>1.77</v>
      </c>
      <c r="AJ99" s="125">
        <v>0.28999999999999998</v>
      </c>
      <c r="AK99" s="123">
        <v>1.93</v>
      </c>
      <c r="AL99" s="123">
        <v>0</v>
      </c>
      <c r="AM99" s="124">
        <v>2</v>
      </c>
      <c r="AN99" s="125">
        <v>0.14000000000000001</v>
      </c>
      <c r="AO99" s="123">
        <v>1.37</v>
      </c>
      <c r="AP99" s="123">
        <v>1.52</v>
      </c>
      <c r="AQ99" s="124">
        <v>2.0299999999999998</v>
      </c>
      <c r="AR99" s="125">
        <v>0.82</v>
      </c>
      <c r="AS99" s="123">
        <v>1.03</v>
      </c>
      <c r="AT99" s="123">
        <v>0.69</v>
      </c>
      <c r="AU99" s="124">
        <v>1.44</v>
      </c>
      <c r="AV99" s="125">
        <v>0.61</v>
      </c>
      <c r="AW99" s="123">
        <v>2.15</v>
      </c>
      <c r="AX99" s="123">
        <v>0</v>
      </c>
      <c r="AY99" s="124">
        <v>2.76</v>
      </c>
      <c r="AZ99" s="127"/>
      <c r="BA99" s="129"/>
      <c r="BB99" s="129"/>
      <c r="BC99" s="197"/>
      <c r="BD99" s="126">
        <v>0.61</v>
      </c>
      <c r="BE99" s="125">
        <v>0.96</v>
      </c>
      <c r="BF99" s="123">
        <v>0</v>
      </c>
      <c r="BG99" s="123">
        <v>0.63</v>
      </c>
      <c r="BH99" s="124">
        <v>1.59</v>
      </c>
      <c r="BI99" s="125">
        <v>0.56000000000000005</v>
      </c>
      <c r="BJ99" s="123">
        <v>0.43</v>
      </c>
      <c r="BK99" s="123">
        <v>0.83</v>
      </c>
      <c r="BL99" s="124">
        <v>1.81</v>
      </c>
      <c r="BM99" s="125">
        <v>1.36</v>
      </c>
      <c r="BN99" s="123">
        <v>1.2</v>
      </c>
      <c r="BO99" s="123">
        <v>1.18</v>
      </c>
      <c r="BP99" s="123">
        <v>1.66</v>
      </c>
      <c r="BQ99" s="123">
        <v>0.87</v>
      </c>
      <c r="BR99" s="129"/>
      <c r="BS99" s="123">
        <v>3.95</v>
      </c>
      <c r="BT99" s="123">
        <v>1.51</v>
      </c>
      <c r="BU99" s="124">
        <v>1.32</v>
      </c>
      <c r="BV99" s="79">
        <v>1734190.0800000001</v>
      </c>
      <c r="BW99" s="111">
        <v>142.9</v>
      </c>
      <c r="BX99" s="123">
        <v>975.36</v>
      </c>
      <c r="BY99" s="162">
        <v>22</v>
      </c>
      <c r="BZ99" s="111">
        <v>20.399999999999999</v>
      </c>
      <c r="CA99" s="120">
        <v>4.4999999999999997E-3</v>
      </c>
      <c r="CB99" s="110">
        <v>391</v>
      </c>
      <c r="CC99" s="119">
        <v>4.8999999999999998E-3</v>
      </c>
      <c r="CD99" s="110">
        <v>438</v>
      </c>
      <c r="CE99" s="104">
        <f t="shared" si="5"/>
        <v>8.6670193167771442E-3</v>
      </c>
      <c r="CF99" s="105">
        <f t="shared" si="3"/>
        <v>2.4</v>
      </c>
    </row>
    <row r="100" spans="1:84" hidden="1" x14ac:dyDescent="0.25">
      <c r="A100" s="106">
        <v>99</v>
      </c>
      <c r="B100" s="107"/>
      <c r="C100" s="108" t="s">
        <v>319</v>
      </c>
      <c r="D100" s="113">
        <v>1422.4</v>
      </c>
      <c r="E100" s="111">
        <v>1219.2</v>
      </c>
      <c r="F100" s="111">
        <f t="shared" si="4"/>
        <v>1734190.0800000001</v>
      </c>
      <c r="G100" s="111">
        <v>142.9</v>
      </c>
      <c r="H100" s="123">
        <v>975.36</v>
      </c>
      <c r="I100" s="112">
        <v>1.17</v>
      </c>
      <c r="J100" s="160">
        <v>24</v>
      </c>
      <c r="K100" s="161">
        <v>19.2</v>
      </c>
      <c r="L100" s="162">
        <v>22</v>
      </c>
      <c r="M100" s="163">
        <v>1.1200000000000001</v>
      </c>
      <c r="N100" s="111">
        <v>20.399999999999999</v>
      </c>
      <c r="O100" s="117" t="s">
        <v>215</v>
      </c>
      <c r="P100" s="118" t="s">
        <v>207</v>
      </c>
      <c r="Q100" s="128" t="s">
        <v>217</v>
      </c>
      <c r="R100" s="120">
        <v>4.4000000000000003E-3</v>
      </c>
      <c r="S100" s="120">
        <v>4.4000000000000003E-3</v>
      </c>
      <c r="T100" s="110">
        <v>391</v>
      </c>
      <c r="U100" s="118" t="s">
        <v>217</v>
      </c>
      <c r="V100" s="119">
        <v>2E-3</v>
      </c>
      <c r="W100" s="110">
        <v>438</v>
      </c>
      <c r="X100" s="118" t="s">
        <v>217</v>
      </c>
      <c r="Y100" s="165">
        <v>2.76</v>
      </c>
      <c r="Z100" s="115">
        <v>0.5</v>
      </c>
      <c r="AA100" s="113">
        <v>2.2999999999999998</v>
      </c>
      <c r="AB100" s="111">
        <v>11.9</v>
      </c>
      <c r="AC100" s="114">
        <v>5.0999999999999996</v>
      </c>
      <c r="AD100" s="123">
        <v>1.47</v>
      </c>
      <c r="AE100" s="124">
        <v>2.0299999999999998</v>
      </c>
      <c r="AF100" s="125">
        <v>1.02</v>
      </c>
      <c r="AG100" s="123">
        <v>0.35</v>
      </c>
      <c r="AH100" s="123">
        <v>0.69</v>
      </c>
      <c r="AI100" s="124">
        <v>1.77</v>
      </c>
      <c r="AJ100" s="125">
        <v>0.28999999999999998</v>
      </c>
      <c r="AK100" s="123">
        <v>0.79</v>
      </c>
      <c r="AL100" s="123">
        <v>0</v>
      </c>
      <c r="AM100" s="124">
        <v>1.08</v>
      </c>
      <c r="AN100" s="125">
        <v>0</v>
      </c>
      <c r="AO100" s="123">
        <v>0.56000000000000005</v>
      </c>
      <c r="AP100" s="123">
        <v>1.52</v>
      </c>
      <c r="AQ100" s="124">
        <v>2.0299999999999998</v>
      </c>
      <c r="AR100" s="125">
        <v>0.82</v>
      </c>
      <c r="AS100" s="123">
        <v>0.42</v>
      </c>
      <c r="AT100" s="123">
        <v>0.69</v>
      </c>
      <c r="AU100" s="124">
        <v>1.44</v>
      </c>
      <c r="AV100" s="125">
        <v>0.61</v>
      </c>
      <c r="AW100" s="123">
        <v>0.88</v>
      </c>
      <c r="AX100" s="123">
        <v>0</v>
      </c>
      <c r="AY100" s="124">
        <v>1.49</v>
      </c>
      <c r="AZ100" s="127"/>
      <c r="BA100" s="129"/>
      <c r="BB100" s="129"/>
      <c r="BC100" s="197"/>
      <c r="BD100" s="126">
        <v>0.61</v>
      </c>
      <c r="BE100" s="125">
        <v>0.96</v>
      </c>
      <c r="BF100" s="123">
        <v>0</v>
      </c>
      <c r="BG100" s="123">
        <v>0.63</v>
      </c>
      <c r="BH100" s="124">
        <v>1.59</v>
      </c>
      <c r="BI100" s="125">
        <v>0.56000000000000005</v>
      </c>
      <c r="BJ100" s="123">
        <v>0.2</v>
      </c>
      <c r="BK100" s="123">
        <v>0.83</v>
      </c>
      <c r="BL100" s="124">
        <v>1.59</v>
      </c>
      <c r="BM100" s="125">
        <v>1.1499999999999999</v>
      </c>
      <c r="BN100" s="123">
        <v>1.89</v>
      </c>
      <c r="BO100" s="123">
        <v>1</v>
      </c>
      <c r="BP100" s="123">
        <v>1.41</v>
      </c>
      <c r="BQ100" s="123">
        <v>1.37</v>
      </c>
      <c r="BR100" s="129"/>
      <c r="BS100" s="123">
        <v>3.35</v>
      </c>
      <c r="BT100" s="123">
        <v>1.28</v>
      </c>
      <c r="BU100" s="124">
        <v>1.28</v>
      </c>
      <c r="BV100" s="79">
        <v>1734190.0800000001</v>
      </c>
      <c r="BW100" s="111">
        <v>142.9</v>
      </c>
      <c r="BX100" s="123">
        <v>975.36</v>
      </c>
      <c r="BY100" s="162">
        <v>22</v>
      </c>
      <c r="BZ100" s="111">
        <v>20.399999999999999</v>
      </c>
      <c r="CA100" s="120">
        <v>4.4000000000000003E-3</v>
      </c>
      <c r="CB100" s="110">
        <v>391</v>
      </c>
      <c r="CC100" s="119">
        <v>2E-3</v>
      </c>
      <c r="CD100" s="110">
        <v>438</v>
      </c>
      <c r="CE100" s="104">
        <f t="shared" si="5"/>
        <v>7.3468773016389039E-3</v>
      </c>
      <c r="CF100" s="105">
        <f t="shared" si="3"/>
        <v>2.0299999999999998</v>
      </c>
    </row>
    <row r="101" spans="1:84" hidden="1" x14ac:dyDescent="0.25">
      <c r="A101" s="106">
        <v>100</v>
      </c>
      <c r="B101" s="107"/>
      <c r="C101" s="108" t="s">
        <v>320</v>
      </c>
      <c r="D101" s="113">
        <v>1422.4</v>
      </c>
      <c r="E101" s="111">
        <v>1219.2</v>
      </c>
      <c r="F101" s="111">
        <f t="shared" si="4"/>
        <v>1734190.0800000001</v>
      </c>
      <c r="G101" s="111">
        <v>142.9</v>
      </c>
      <c r="H101" s="123">
        <v>975.36</v>
      </c>
      <c r="I101" s="112">
        <v>1.17</v>
      </c>
      <c r="J101" s="160">
        <v>24</v>
      </c>
      <c r="K101" s="161">
        <v>19.2</v>
      </c>
      <c r="L101" s="162">
        <v>22</v>
      </c>
      <c r="M101" s="163">
        <v>1.1200000000000001</v>
      </c>
      <c r="N101" s="111">
        <v>20.399999999999999</v>
      </c>
      <c r="O101" s="117" t="s">
        <v>215</v>
      </c>
      <c r="P101" s="118" t="s">
        <v>207</v>
      </c>
      <c r="Q101" s="128" t="s">
        <v>217</v>
      </c>
      <c r="R101" s="120">
        <v>4.4000000000000003E-3</v>
      </c>
      <c r="S101" s="120">
        <v>4.4000000000000003E-3</v>
      </c>
      <c r="T101" s="110">
        <v>391</v>
      </c>
      <c r="U101" s="118" t="s">
        <v>217</v>
      </c>
      <c r="V101" s="119">
        <v>4.8999999999999998E-3</v>
      </c>
      <c r="W101" s="110">
        <v>438</v>
      </c>
      <c r="X101" s="118" t="s">
        <v>217</v>
      </c>
      <c r="Y101" s="165">
        <v>2.76</v>
      </c>
      <c r="Z101" s="115">
        <v>0.5</v>
      </c>
      <c r="AA101" s="113">
        <v>1.7</v>
      </c>
      <c r="AB101" s="111">
        <v>9.6</v>
      </c>
      <c r="AC101" s="114">
        <v>5.7</v>
      </c>
      <c r="AD101" s="123">
        <v>1.47</v>
      </c>
      <c r="AE101" s="124">
        <v>2.2000000000000002</v>
      </c>
      <c r="AF101" s="125">
        <v>1.02</v>
      </c>
      <c r="AG101" s="123">
        <v>0.86</v>
      </c>
      <c r="AH101" s="123">
        <v>0.69</v>
      </c>
      <c r="AI101" s="124">
        <v>1.77</v>
      </c>
      <c r="AJ101" s="125">
        <v>0.28999999999999998</v>
      </c>
      <c r="AK101" s="123">
        <v>1.93</v>
      </c>
      <c r="AL101" s="123">
        <v>0</v>
      </c>
      <c r="AM101" s="124">
        <v>2</v>
      </c>
      <c r="AN101" s="125">
        <v>0</v>
      </c>
      <c r="AO101" s="123">
        <v>1.37</v>
      </c>
      <c r="AP101" s="123">
        <v>1.52</v>
      </c>
      <c r="AQ101" s="124">
        <v>2.0299999999999998</v>
      </c>
      <c r="AR101" s="125">
        <v>0.82</v>
      </c>
      <c r="AS101" s="123">
        <v>1.03</v>
      </c>
      <c r="AT101" s="123">
        <v>0.69</v>
      </c>
      <c r="AU101" s="124">
        <v>1.44</v>
      </c>
      <c r="AV101" s="125">
        <v>0.61</v>
      </c>
      <c r="AW101" s="123">
        <v>2.15</v>
      </c>
      <c r="AX101" s="123">
        <v>0</v>
      </c>
      <c r="AY101" s="124">
        <v>2.76</v>
      </c>
      <c r="AZ101" s="127"/>
      <c r="BA101" s="129"/>
      <c r="BB101" s="129"/>
      <c r="BC101" s="197"/>
      <c r="BD101" s="126">
        <v>0.61</v>
      </c>
      <c r="BE101" s="125">
        <v>0.96</v>
      </c>
      <c r="BF101" s="123">
        <v>0</v>
      </c>
      <c r="BG101" s="123">
        <v>0.63</v>
      </c>
      <c r="BH101" s="124">
        <v>1.59</v>
      </c>
      <c r="BI101" s="125">
        <v>0.56000000000000005</v>
      </c>
      <c r="BJ101" s="123">
        <v>0.43</v>
      </c>
      <c r="BK101" s="123">
        <v>0.83</v>
      </c>
      <c r="BL101" s="124">
        <v>1.81</v>
      </c>
      <c r="BM101" s="125">
        <v>1.25</v>
      </c>
      <c r="BN101" s="123">
        <v>1.1000000000000001</v>
      </c>
      <c r="BO101" s="123">
        <v>1.0900000000000001</v>
      </c>
      <c r="BP101" s="123">
        <v>1.53</v>
      </c>
      <c r="BQ101" s="123">
        <v>0.8</v>
      </c>
      <c r="BR101" s="129"/>
      <c r="BS101" s="123">
        <v>3.63</v>
      </c>
      <c r="BT101" s="123">
        <v>1.39</v>
      </c>
      <c r="BU101" s="124">
        <v>1.22</v>
      </c>
      <c r="BV101" s="79">
        <v>1734190.0800000001</v>
      </c>
      <c r="BW101" s="111">
        <v>142.9</v>
      </c>
      <c r="BX101" s="123">
        <v>975.36</v>
      </c>
      <c r="BY101" s="162">
        <v>22</v>
      </c>
      <c r="BZ101" s="111">
        <v>20.399999999999999</v>
      </c>
      <c r="CA101" s="120">
        <v>4.4000000000000003E-3</v>
      </c>
      <c r="CB101" s="110">
        <v>391</v>
      </c>
      <c r="CC101" s="119">
        <v>4.8999999999999998E-3</v>
      </c>
      <c r="CD101" s="110">
        <v>438</v>
      </c>
      <c r="CE101" s="104">
        <f t="shared" si="5"/>
        <v>7.9782495697484964E-3</v>
      </c>
      <c r="CF101" s="105">
        <f t="shared" si="3"/>
        <v>2.2000000000000002</v>
      </c>
    </row>
    <row r="102" spans="1:84" hidden="1" x14ac:dyDescent="0.25">
      <c r="A102" s="106">
        <v>101</v>
      </c>
      <c r="B102" s="107"/>
      <c r="C102" s="108" t="s">
        <v>321</v>
      </c>
      <c r="D102" s="113">
        <v>1422.4</v>
      </c>
      <c r="E102" s="111">
        <v>1219.2</v>
      </c>
      <c r="F102" s="111">
        <f t="shared" si="4"/>
        <v>1734190.0800000001</v>
      </c>
      <c r="G102" s="111">
        <v>142.9</v>
      </c>
      <c r="H102" s="123">
        <v>975.36</v>
      </c>
      <c r="I102" s="112">
        <v>1.17</v>
      </c>
      <c r="J102" s="160">
        <v>24</v>
      </c>
      <c r="K102" s="161">
        <v>19.2</v>
      </c>
      <c r="L102" s="162">
        <v>22</v>
      </c>
      <c r="M102" s="163">
        <v>1.1200000000000001</v>
      </c>
      <c r="N102" s="111">
        <v>20.399999999999999</v>
      </c>
      <c r="O102" s="117" t="s">
        <v>215</v>
      </c>
      <c r="P102" s="118" t="s">
        <v>207</v>
      </c>
      <c r="Q102" s="128" t="s">
        <v>217</v>
      </c>
      <c r="R102" s="120">
        <v>4.4999999999999997E-3</v>
      </c>
      <c r="S102" s="120">
        <v>4.4999999999999997E-3</v>
      </c>
      <c r="T102" s="110">
        <v>391</v>
      </c>
      <c r="U102" s="118" t="s">
        <v>217</v>
      </c>
      <c r="V102" s="119">
        <v>2E-3</v>
      </c>
      <c r="W102" s="110">
        <v>438</v>
      </c>
      <c r="X102" s="118" t="s">
        <v>217</v>
      </c>
      <c r="Y102" s="165">
        <v>2.76</v>
      </c>
      <c r="Z102" s="115">
        <v>0.5</v>
      </c>
      <c r="AA102" s="113">
        <v>3.3</v>
      </c>
      <c r="AB102" s="111">
        <v>15.5</v>
      </c>
      <c r="AC102" s="114">
        <v>4.7</v>
      </c>
      <c r="AD102" s="123">
        <v>1.95</v>
      </c>
      <c r="AE102" s="124">
        <v>2.1800000000000002</v>
      </c>
      <c r="AF102" s="125">
        <v>1.02</v>
      </c>
      <c r="AG102" s="123">
        <v>0.35</v>
      </c>
      <c r="AH102" s="123">
        <v>0.69</v>
      </c>
      <c r="AI102" s="124">
        <v>1.77</v>
      </c>
      <c r="AJ102" s="125">
        <v>0.28999999999999998</v>
      </c>
      <c r="AK102" s="123">
        <v>0.79</v>
      </c>
      <c r="AL102" s="123">
        <v>0</v>
      </c>
      <c r="AM102" s="124">
        <v>1.08</v>
      </c>
      <c r="AN102" s="125">
        <v>0</v>
      </c>
      <c r="AO102" s="123">
        <v>0.56000000000000005</v>
      </c>
      <c r="AP102" s="123">
        <v>1.52</v>
      </c>
      <c r="AQ102" s="124">
        <v>2.0299999999999998</v>
      </c>
      <c r="AR102" s="125">
        <v>0.82</v>
      </c>
      <c r="AS102" s="123">
        <v>0.42</v>
      </c>
      <c r="AT102" s="123">
        <v>0.69</v>
      </c>
      <c r="AU102" s="124">
        <v>1.44</v>
      </c>
      <c r="AV102" s="125">
        <v>0.61</v>
      </c>
      <c r="AW102" s="123">
        <v>0.88</v>
      </c>
      <c r="AX102" s="123">
        <v>0</v>
      </c>
      <c r="AY102" s="124">
        <v>1.49</v>
      </c>
      <c r="AZ102" s="127"/>
      <c r="BA102" s="129"/>
      <c r="BB102" s="129"/>
      <c r="BC102" s="197"/>
      <c r="BD102" s="126">
        <v>0.61</v>
      </c>
      <c r="BE102" s="125">
        <v>0.96</v>
      </c>
      <c r="BF102" s="123">
        <v>0</v>
      </c>
      <c r="BG102" s="123">
        <v>0.63</v>
      </c>
      <c r="BH102" s="124">
        <v>1.59</v>
      </c>
      <c r="BI102" s="125">
        <v>0.56000000000000005</v>
      </c>
      <c r="BJ102" s="123">
        <v>0.2</v>
      </c>
      <c r="BK102" s="123">
        <v>0.83</v>
      </c>
      <c r="BL102" s="124">
        <v>1.59</v>
      </c>
      <c r="BM102" s="125">
        <v>1.23</v>
      </c>
      <c r="BN102" s="123">
        <v>2.02</v>
      </c>
      <c r="BO102" s="123">
        <v>1.07</v>
      </c>
      <c r="BP102" s="123">
        <v>1.51</v>
      </c>
      <c r="BQ102" s="123">
        <v>1.46</v>
      </c>
      <c r="BR102" s="129"/>
      <c r="BS102" s="123">
        <v>3.59</v>
      </c>
      <c r="BT102" s="123">
        <v>1.37</v>
      </c>
      <c r="BU102" s="124">
        <v>1.37</v>
      </c>
      <c r="BV102" s="79">
        <v>1734190.0800000001</v>
      </c>
      <c r="BW102" s="111">
        <v>142.9</v>
      </c>
      <c r="BX102" s="123">
        <v>975.36</v>
      </c>
      <c r="BY102" s="162">
        <v>22</v>
      </c>
      <c r="BZ102" s="111">
        <v>20.399999999999999</v>
      </c>
      <c r="CA102" s="120">
        <v>4.4999999999999997E-3</v>
      </c>
      <c r="CB102" s="110">
        <v>391</v>
      </c>
      <c r="CC102" s="119">
        <v>2E-3</v>
      </c>
      <c r="CD102" s="110">
        <v>438</v>
      </c>
      <c r="CE102" s="104">
        <f t="shared" si="5"/>
        <v>7.8634546119103893E-3</v>
      </c>
      <c r="CF102" s="105">
        <f t="shared" si="3"/>
        <v>2.1800000000000002</v>
      </c>
    </row>
    <row r="103" spans="1:84" hidden="1" x14ac:dyDescent="0.25">
      <c r="A103" s="106">
        <v>102</v>
      </c>
      <c r="B103" s="107"/>
      <c r="C103" s="108" t="s">
        <v>322</v>
      </c>
      <c r="D103" s="113">
        <v>1422.4</v>
      </c>
      <c r="E103" s="111">
        <v>1219.2</v>
      </c>
      <c r="F103" s="111">
        <f t="shared" si="4"/>
        <v>1734190.0800000001</v>
      </c>
      <c r="G103" s="111">
        <v>142.9</v>
      </c>
      <c r="H103" s="123">
        <v>975.36</v>
      </c>
      <c r="I103" s="112">
        <v>1.17</v>
      </c>
      <c r="J103" s="160">
        <v>24</v>
      </c>
      <c r="K103" s="161">
        <v>19.2</v>
      </c>
      <c r="L103" s="162">
        <v>22</v>
      </c>
      <c r="M103" s="163">
        <v>1.1200000000000001</v>
      </c>
      <c r="N103" s="111">
        <v>20.399999999999999</v>
      </c>
      <c r="O103" s="117" t="s">
        <v>215</v>
      </c>
      <c r="P103" s="118" t="s">
        <v>207</v>
      </c>
      <c r="Q103" s="128" t="s">
        <v>217</v>
      </c>
      <c r="R103" s="120">
        <v>4.4999999999999997E-3</v>
      </c>
      <c r="S103" s="120">
        <v>4.4999999999999997E-3</v>
      </c>
      <c r="T103" s="110">
        <v>391</v>
      </c>
      <c r="U103" s="118" t="s">
        <v>217</v>
      </c>
      <c r="V103" s="119">
        <v>4.8999999999999998E-3</v>
      </c>
      <c r="W103" s="110">
        <v>438</v>
      </c>
      <c r="X103" s="118" t="s">
        <v>217</v>
      </c>
      <c r="Y103" s="165">
        <v>2.76</v>
      </c>
      <c r="Z103" s="115">
        <v>0.5</v>
      </c>
      <c r="AA103" s="113">
        <v>2.4</v>
      </c>
      <c r="AB103" s="111">
        <v>9.6</v>
      </c>
      <c r="AC103" s="114">
        <v>4.0999999999999996</v>
      </c>
      <c r="AD103" s="123">
        <v>1.75</v>
      </c>
      <c r="AE103" s="124">
        <v>2.14</v>
      </c>
      <c r="AF103" s="125">
        <v>1.02</v>
      </c>
      <c r="AG103" s="123">
        <v>0.86</v>
      </c>
      <c r="AH103" s="123">
        <v>0.69</v>
      </c>
      <c r="AI103" s="124">
        <v>1.77</v>
      </c>
      <c r="AJ103" s="125">
        <v>0.28999999999999998</v>
      </c>
      <c r="AK103" s="123">
        <v>1.93</v>
      </c>
      <c r="AL103" s="123">
        <v>0</v>
      </c>
      <c r="AM103" s="124">
        <v>2</v>
      </c>
      <c r="AN103" s="125">
        <v>0</v>
      </c>
      <c r="AO103" s="123">
        <v>1.37</v>
      </c>
      <c r="AP103" s="123">
        <v>1.52</v>
      </c>
      <c r="AQ103" s="124">
        <v>2.0299999999999998</v>
      </c>
      <c r="AR103" s="125">
        <v>0.82</v>
      </c>
      <c r="AS103" s="123">
        <v>1.03</v>
      </c>
      <c r="AT103" s="123">
        <v>0.69</v>
      </c>
      <c r="AU103" s="124">
        <v>1.44</v>
      </c>
      <c r="AV103" s="125">
        <v>0.61</v>
      </c>
      <c r="AW103" s="123">
        <v>2.15</v>
      </c>
      <c r="AX103" s="123">
        <v>0</v>
      </c>
      <c r="AY103" s="124">
        <v>2.76</v>
      </c>
      <c r="AZ103" s="127"/>
      <c r="BA103" s="129"/>
      <c r="BB103" s="129"/>
      <c r="BC103" s="197"/>
      <c r="BD103" s="126">
        <v>0.61</v>
      </c>
      <c r="BE103" s="125">
        <v>0.96</v>
      </c>
      <c r="BF103" s="123">
        <v>0</v>
      </c>
      <c r="BG103" s="123">
        <v>0.63</v>
      </c>
      <c r="BH103" s="124">
        <v>1.59</v>
      </c>
      <c r="BI103" s="125">
        <v>0.56000000000000005</v>
      </c>
      <c r="BJ103" s="123">
        <v>0.43</v>
      </c>
      <c r="BK103" s="123">
        <v>0.83</v>
      </c>
      <c r="BL103" s="124">
        <v>1.81</v>
      </c>
      <c r="BM103" s="125">
        <v>1.21</v>
      </c>
      <c r="BN103" s="123">
        <v>1.07</v>
      </c>
      <c r="BO103" s="123">
        <v>1.06</v>
      </c>
      <c r="BP103" s="123">
        <v>1.48</v>
      </c>
      <c r="BQ103" s="123">
        <v>0.78</v>
      </c>
      <c r="BR103" s="129"/>
      <c r="BS103" s="123">
        <v>3.53</v>
      </c>
      <c r="BT103" s="123">
        <v>1.35</v>
      </c>
      <c r="BU103" s="124">
        <v>1.18</v>
      </c>
      <c r="BV103" s="79">
        <v>1734190.0800000001</v>
      </c>
      <c r="BW103" s="111">
        <v>142.9</v>
      </c>
      <c r="BX103" s="123">
        <v>975.36</v>
      </c>
      <c r="BY103" s="162">
        <v>22</v>
      </c>
      <c r="BZ103" s="111">
        <v>20.399999999999999</v>
      </c>
      <c r="CA103" s="120">
        <v>4.4999999999999997E-3</v>
      </c>
      <c r="CB103" s="110">
        <v>391</v>
      </c>
      <c r="CC103" s="119">
        <v>4.8999999999999998E-3</v>
      </c>
      <c r="CD103" s="110">
        <v>438</v>
      </c>
      <c r="CE103" s="104">
        <f t="shared" si="5"/>
        <v>7.7486596540722813E-3</v>
      </c>
      <c r="CF103" s="105">
        <f t="shared" si="3"/>
        <v>2.14</v>
      </c>
    </row>
    <row r="104" spans="1:84" hidden="1" x14ac:dyDescent="0.25">
      <c r="A104" s="106">
        <v>103</v>
      </c>
      <c r="B104" s="107"/>
      <c r="C104" s="108" t="s">
        <v>323</v>
      </c>
      <c r="D104" s="113">
        <v>1422.4</v>
      </c>
      <c r="E104" s="111">
        <v>1219.2</v>
      </c>
      <c r="F104" s="111">
        <f t="shared" si="4"/>
        <v>1734190.0800000001</v>
      </c>
      <c r="G104" s="111">
        <v>142.9</v>
      </c>
      <c r="H104" s="123">
        <v>975.36</v>
      </c>
      <c r="I104" s="112">
        <v>1.17</v>
      </c>
      <c r="J104" s="160">
        <v>24</v>
      </c>
      <c r="K104" s="161">
        <v>19.2</v>
      </c>
      <c r="L104" s="162">
        <v>22</v>
      </c>
      <c r="M104" s="163">
        <v>1.1200000000000001</v>
      </c>
      <c r="N104" s="111">
        <v>20.399999999999999</v>
      </c>
      <c r="O104" s="117" t="s">
        <v>215</v>
      </c>
      <c r="P104" s="118" t="s">
        <v>207</v>
      </c>
      <c r="Q104" s="128" t="s">
        <v>217</v>
      </c>
      <c r="R104" s="120">
        <v>4.4999999999999997E-3</v>
      </c>
      <c r="S104" s="120">
        <v>4.4999999999999997E-3</v>
      </c>
      <c r="T104" s="110">
        <v>391</v>
      </c>
      <c r="U104" s="118" t="s">
        <v>217</v>
      </c>
      <c r="V104" s="119">
        <v>2.5000000000000001E-3</v>
      </c>
      <c r="W104" s="110">
        <v>438</v>
      </c>
      <c r="X104" s="118" t="s">
        <v>217</v>
      </c>
      <c r="Y104" s="165">
        <v>2.76</v>
      </c>
      <c r="Z104" s="115">
        <v>0.5</v>
      </c>
      <c r="AA104" s="113">
        <v>2</v>
      </c>
      <c r="AB104" s="111">
        <v>10.5</v>
      </c>
      <c r="AC104" s="114">
        <v>5.2</v>
      </c>
      <c r="AD104" s="123">
        <v>1.65</v>
      </c>
      <c r="AE104" s="124">
        <v>2.25</v>
      </c>
      <c r="AF104" s="125">
        <v>1.02</v>
      </c>
      <c r="AG104" s="123">
        <v>0.44</v>
      </c>
      <c r="AH104" s="123">
        <v>0.69</v>
      </c>
      <c r="AI104" s="124">
        <v>1.77</v>
      </c>
      <c r="AJ104" s="125">
        <v>0.28999999999999998</v>
      </c>
      <c r="AK104" s="123">
        <v>0.99</v>
      </c>
      <c r="AL104" s="123">
        <v>0</v>
      </c>
      <c r="AM104" s="124">
        <v>1.28</v>
      </c>
      <c r="AN104" s="125">
        <v>0</v>
      </c>
      <c r="AO104" s="123">
        <v>0.7</v>
      </c>
      <c r="AP104" s="123">
        <v>1.52</v>
      </c>
      <c r="AQ104" s="124">
        <v>2.0299999999999998</v>
      </c>
      <c r="AR104" s="125">
        <v>0.82</v>
      </c>
      <c r="AS104" s="123">
        <v>0.53</v>
      </c>
      <c r="AT104" s="123">
        <v>0.69</v>
      </c>
      <c r="AU104" s="124">
        <v>1.44</v>
      </c>
      <c r="AV104" s="125">
        <v>0.61</v>
      </c>
      <c r="AW104" s="123">
        <v>1.1000000000000001</v>
      </c>
      <c r="AX104" s="123">
        <v>0</v>
      </c>
      <c r="AY104" s="124">
        <v>1.71</v>
      </c>
      <c r="AZ104" s="127"/>
      <c r="BA104" s="129"/>
      <c r="BB104" s="129"/>
      <c r="BC104" s="197"/>
      <c r="BD104" s="126">
        <v>0.61</v>
      </c>
      <c r="BE104" s="125">
        <v>0.96</v>
      </c>
      <c r="BF104" s="123">
        <v>0</v>
      </c>
      <c r="BG104" s="123">
        <v>0.63</v>
      </c>
      <c r="BH104" s="124">
        <v>1.59</v>
      </c>
      <c r="BI104" s="125">
        <v>0.56000000000000005</v>
      </c>
      <c r="BJ104" s="123">
        <v>0.22</v>
      </c>
      <c r="BK104" s="123">
        <v>0.83</v>
      </c>
      <c r="BL104" s="124">
        <v>1.6</v>
      </c>
      <c r="BM104" s="125">
        <v>1.27</v>
      </c>
      <c r="BN104" s="123">
        <v>1.77</v>
      </c>
      <c r="BO104" s="123">
        <v>1.1100000000000001</v>
      </c>
      <c r="BP104" s="123">
        <v>1.56</v>
      </c>
      <c r="BQ104" s="123">
        <v>1.32</v>
      </c>
      <c r="BR104" s="129"/>
      <c r="BS104" s="123">
        <v>3.71</v>
      </c>
      <c r="BT104" s="123">
        <v>1.42</v>
      </c>
      <c r="BU104" s="124">
        <v>1.41</v>
      </c>
      <c r="BV104" s="79">
        <v>1734190.0800000001</v>
      </c>
      <c r="BW104" s="111">
        <v>142.9</v>
      </c>
      <c r="BX104" s="123">
        <v>975.36</v>
      </c>
      <c r="BY104" s="162">
        <v>22</v>
      </c>
      <c r="BZ104" s="111">
        <v>20.399999999999999</v>
      </c>
      <c r="CA104" s="120">
        <v>4.4999999999999997E-3</v>
      </c>
      <c r="CB104" s="110">
        <v>391</v>
      </c>
      <c r="CC104" s="119">
        <v>2.5000000000000001E-3</v>
      </c>
      <c r="CD104" s="110">
        <v>438</v>
      </c>
      <c r="CE104" s="104">
        <f t="shared" si="5"/>
        <v>8.1504420065056597E-3</v>
      </c>
      <c r="CF104" s="105">
        <f t="shared" si="3"/>
        <v>2.25</v>
      </c>
    </row>
    <row r="105" spans="1:84" hidden="1" x14ac:dyDescent="0.25">
      <c r="A105" s="133">
        <v>104</v>
      </c>
      <c r="B105" s="134"/>
      <c r="C105" s="135" t="s">
        <v>324</v>
      </c>
      <c r="D105" s="140">
        <v>1422.4</v>
      </c>
      <c r="E105" s="138">
        <v>1219.2</v>
      </c>
      <c r="F105" s="138">
        <f t="shared" si="4"/>
        <v>1734190.0800000001</v>
      </c>
      <c r="G105" s="138">
        <v>142.9</v>
      </c>
      <c r="H105" s="150">
        <v>975.36</v>
      </c>
      <c r="I105" s="139">
        <v>1.17</v>
      </c>
      <c r="J105" s="169">
        <v>24</v>
      </c>
      <c r="K105" s="161">
        <v>19.2</v>
      </c>
      <c r="L105" s="162">
        <v>22</v>
      </c>
      <c r="M105" s="171">
        <v>1.1200000000000001</v>
      </c>
      <c r="N105" s="138">
        <v>20.399999999999999</v>
      </c>
      <c r="O105" s="144" t="s">
        <v>215</v>
      </c>
      <c r="P105" s="145" t="s">
        <v>207</v>
      </c>
      <c r="Q105" s="198" t="s">
        <v>217</v>
      </c>
      <c r="R105" s="147">
        <v>2.3E-3</v>
      </c>
      <c r="S105" s="147">
        <v>2.3E-3</v>
      </c>
      <c r="T105" s="137">
        <v>391</v>
      </c>
      <c r="U105" s="145" t="s">
        <v>217</v>
      </c>
      <c r="V105" s="146">
        <v>6.4999999999999997E-3</v>
      </c>
      <c r="W105" s="137">
        <v>438</v>
      </c>
      <c r="X105" s="145" t="s">
        <v>217</v>
      </c>
      <c r="Y105" s="172">
        <v>2.76</v>
      </c>
      <c r="Z105" s="142">
        <v>0.5</v>
      </c>
      <c r="AA105" s="140">
        <v>3.4</v>
      </c>
      <c r="AB105" s="138">
        <v>14.5</v>
      </c>
      <c r="AC105" s="141">
        <v>4.3</v>
      </c>
      <c r="AD105" s="150">
        <v>2.11</v>
      </c>
      <c r="AE105" s="151">
        <v>2.27</v>
      </c>
      <c r="AF105" s="152">
        <v>1.02</v>
      </c>
      <c r="AG105" s="150">
        <v>1.1399999999999999</v>
      </c>
      <c r="AH105" s="150">
        <v>0.69</v>
      </c>
      <c r="AI105" s="151">
        <v>1.77</v>
      </c>
      <c r="AJ105" s="152">
        <v>0.28999999999999998</v>
      </c>
      <c r="AK105" s="150">
        <v>2.56</v>
      </c>
      <c r="AL105" s="150">
        <v>0</v>
      </c>
      <c r="AM105" s="151">
        <v>2</v>
      </c>
      <c r="AN105" s="152">
        <v>0</v>
      </c>
      <c r="AO105" s="150">
        <v>1.82</v>
      </c>
      <c r="AP105" s="150">
        <v>1.54</v>
      </c>
      <c r="AQ105" s="151">
        <v>2.0299999999999998</v>
      </c>
      <c r="AR105" s="152">
        <v>0.82</v>
      </c>
      <c r="AS105" s="150">
        <v>1.37</v>
      </c>
      <c r="AT105" s="150">
        <v>0.69</v>
      </c>
      <c r="AU105" s="151">
        <v>1.44</v>
      </c>
      <c r="AV105" s="152">
        <v>0.61</v>
      </c>
      <c r="AW105" s="150">
        <v>2.85</v>
      </c>
      <c r="AX105" s="150">
        <v>0</v>
      </c>
      <c r="AY105" s="151">
        <v>3.46</v>
      </c>
      <c r="AZ105" s="199"/>
      <c r="BA105" s="200"/>
      <c r="BB105" s="200"/>
      <c r="BC105" s="201"/>
      <c r="BD105" s="153">
        <v>0.61</v>
      </c>
      <c r="BE105" s="152">
        <v>0.96</v>
      </c>
      <c r="BF105" s="150">
        <v>0</v>
      </c>
      <c r="BG105" s="150">
        <v>0.63</v>
      </c>
      <c r="BH105" s="151">
        <v>1.59</v>
      </c>
      <c r="BI105" s="152">
        <v>0.56000000000000005</v>
      </c>
      <c r="BJ105" s="150">
        <v>0.56999999999999995</v>
      </c>
      <c r="BK105" s="150">
        <v>0.83</v>
      </c>
      <c r="BL105" s="151">
        <v>1.95</v>
      </c>
      <c r="BM105" s="152">
        <v>1.29</v>
      </c>
      <c r="BN105" s="150">
        <v>1.1399999999999999</v>
      </c>
      <c r="BO105" s="150">
        <v>1.1200000000000001</v>
      </c>
      <c r="BP105" s="150">
        <v>1.57</v>
      </c>
      <c r="BQ105" s="150">
        <v>0.66</v>
      </c>
      <c r="BR105" s="200"/>
      <c r="BS105" s="150">
        <v>3.75</v>
      </c>
      <c r="BT105" s="150">
        <v>1.43</v>
      </c>
      <c r="BU105" s="151">
        <v>1.1599999999999999</v>
      </c>
      <c r="BV105" s="79">
        <v>1734190.0800000001</v>
      </c>
      <c r="BW105" s="138">
        <v>142.9</v>
      </c>
      <c r="BX105" s="150">
        <v>975.36</v>
      </c>
      <c r="BY105" s="162">
        <v>22</v>
      </c>
      <c r="BZ105" s="138">
        <v>20.399999999999999</v>
      </c>
      <c r="CA105" s="147">
        <v>2.3E-3</v>
      </c>
      <c r="CB105" s="137">
        <v>391</v>
      </c>
      <c r="CC105" s="146">
        <v>6.4999999999999997E-3</v>
      </c>
      <c r="CD105" s="137">
        <v>438</v>
      </c>
      <c r="CE105" s="104">
        <f t="shared" si="5"/>
        <v>8.2078394854247123E-3</v>
      </c>
      <c r="CF105" s="105">
        <f t="shared" si="3"/>
        <v>2.27</v>
      </c>
    </row>
    <row r="106" spans="1:84" ht="24" hidden="1" customHeight="1" x14ac:dyDescent="0.25">
      <c r="A106" s="83">
        <v>105</v>
      </c>
      <c r="B106" s="84" t="s">
        <v>325</v>
      </c>
      <c r="C106" s="85" t="s">
        <v>326</v>
      </c>
      <c r="D106" s="86">
        <v>1200</v>
      </c>
      <c r="E106" s="87">
        <v>793</v>
      </c>
      <c r="F106" s="88">
        <f t="shared" si="4"/>
        <v>951600</v>
      </c>
      <c r="G106" s="87">
        <v>133</v>
      </c>
      <c r="H106" s="88">
        <v>634.4</v>
      </c>
      <c r="I106" s="89">
        <v>1.51</v>
      </c>
      <c r="J106" s="90">
        <v>33.6</v>
      </c>
      <c r="K106" s="91">
        <v>32.700000000000003</v>
      </c>
      <c r="L106" s="92">
        <v>32.700000000000003</v>
      </c>
      <c r="M106" s="157">
        <v>1.28</v>
      </c>
      <c r="N106" s="88">
        <v>27.2</v>
      </c>
      <c r="O106" s="94" t="s">
        <v>215</v>
      </c>
      <c r="P106" s="95" t="s">
        <v>216</v>
      </c>
      <c r="Q106" s="96">
        <v>3.8999999999999998E-3</v>
      </c>
      <c r="R106" s="97">
        <v>2.2000000000000001E-3</v>
      </c>
      <c r="S106" s="97">
        <v>8.6999999999999994E-3</v>
      </c>
      <c r="T106" s="87">
        <v>336</v>
      </c>
      <c r="U106" s="98">
        <v>267</v>
      </c>
      <c r="V106" s="96">
        <v>2.2499999999999998E-3</v>
      </c>
      <c r="W106" s="87">
        <v>339</v>
      </c>
      <c r="X106" s="98">
        <v>267</v>
      </c>
      <c r="Y106" s="158">
        <v>0.78</v>
      </c>
      <c r="Z106" s="92">
        <v>0.5</v>
      </c>
      <c r="AA106" s="193" t="s">
        <v>217</v>
      </c>
      <c r="AB106" s="94" t="s">
        <v>217</v>
      </c>
      <c r="AC106" s="177">
        <v>2</v>
      </c>
      <c r="AD106" s="117" t="s">
        <v>229</v>
      </c>
      <c r="AE106" s="178">
        <v>1.97</v>
      </c>
      <c r="AF106" s="102">
        <v>1.02</v>
      </c>
      <c r="AG106" s="100">
        <v>0.31</v>
      </c>
      <c r="AH106" s="100">
        <v>0.2</v>
      </c>
      <c r="AI106" s="101">
        <v>1.52</v>
      </c>
      <c r="AJ106" s="102">
        <v>0.38</v>
      </c>
      <c r="AK106" s="100">
        <v>0.61</v>
      </c>
      <c r="AL106" s="100">
        <v>0</v>
      </c>
      <c r="AM106" s="101">
        <v>0.99</v>
      </c>
      <c r="AN106" s="102">
        <v>0.88</v>
      </c>
      <c r="AO106" s="100">
        <v>0.49</v>
      </c>
      <c r="AP106" s="100">
        <v>0.35</v>
      </c>
      <c r="AQ106" s="101">
        <v>1.71</v>
      </c>
      <c r="AR106" s="102">
        <v>0.83</v>
      </c>
      <c r="AS106" s="100">
        <v>0.37</v>
      </c>
      <c r="AT106" s="100">
        <v>0.2</v>
      </c>
      <c r="AU106" s="101">
        <v>1.39</v>
      </c>
      <c r="AV106" s="102">
        <v>0.56000000000000005</v>
      </c>
      <c r="AW106" s="100">
        <v>0.76</v>
      </c>
      <c r="AX106" s="100">
        <v>0</v>
      </c>
      <c r="AY106" s="101">
        <v>1.32</v>
      </c>
      <c r="AZ106" s="102">
        <v>0.41</v>
      </c>
      <c r="BA106" s="100">
        <v>1.02</v>
      </c>
      <c r="BB106" s="100">
        <v>0.05</v>
      </c>
      <c r="BC106" s="101">
        <v>1.49</v>
      </c>
      <c r="BD106" s="103">
        <v>0.54</v>
      </c>
      <c r="BE106" s="102">
        <v>0.85</v>
      </c>
      <c r="BF106" s="100">
        <v>0</v>
      </c>
      <c r="BG106" s="100">
        <v>0.18</v>
      </c>
      <c r="BH106" s="101">
        <v>1.02</v>
      </c>
      <c r="BI106" s="102">
        <v>0.64</v>
      </c>
      <c r="BJ106" s="100">
        <v>0.28999999999999998</v>
      </c>
      <c r="BK106" s="100">
        <v>0.23</v>
      </c>
      <c r="BL106" s="101">
        <v>1.17</v>
      </c>
      <c r="BM106" s="102">
        <v>1.3</v>
      </c>
      <c r="BN106" s="100">
        <v>1.98</v>
      </c>
      <c r="BO106" s="100">
        <v>1.1499999999999999</v>
      </c>
      <c r="BP106" s="100">
        <v>1.41</v>
      </c>
      <c r="BQ106" s="100">
        <v>1.49</v>
      </c>
      <c r="BR106" s="100">
        <v>1.32</v>
      </c>
      <c r="BS106" s="100">
        <v>3.66</v>
      </c>
      <c r="BT106" s="100">
        <v>1.92</v>
      </c>
      <c r="BU106" s="101">
        <v>1.69</v>
      </c>
      <c r="BV106" s="79">
        <v>951600</v>
      </c>
      <c r="BW106" s="87">
        <v>133</v>
      </c>
      <c r="BX106" s="88">
        <v>634.4</v>
      </c>
      <c r="BY106" s="92">
        <v>32.700000000000003</v>
      </c>
      <c r="BZ106" s="88">
        <v>27.2</v>
      </c>
      <c r="CA106" s="97">
        <v>8.6999999999999994E-3</v>
      </c>
      <c r="CB106" s="87">
        <v>336</v>
      </c>
      <c r="CC106" s="96">
        <v>2.2499999999999998E-3</v>
      </c>
      <c r="CD106" s="87">
        <v>339</v>
      </c>
      <c r="CE106" s="104">
        <f t="shared" si="5"/>
        <v>1.8204401293271007E-2</v>
      </c>
      <c r="CF106" s="105">
        <f t="shared" si="3"/>
        <v>1.97</v>
      </c>
    </row>
    <row r="107" spans="1:84" ht="24" hidden="1" x14ac:dyDescent="0.25">
      <c r="A107" s="106">
        <v>106</v>
      </c>
      <c r="B107" s="107"/>
      <c r="C107" s="108" t="s">
        <v>327</v>
      </c>
      <c r="D107" s="109">
        <v>1200</v>
      </c>
      <c r="E107" s="110">
        <v>1060</v>
      </c>
      <c r="F107" s="111">
        <f t="shared" si="4"/>
        <v>1272000</v>
      </c>
      <c r="G107" s="110">
        <v>133</v>
      </c>
      <c r="H107" s="110">
        <v>848</v>
      </c>
      <c r="I107" s="112">
        <v>1.1299999999999999</v>
      </c>
      <c r="J107" s="113">
        <v>33.6</v>
      </c>
      <c r="K107" s="114">
        <v>34.1</v>
      </c>
      <c r="L107" s="115">
        <v>34.1</v>
      </c>
      <c r="M107" s="163">
        <v>1.4</v>
      </c>
      <c r="N107" s="111">
        <v>33.6</v>
      </c>
      <c r="O107" s="117" t="s">
        <v>215</v>
      </c>
      <c r="P107" s="118" t="s">
        <v>216</v>
      </c>
      <c r="Q107" s="119">
        <v>2.8999999999999998E-3</v>
      </c>
      <c r="R107" s="120">
        <v>2.2000000000000001E-3</v>
      </c>
      <c r="S107" s="120">
        <v>7.0600000000000003E-3</v>
      </c>
      <c r="T107" s="110">
        <v>336</v>
      </c>
      <c r="U107" s="121">
        <v>267</v>
      </c>
      <c r="V107" s="119">
        <v>2.2499999999999998E-3</v>
      </c>
      <c r="W107" s="110">
        <v>339</v>
      </c>
      <c r="X107" s="121">
        <v>267</v>
      </c>
      <c r="Y107" s="165">
        <v>0.78</v>
      </c>
      <c r="Z107" s="115">
        <v>0.5</v>
      </c>
      <c r="AA107" s="128" t="s">
        <v>217</v>
      </c>
      <c r="AB107" s="117" t="s">
        <v>217</v>
      </c>
      <c r="AC107" s="179">
        <v>2</v>
      </c>
      <c r="AD107" s="117" t="s">
        <v>229</v>
      </c>
      <c r="AE107" s="180">
        <v>2.25</v>
      </c>
      <c r="AF107" s="125">
        <v>1.33</v>
      </c>
      <c r="AG107" s="123">
        <v>0.31</v>
      </c>
      <c r="AH107" s="123">
        <v>0.2</v>
      </c>
      <c r="AI107" s="124">
        <v>1.83</v>
      </c>
      <c r="AJ107" s="125">
        <v>0.39</v>
      </c>
      <c r="AK107" s="123">
        <v>0.61</v>
      </c>
      <c r="AL107" s="123">
        <v>0</v>
      </c>
      <c r="AM107" s="124">
        <v>1</v>
      </c>
      <c r="AN107" s="125">
        <v>1.03</v>
      </c>
      <c r="AO107" s="123">
        <v>0.49</v>
      </c>
      <c r="AP107" s="123">
        <v>0.47</v>
      </c>
      <c r="AQ107" s="124">
        <v>1.99</v>
      </c>
      <c r="AR107" s="125">
        <v>1.06</v>
      </c>
      <c r="AS107" s="123">
        <v>0.37</v>
      </c>
      <c r="AT107" s="123">
        <v>0.2</v>
      </c>
      <c r="AU107" s="124">
        <v>1.63</v>
      </c>
      <c r="AV107" s="125">
        <v>0.8</v>
      </c>
      <c r="AW107" s="123">
        <v>0.76</v>
      </c>
      <c r="AX107" s="123">
        <v>0</v>
      </c>
      <c r="AY107" s="124">
        <v>1.56</v>
      </c>
      <c r="AZ107" s="125">
        <v>0.44</v>
      </c>
      <c r="BA107" s="123">
        <v>1.02</v>
      </c>
      <c r="BB107" s="123">
        <v>0.05</v>
      </c>
      <c r="BC107" s="124">
        <v>1.52</v>
      </c>
      <c r="BD107" s="126">
        <v>0.61</v>
      </c>
      <c r="BE107" s="125">
        <v>1.24</v>
      </c>
      <c r="BF107" s="123">
        <v>0</v>
      </c>
      <c r="BG107" s="123">
        <v>0.18</v>
      </c>
      <c r="BH107" s="124">
        <v>1.42</v>
      </c>
      <c r="BI107" s="125">
        <v>0.7</v>
      </c>
      <c r="BJ107" s="123">
        <v>0.28999999999999998</v>
      </c>
      <c r="BK107" s="123">
        <v>0.23</v>
      </c>
      <c r="BL107" s="124">
        <v>1.23</v>
      </c>
      <c r="BM107" s="125">
        <v>1.23</v>
      </c>
      <c r="BN107" s="123">
        <v>2.23</v>
      </c>
      <c r="BO107" s="123">
        <v>1.1299999999999999</v>
      </c>
      <c r="BP107" s="123">
        <v>1.38</v>
      </c>
      <c r="BQ107" s="123">
        <v>1.44</v>
      </c>
      <c r="BR107" s="123">
        <v>1.47</v>
      </c>
      <c r="BS107" s="123">
        <v>3.66</v>
      </c>
      <c r="BT107" s="123">
        <v>1.59</v>
      </c>
      <c r="BU107" s="124">
        <v>1.83</v>
      </c>
      <c r="BV107" s="79">
        <v>1272000</v>
      </c>
      <c r="BW107" s="110">
        <v>133</v>
      </c>
      <c r="BX107" s="110">
        <v>848</v>
      </c>
      <c r="BY107" s="115">
        <v>34.1</v>
      </c>
      <c r="BZ107" s="111">
        <v>33.6</v>
      </c>
      <c r="CA107" s="120">
        <v>7.0600000000000003E-3</v>
      </c>
      <c r="CB107" s="110">
        <v>336</v>
      </c>
      <c r="CC107" s="119">
        <v>2.2499999999999998E-3</v>
      </c>
      <c r="CD107" s="110">
        <v>339</v>
      </c>
      <c r="CE107" s="104">
        <f t="shared" si="5"/>
        <v>1.1278195488721804E-2</v>
      </c>
      <c r="CF107" s="105">
        <f t="shared" si="3"/>
        <v>2.25</v>
      </c>
    </row>
    <row r="108" spans="1:84" ht="24" hidden="1" x14ac:dyDescent="0.25">
      <c r="A108" s="106">
        <v>107</v>
      </c>
      <c r="B108" s="107"/>
      <c r="C108" s="108" t="s">
        <v>328</v>
      </c>
      <c r="D108" s="109">
        <v>1200</v>
      </c>
      <c r="E108" s="110">
        <v>1326</v>
      </c>
      <c r="F108" s="111">
        <f t="shared" si="4"/>
        <v>1591200</v>
      </c>
      <c r="G108" s="110">
        <v>133</v>
      </c>
      <c r="H108" s="111">
        <v>1060.8</v>
      </c>
      <c r="I108" s="112">
        <v>0.9</v>
      </c>
      <c r="J108" s="113">
        <v>50.5</v>
      </c>
      <c r="K108" s="114">
        <v>32.4</v>
      </c>
      <c r="L108" s="115">
        <v>32.4</v>
      </c>
      <c r="M108" s="163">
        <v>1.29</v>
      </c>
      <c r="N108" s="111">
        <v>27.9</v>
      </c>
      <c r="O108" s="117" t="s">
        <v>215</v>
      </c>
      <c r="P108" s="118" t="s">
        <v>216</v>
      </c>
      <c r="Q108" s="119">
        <v>2.3E-3</v>
      </c>
      <c r="R108" s="120">
        <v>2.2000000000000001E-3</v>
      </c>
      <c r="S108" s="120">
        <v>6.0899999999999999E-3</v>
      </c>
      <c r="T108" s="110">
        <v>336</v>
      </c>
      <c r="U108" s="121">
        <v>267</v>
      </c>
      <c r="V108" s="119">
        <v>2.2499999999999998E-3</v>
      </c>
      <c r="W108" s="110">
        <v>339</v>
      </c>
      <c r="X108" s="121">
        <v>267</v>
      </c>
      <c r="Y108" s="165">
        <v>0</v>
      </c>
      <c r="Z108" s="115">
        <v>0.5</v>
      </c>
      <c r="AA108" s="128" t="s">
        <v>217</v>
      </c>
      <c r="AB108" s="117" t="s">
        <v>217</v>
      </c>
      <c r="AC108" s="179">
        <v>2</v>
      </c>
      <c r="AD108" s="117" t="s">
        <v>229</v>
      </c>
      <c r="AE108" s="180">
        <v>2.38</v>
      </c>
      <c r="AF108" s="125">
        <v>1.32</v>
      </c>
      <c r="AG108" s="123">
        <v>0.31</v>
      </c>
      <c r="AH108" s="123">
        <v>0</v>
      </c>
      <c r="AI108" s="124">
        <v>1.63</v>
      </c>
      <c r="AJ108" s="125">
        <v>0.21</v>
      </c>
      <c r="AK108" s="123">
        <v>0.61</v>
      </c>
      <c r="AL108" s="123">
        <v>0</v>
      </c>
      <c r="AM108" s="124">
        <v>0.82</v>
      </c>
      <c r="AN108" s="125">
        <v>0.97</v>
      </c>
      <c r="AO108" s="123">
        <v>0.49</v>
      </c>
      <c r="AP108" s="123">
        <v>0</v>
      </c>
      <c r="AQ108" s="124">
        <v>1.46</v>
      </c>
      <c r="AR108" s="125">
        <v>1.05</v>
      </c>
      <c r="AS108" s="123">
        <v>0.37</v>
      </c>
      <c r="AT108" s="123">
        <v>0</v>
      </c>
      <c r="AU108" s="124">
        <v>1.41</v>
      </c>
      <c r="AV108" s="125">
        <v>0.83</v>
      </c>
      <c r="AW108" s="123">
        <v>0.76</v>
      </c>
      <c r="AX108" s="123">
        <v>0</v>
      </c>
      <c r="AY108" s="124">
        <v>1.59</v>
      </c>
      <c r="AZ108" s="125">
        <v>0.37</v>
      </c>
      <c r="BA108" s="123">
        <v>1.02</v>
      </c>
      <c r="BB108" s="123">
        <v>0</v>
      </c>
      <c r="BC108" s="124">
        <v>1.4</v>
      </c>
      <c r="BD108" s="126">
        <v>0.66</v>
      </c>
      <c r="BE108" s="125">
        <v>1.43</v>
      </c>
      <c r="BF108" s="123">
        <v>0</v>
      </c>
      <c r="BG108" s="123">
        <v>0</v>
      </c>
      <c r="BH108" s="124">
        <v>1.43</v>
      </c>
      <c r="BI108" s="125">
        <v>0.65</v>
      </c>
      <c r="BJ108" s="123">
        <v>0.28999999999999998</v>
      </c>
      <c r="BK108" s="123">
        <v>0</v>
      </c>
      <c r="BL108" s="124">
        <v>0.94</v>
      </c>
      <c r="BM108" s="125">
        <v>1.46</v>
      </c>
      <c r="BN108" s="123">
        <v>2.89</v>
      </c>
      <c r="BO108" s="123">
        <v>1.63</v>
      </c>
      <c r="BP108" s="123">
        <v>1.68</v>
      </c>
      <c r="BQ108" s="123">
        <v>1.49</v>
      </c>
      <c r="BR108" s="123">
        <v>1.7</v>
      </c>
      <c r="BS108" s="123">
        <v>3.6</v>
      </c>
      <c r="BT108" s="123">
        <v>1.66</v>
      </c>
      <c r="BU108" s="124">
        <v>2.5299999999999998</v>
      </c>
      <c r="BV108" s="79">
        <v>1591200</v>
      </c>
      <c r="BW108" s="110">
        <v>133</v>
      </c>
      <c r="BX108" s="111">
        <v>1060.8</v>
      </c>
      <c r="BY108" s="115">
        <v>32.4</v>
      </c>
      <c r="BZ108" s="111">
        <v>27.9</v>
      </c>
      <c r="CA108" s="120">
        <v>6.0899999999999999E-3</v>
      </c>
      <c r="CB108" s="110">
        <v>336</v>
      </c>
      <c r="CC108" s="119">
        <v>2.2499999999999998E-3</v>
      </c>
      <c r="CD108" s="110">
        <v>339</v>
      </c>
      <c r="CE108" s="104">
        <f t="shared" si="5"/>
        <v>9.4126719513716404E-3</v>
      </c>
      <c r="CF108" s="105">
        <f t="shared" si="3"/>
        <v>2.38</v>
      </c>
    </row>
    <row r="109" spans="1:84" ht="24" hidden="1" x14ac:dyDescent="0.25">
      <c r="A109" s="106">
        <v>108</v>
      </c>
      <c r="B109" s="107"/>
      <c r="C109" s="108" t="s">
        <v>329</v>
      </c>
      <c r="D109" s="109">
        <v>1200</v>
      </c>
      <c r="E109" s="110">
        <v>1326</v>
      </c>
      <c r="F109" s="111">
        <f t="shared" si="4"/>
        <v>1591200</v>
      </c>
      <c r="G109" s="110">
        <v>133</v>
      </c>
      <c r="H109" s="111">
        <v>1060.8</v>
      </c>
      <c r="I109" s="112">
        <v>0.9</v>
      </c>
      <c r="J109" s="113">
        <v>50.5</v>
      </c>
      <c r="K109" s="114">
        <v>29.4</v>
      </c>
      <c r="L109" s="115">
        <v>29.4</v>
      </c>
      <c r="M109" s="163">
        <v>1.27</v>
      </c>
      <c r="N109" s="111">
        <v>26.9</v>
      </c>
      <c r="O109" s="117" t="s">
        <v>215</v>
      </c>
      <c r="P109" s="118" t="s">
        <v>216</v>
      </c>
      <c r="Q109" s="119">
        <v>2.3E-3</v>
      </c>
      <c r="R109" s="120">
        <v>2.2000000000000001E-3</v>
      </c>
      <c r="S109" s="120">
        <v>6.0899999999999999E-3</v>
      </c>
      <c r="T109" s="110">
        <v>339</v>
      </c>
      <c r="U109" s="121">
        <v>267</v>
      </c>
      <c r="V109" s="119">
        <v>2.2499999999999998E-3</v>
      </c>
      <c r="W109" s="110">
        <v>346</v>
      </c>
      <c r="X109" s="121">
        <v>267</v>
      </c>
      <c r="Y109" s="165">
        <v>1.77</v>
      </c>
      <c r="Z109" s="115">
        <v>0.5</v>
      </c>
      <c r="AA109" s="128" t="s">
        <v>217</v>
      </c>
      <c r="AB109" s="117" t="s">
        <v>217</v>
      </c>
      <c r="AC109" s="179">
        <v>2</v>
      </c>
      <c r="AD109" s="117" t="s">
        <v>229</v>
      </c>
      <c r="AE109" s="180">
        <v>2.83</v>
      </c>
      <c r="AF109" s="125">
        <v>1.3</v>
      </c>
      <c r="AG109" s="123">
        <v>0.31</v>
      </c>
      <c r="AH109" s="123">
        <v>0.44</v>
      </c>
      <c r="AI109" s="124">
        <v>2.0499999999999998</v>
      </c>
      <c r="AJ109" s="125">
        <v>0.35</v>
      </c>
      <c r="AK109" s="123">
        <v>0.62</v>
      </c>
      <c r="AL109" s="123">
        <v>0</v>
      </c>
      <c r="AM109" s="124">
        <v>0.98</v>
      </c>
      <c r="AN109" s="125">
        <v>0.95</v>
      </c>
      <c r="AO109" s="123">
        <v>0.5</v>
      </c>
      <c r="AP109" s="123">
        <v>1.31</v>
      </c>
      <c r="AQ109" s="124">
        <v>2.33</v>
      </c>
      <c r="AR109" s="125">
        <v>1.03</v>
      </c>
      <c r="AS109" s="123">
        <v>0.37</v>
      </c>
      <c r="AT109" s="123">
        <v>0.44</v>
      </c>
      <c r="AU109" s="124">
        <v>1.66</v>
      </c>
      <c r="AV109" s="125">
        <v>0.82</v>
      </c>
      <c r="AW109" s="123">
        <v>0.78</v>
      </c>
      <c r="AX109" s="123">
        <v>0</v>
      </c>
      <c r="AY109" s="124">
        <v>1.6</v>
      </c>
      <c r="AZ109" s="125">
        <v>0.36</v>
      </c>
      <c r="BA109" s="123">
        <v>1.03</v>
      </c>
      <c r="BB109" s="123">
        <v>0.12</v>
      </c>
      <c r="BC109" s="124">
        <v>1.52</v>
      </c>
      <c r="BD109" s="126">
        <v>0.66</v>
      </c>
      <c r="BE109" s="125">
        <v>1.41</v>
      </c>
      <c r="BF109" s="123">
        <v>0</v>
      </c>
      <c r="BG109" s="123">
        <v>0.41</v>
      </c>
      <c r="BH109" s="124">
        <v>1.81</v>
      </c>
      <c r="BI109" s="125">
        <v>0.64</v>
      </c>
      <c r="BJ109" s="123">
        <v>0.28000000000000003</v>
      </c>
      <c r="BK109" s="123">
        <v>0.53</v>
      </c>
      <c r="BL109" s="124">
        <v>1.45</v>
      </c>
      <c r="BM109" s="125">
        <v>1.38</v>
      </c>
      <c r="BN109" s="123">
        <v>2.89</v>
      </c>
      <c r="BO109" s="123">
        <v>1.21</v>
      </c>
      <c r="BP109" s="123">
        <v>1.7</v>
      </c>
      <c r="BQ109" s="123">
        <v>1.77</v>
      </c>
      <c r="BR109" s="123">
        <v>1.86</v>
      </c>
      <c r="BS109" s="123">
        <v>4.29</v>
      </c>
      <c r="BT109" s="123">
        <v>1.56</v>
      </c>
      <c r="BU109" s="124">
        <v>1.95</v>
      </c>
      <c r="BV109" s="79">
        <v>1591200</v>
      </c>
      <c r="BW109" s="110">
        <v>133</v>
      </c>
      <c r="BX109" s="111">
        <v>1060.8</v>
      </c>
      <c r="BY109" s="115">
        <v>29.4</v>
      </c>
      <c r="BZ109" s="111">
        <v>26.9</v>
      </c>
      <c r="CA109" s="120">
        <v>6.0899999999999999E-3</v>
      </c>
      <c r="CB109" s="110">
        <v>339</v>
      </c>
      <c r="CC109" s="119">
        <v>2.2499999999999998E-3</v>
      </c>
      <c r="CD109" s="110">
        <v>346</v>
      </c>
      <c r="CE109" s="104">
        <f t="shared" si="5"/>
        <v>8.8456435205661217E-3</v>
      </c>
      <c r="CF109" s="105">
        <f t="shared" si="3"/>
        <v>2.83</v>
      </c>
    </row>
    <row r="110" spans="1:84" hidden="1" x14ac:dyDescent="0.25">
      <c r="A110" s="106">
        <v>109</v>
      </c>
      <c r="B110" s="107"/>
      <c r="C110" s="108" t="s">
        <v>330</v>
      </c>
      <c r="D110" s="109">
        <v>1200</v>
      </c>
      <c r="E110" s="110">
        <v>1326</v>
      </c>
      <c r="F110" s="111">
        <f t="shared" si="4"/>
        <v>1591200</v>
      </c>
      <c r="G110" s="110">
        <v>133</v>
      </c>
      <c r="H110" s="111">
        <v>1060.8</v>
      </c>
      <c r="I110" s="112">
        <v>0.9</v>
      </c>
      <c r="J110" s="113">
        <v>50.5</v>
      </c>
      <c r="K110" s="114">
        <v>32.1</v>
      </c>
      <c r="L110" s="115">
        <v>32.1</v>
      </c>
      <c r="M110" s="163">
        <v>1.35</v>
      </c>
      <c r="N110" s="111">
        <v>30.9</v>
      </c>
      <c r="O110" s="117" t="s">
        <v>215</v>
      </c>
      <c r="P110" s="118" t="s">
        <v>216</v>
      </c>
      <c r="Q110" s="119">
        <v>2.3E-3</v>
      </c>
      <c r="R110" s="120">
        <v>2.2000000000000001E-3</v>
      </c>
      <c r="S110" s="120">
        <v>6.0899999999999999E-3</v>
      </c>
      <c r="T110" s="110">
        <v>339</v>
      </c>
      <c r="U110" s="121">
        <v>267</v>
      </c>
      <c r="V110" s="119">
        <v>2.2499999999999998E-3</v>
      </c>
      <c r="W110" s="110">
        <v>346</v>
      </c>
      <c r="X110" s="121">
        <v>267</v>
      </c>
      <c r="Y110" s="165">
        <v>0</v>
      </c>
      <c r="Z110" s="115">
        <v>0.5</v>
      </c>
      <c r="AA110" s="128" t="s">
        <v>217</v>
      </c>
      <c r="AB110" s="117" t="s">
        <v>217</v>
      </c>
      <c r="AC110" s="179">
        <v>2</v>
      </c>
      <c r="AD110" s="117" t="s">
        <v>229</v>
      </c>
      <c r="AE110" s="180">
        <v>195</v>
      </c>
      <c r="AF110" s="125">
        <v>1.39</v>
      </c>
      <c r="AG110" s="123">
        <v>0.31</v>
      </c>
      <c r="AH110" s="123">
        <v>0</v>
      </c>
      <c r="AI110" s="124">
        <v>1.7</v>
      </c>
      <c r="AJ110" s="125">
        <v>0.21</v>
      </c>
      <c r="AK110" s="123">
        <v>0.62</v>
      </c>
      <c r="AL110" s="123">
        <v>0</v>
      </c>
      <c r="AM110" s="124">
        <v>0.83</v>
      </c>
      <c r="AN110" s="125">
        <v>1.02</v>
      </c>
      <c r="AO110" s="123">
        <v>0.5</v>
      </c>
      <c r="AP110" s="123">
        <v>0</v>
      </c>
      <c r="AQ110" s="124">
        <v>1.52</v>
      </c>
      <c r="AR110" s="125">
        <v>1.1000000000000001</v>
      </c>
      <c r="AS110" s="123">
        <v>0.37</v>
      </c>
      <c r="AT110" s="123">
        <v>0</v>
      </c>
      <c r="AU110" s="124">
        <v>1.48</v>
      </c>
      <c r="AV110" s="125">
        <v>0.87</v>
      </c>
      <c r="AW110" s="123">
        <v>0.78</v>
      </c>
      <c r="AX110" s="123">
        <v>0</v>
      </c>
      <c r="AY110" s="124">
        <v>1.65</v>
      </c>
      <c r="AZ110" s="125">
        <v>0.4</v>
      </c>
      <c r="BA110" s="123">
        <v>1.03</v>
      </c>
      <c r="BB110" s="123">
        <v>0</v>
      </c>
      <c r="BC110" s="124">
        <v>1.43</v>
      </c>
      <c r="BD110" s="126">
        <v>0.66</v>
      </c>
      <c r="BE110" s="125">
        <v>1.49</v>
      </c>
      <c r="BF110" s="123">
        <v>0</v>
      </c>
      <c r="BG110" s="123">
        <v>0</v>
      </c>
      <c r="BH110" s="124">
        <v>1.49</v>
      </c>
      <c r="BI110" s="125">
        <v>0.68</v>
      </c>
      <c r="BJ110" s="123">
        <v>0.28000000000000003</v>
      </c>
      <c r="BK110" s="123">
        <v>0</v>
      </c>
      <c r="BL110" s="124">
        <v>0.96</v>
      </c>
      <c r="BM110" s="125">
        <v>1.1499999999999999</v>
      </c>
      <c r="BN110" s="123">
        <v>2.34</v>
      </c>
      <c r="BO110" s="123">
        <v>1.29</v>
      </c>
      <c r="BP110" s="123">
        <v>1.32</v>
      </c>
      <c r="BQ110" s="123">
        <v>1.18</v>
      </c>
      <c r="BR110" s="123">
        <v>1.36</v>
      </c>
      <c r="BS110" s="123">
        <v>2.96</v>
      </c>
      <c r="BT110" s="123">
        <v>1.31</v>
      </c>
      <c r="BU110" s="124">
        <v>2.04</v>
      </c>
      <c r="BV110" s="79">
        <v>1591200</v>
      </c>
      <c r="BW110" s="110">
        <v>133</v>
      </c>
      <c r="BX110" s="111">
        <v>1060.8</v>
      </c>
      <c r="BY110" s="115">
        <v>32.1</v>
      </c>
      <c r="BZ110" s="111">
        <v>30.9</v>
      </c>
      <c r="CA110" s="120">
        <v>6.0899999999999999E-3</v>
      </c>
      <c r="CB110" s="110">
        <v>339</v>
      </c>
      <c r="CC110" s="119">
        <v>2.2499999999999998E-3</v>
      </c>
      <c r="CD110" s="110">
        <v>346</v>
      </c>
      <c r="CE110" s="104">
        <f t="shared" si="5"/>
        <v>7.4280724435523198E-3</v>
      </c>
      <c r="CF110" s="105">
        <f t="shared" si="3"/>
        <v>195</v>
      </c>
    </row>
    <row r="111" spans="1:84" ht="24" hidden="1" x14ac:dyDescent="0.25">
      <c r="A111" s="106">
        <v>110</v>
      </c>
      <c r="B111" s="107"/>
      <c r="C111" s="108" t="s">
        <v>331</v>
      </c>
      <c r="D111" s="109">
        <v>1200</v>
      </c>
      <c r="E111" s="110">
        <v>1326</v>
      </c>
      <c r="F111" s="111">
        <f t="shared" si="4"/>
        <v>1591200</v>
      </c>
      <c r="G111" s="110">
        <v>133</v>
      </c>
      <c r="H111" s="111">
        <v>1060.8</v>
      </c>
      <c r="I111" s="112">
        <v>0.9</v>
      </c>
      <c r="J111" s="113">
        <v>46.5</v>
      </c>
      <c r="K111" s="114">
        <v>38.9</v>
      </c>
      <c r="L111" s="115">
        <v>38.9</v>
      </c>
      <c r="M111" s="163">
        <v>1.42</v>
      </c>
      <c r="N111" s="111">
        <v>34.6</v>
      </c>
      <c r="O111" s="117" t="s">
        <v>215</v>
      </c>
      <c r="P111" s="118" t="s">
        <v>216</v>
      </c>
      <c r="Q111" s="119">
        <v>2.3E-3</v>
      </c>
      <c r="R111" s="120">
        <v>2.2000000000000001E-3</v>
      </c>
      <c r="S111" s="120">
        <v>6.0899999999999999E-3</v>
      </c>
      <c r="T111" s="110">
        <v>336</v>
      </c>
      <c r="U111" s="121">
        <v>267</v>
      </c>
      <c r="V111" s="119">
        <v>2.2499999999999998E-3</v>
      </c>
      <c r="W111" s="110">
        <v>339</v>
      </c>
      <c r="X111" s="121">
        <v>267</v>
      </c>
      <c r="Y111" s="165">
        <v>0.78</v>
      </c>
      <c r="Z111" s="115">
        <v>0.5</v>
      </c>
      <c r="AA111" s="128" t="s">
        <v>217</v>
      </c>
      <c r="AB111" s="117" t="s">
        <v>217</v>
      </c>
      <c r="AC111" s="179">
        <v>2</v>
      </c>
      <c r="AD111" s="117" t="s">
        <v>229</v>
      </c>
      <c r="AE111" s="180">
        <v>2.52</v>
      </c>
      <c r="AF111" s="125">
        <v>1.47</v>
      </c>
      <c r="AG111" s="123">
        <v>0.31</v>
      </c>
      <c r="AH111" s="123">
        <v>0.2</v>
      </c>
      <c r="AI111" s="124">
        <v>1.97</v>
      </c>
      <c r="AJ111" s="125">
        <v>0.43</v>
      </c>
      <c r="AK111" s="123">
        <v>0.61</v>
      </c>
      <c r="AL111" s="123">
        <v>0</v>
      </c>
      <c r="AM111" s="124">
        <v>1.04</v>
      </c>
      <c r="AN111" s="125">
        <v>1.08</v>
      </c>
      <c r="AO111" s="123">
        <v>0.49</v>
      </c>
      <c r="AP111" s="123">
        <v>0.59</v>
      </c>
      <c r="AQ111" s="124">
        <v>2.16</v>
      </c>
      <c r="AR111" s="125">
        <v>1.17</v>
      </c>
      <c r="AS111" s="123">
        <v>0.37</v>
      </c>
      <c r="AT111" s="123">
        <v>0.2</v>
      </c>
      <c r="AU111" s="124">
        <v>1.73</v>
      </c>
      <c r="AV111" s="125">
        <v>0.93</v>
      </c>
      <c r="AW111" s="123">
        <v>0.76</v>
      </c>
      <c r="AX111" s="123">
        <v>0</v>
      </c>
      <c r="AY111" s="124">
        <v>1.69</v>
      </c>
      <c r="AZ111" s="125">
        <v>0.43</v>
      </c>
      <c r="BA111" s="123">
        <v>1.02</v>
      </c>
      <c r="BB111" s="123">
        <v>0.05</v>
      </c>
      <c r="BC111" s="124">
        <v>1.51</v>
      </c>
      <c r="BD111" s="126">
        <v>0.66</v>
      </c>
      <c r="BE111" s="125">
        <v>1.56</v>
      </c>
      <c r="BF111" s="123">
        <v>0</v>
      </c>
      <c r="BG111" s="123">
        <v>0.18</v>
      </c>
      <c r="BH111" s="124">
        <v>1.74</v>
      </c>
      <c r="BI111" s="125">
        <v>0.71</v>
      </c>
      <c r="BJ111" s="123">
        <v>0.28999999999999998</v>
      </c>
      <c r="BK111" s="123">
        <v>0.23</v>
      </c>
      <c r="BL111" s="124">
        <v>1.23</v>
      </c>
      <c r="BM111" s="125">
        <v>1.28</v>
      </c>
      <c r="BN111" s="123">
        <v>2.42</v>
      </c>
      <c r="BO111" s="123">
        <v>1.17</v>
      </c>
      <c r="BP111" s="123">
        <v>1.46</v>
      </c>
      <c r="BQ111" s="123">
        <v>1.49</v>
      </c>
      <c r="BR111" s="123">
        <v>1.67</v>
      </c>
      <c r="BS111" s="123">
        <v>3.82</v>
      </c>
      <c r="BT111" s="123">
        <v>1.45</v>
      </c>
      <c r="BU111" s="124">
        <v>2.04</v>
      </c>
      <c r="BV111" s="79">
        <v>1591200</v>
      </c>
      <c r="BW111" s="110">
        <v>133</v>
      </c>
      <c r="BX111" s="111">
        <v>1060.8</v>
      </c>
      <c r="BY111" s="115">
        <v>38.9</v>
      </c>
      <c r="BZ111" s="111">
        <v>34.6</v>
      </c>
      <c r="CA111" s="120">
        <v>6.0899999999999999E-3</v>
      </c>
      <c r="CB111" s="110">
        <v>336</v>
      </c>
      <c r="CC111" s="119">
        <v>2.2499999999999998E-3</v>
      </c>
      <c r="CD111" s="110">
        <v>339</v>
      </c>
      <c r="CE111" s="104">
        <f t="shared" si="5"/>
        <v>8.2219122466800475E-3</v>
      </c>
      <c r="CF111" s="105">
        <f t="shared" si="3"/>
        <v>2.52</v>
      </c>
    </row>
    <row r="112" spans="1:84" ht="24" hidden="1" x14ac:dyDescent="0.25">
      <c r="A112" s="106">
        <v>111</v>
      </c>
      <c r="B112" s="107"/>
      <c r="C112" s="108" t="s">
        <v>332</v>
      </c>
      <c r="D112" s="109">
        <v>1200</v>
      </c>
      <c r="E112" s="110">
        <v>1326</v>
      </c>
      <c r="F112" s="111">
        <f t="shared" si="4"/>
        <v>1591200</v>
      </c>
      <c r="G112" s="110">
        <v>133</v>
      </c>
      <c r="H112" s="111">
        <v>1060.8</v>
      </c>
      <c r="I112" s="112">
        <v>0.9</v>
      </c>
      <c r="J112" s="113">
        <v>50.5</v>
      </c>
      <c r="K112" s="114">
        <v>32.1</v>
      </c>
      <c r="L112" s="115">
        <v>32.1</v>
      </c>
      <c r="M112" s="163">
        <v>1.27</v>
      </c>
      <c r="N112" s="111">
        <v>26.7</v>
      </c>
      <c r="O112" s="117" t="s">
        <v>215</v>
      </c>
      <c r="P112" s="118" t="s">
        <v>216</v>
      </c>
      <c r="Q112" s="119">
        <v>2.3E-3</v>
      </c>
      <c r="R112" s="120">
        <v>2.2000000000000001E-3</v>
      </c>
      <c r="S112" s="120">
        <v>6.0899999999999999E-3</v>
      </c>
      <c r="T112" s="110">
        <v>339</v>
      </c>
      <c r="U112" s="121">
        <v>267</v>
      </c>
      <c r="V112" s="119">
        <v>2.2499999999999998E-3</v>
      </c>
      <c r="W112" s="110">
        <v>346</v>
      </c>
      <c r="X112" s="121">
        <v>267</v>
      </c>
      <c r="Y112" s="165">
        <v>0.78</v>
      </c>
      <c r="Z112" s="115">
        <v>0.5</v>
      </c>
      <c r="AA112" s="128" t="s">
        <v>217</v>
      </c>
      <c r="AB112" s="117" t="s">
        <v>217</v>
      </c>
      <c r="AC112" s="179">
        <v>2</v>
      </c>
      <c r="AD112" s="117" t="s">
        <v>229</v>
      </c>
      <c r="AE112" s="180">
        <v>2.5499999999999998</v>
      </c>
      <c r="AF112" s="125">
        <v>1.29</v>
      </c>
      <c r="AG112" s="123">
        <v>0.31</v>
      </c>
      <c r="AH112" s="123">
        <v>0.2</v>
      </c>
      <c r="AI112" s="124">
        <v>1.8</v>
      </c>
      <c r="AJ112" s="125">
        <v>0.38</v>
      </c>
      <c r="AK112" s="123">
        <v>0.62</v>
      </c>
      <c r="AL112" s="123">
        <v>0</v>
      </c>
      <c r="AM112" s="124">
        <v>1</v>
      </c>
      <c r="AN112" s="125">
        <v>0.95</v>
      </c>
      <c r="AO112" s="123">
        <v>0.5</v>
      </c>
      <c r="AP112" s="123">
        <v>0.59</v>
      </c>
      <c r="AQ112" s="124">
        <v>2.0299999999999998</v>
      </c>
      <c r="AR112" s="125">
        <v>1.02</v>
      </c>
      <c r="AS112" s="123">
        <v>0.37</v>
      </c>
      <c r="AT112" s="123">
        <v>0.2</v>
      </c>
      <c r="AU112" s="124">
        <v>1.59</v>
      </c>
      <c r="AV112" s="125">
        <v>0.81</v>
      </c>
      <c r="AW112" s="123">
        <v>0.78</v>
      </c>
      <c r="AX112" s="123">
        <v>0</v>
      </c>
      <c r="AY112" s="124">
        <v>1.59</v>
      </c>
      <c r="AZ112" s="125">
        <v>0.36</v>
      </c>
      <c r="BA112" s="123">
        <v>1.03</v>
      </c>
      <c r="BB112" s="123">
        <v>0.05</v>
      </c>
      <c r="BC112" s="124">
        <v>1.45</v>
      </c>
      <c r="BD112" s="126">
        <v>0.66</v>
      </c>
      <c r="BE112" s="125">
        <v>1.4</v>
      </c>
      <c r="BF112" s="123">
        <v>0</v>
      </c>
      <c r="BG112" s="123">
        <v>0.18</v>
      </c>
      <c r="BH112" s="124">
        <v>1.58</v>
      </c>
      <c r="BI112" s="125">
        <v>0.63</v>
      </c>
      <c r="BJ112" s="123">
        <v>0.28000000000000003</v>
      </c>
      <c r="BK112" s="123">
        <v>0.23</v>
      </c>
      <c r="BL112" s="124">
        <v>1.1499999999999999</v>
      </c>
      <c r="BM112" s="125">
        <v>1.42</v>
      </c>
      <c r="BN112" s="123">
        <v>2.54</v>
      </c>
      <c r="BO112" s="123">
        <v>1.25</v>
      </c>
      <c r="BP112" s="123">
        <v>1.6</v>
      </c>
      <c r="BQ112" s="123">
        <v>1.6</v>
      </c>
      <c r="BR112" s="123">
        <v>1.75</v>
      </c>
      <c r="BS112" s="123">
        <v>3.86</v>
      </c>
      <c r="BT112" s="123">
        <v>1.61</v>
      </c>
      <c r="BU112" s="124">
        <v>2.21</v>
      </c>
      <c r="BV112" s="79">
        <v>1591200</v>
      </c>
      <c r="BW112" s="110">
        <v>133</v>
      </c>
      <c r="BX112" s="111">
        <v>1060.8</v>
      </c>
      <c r="BY112" s="115">
        <v>32.1</v>
      </c>
      <c r="BZ112" s="111">
        <v>26.7</v>
      </c>
      <c r="CA112" s="120">
        <v>6.0899999999999999E-3</v>
      </c>
      <c r="CB112" s="110">
        <v>339</v>
      </c>
      <c r="CC112" s="119">
        <v>2.2499999999999998E-3</v>
      </c>
      <c r="CD112" s="110">
        <v>346</v>
      </c>
      <c r="CE112" s="104">
        <f t="shared" si="5"/>
        <v>9.1291577359688819E-3</v>
      </c>
      <c r="CF112" s="105">
        <f t="shared" si="3"/>
        <v>2.5499999999999998</v>
      </c>
    </row>
    <row r="113" spans="1:84" ht="24" hidden="1" x14ac:dyDescent="0.25">
      <c r="A113" s="106">
        <v>112</v>
      </c>
      <c r="B113" s="107"/>
      <c r="C113" s="108" t="s">
        <v>333</v>
      </c>
      <c r="D113" s="109">
        <v>1200</v>
      </c>
      <c r="E113" s="110">
        <v>1593</v>
      </c>
      <c r="F113" s="111">
        <f t="shared" si="4"/>
        <v>1911600</v>
      </c>
      <c r="G113" s="110">
        <v>133</v>
      </c>
      <c r="H113" s="111">
        <v>1274.4000000000001</v>
      </c>
      <c r="I113" s="112">
        <v>0.75</v>
      </c>
      <c r="J113" s="113">
        <v>46.2</v>
      </c>
      <c r="K113" s="114">
        <v>31.7</v>
      </c>
      <c r="L113" s="115">
        <v>31.7</v>
      </c>
      <c r="M113" s="163">
        <v>1.29</v>
      </c>
      <c r="N113" s="111">
        <v>27.7</v>
      </c>
      <c r="O113" s="117" t="s">
        <v>215</v>
      </c>
      <c r="P113" s="118" t="s">
        <v>216</v>
      </c>
      <c r="Q113" s="119">
        <v>1.9E-3</v>
      </c>
      <c r="R113" s="120">
        <v>2.2000000000000001E-3</v>
      </c>
      <c r="S113" s="120">
        <v>5.4400000000000004E-3</v>
      </c>
      <c r="T113" s="110">
        <v>348</v>
      </c>
      <c r="U113" s="121">
        <v>267</v>
      </c>
      <c r="V113" s="119">
        <v>2.2499999999999998E-3</v>
      </c>
      <c r="W113" s="110">
        <v>357</v>
      </c>
      <c r="X113" s="121">
        <v>267</v>
      </c>
      <c r="Y113" s="165">
        <v>1.77</v>
      </c>
      <c r="Z113" s="115">
        <v>0.5</v>
      </c>
      <c r="AA113" s="128" t="s">
        <v>217</v>
      </c>
      <c r="AB113" s="117" t="s">
        <v>217</v>
      </c>
      <c r="AC113" s="179">
        <v>2</v>
      </c>
      <c r="AD113" s="117" t="s">
        <v>229</v>
      </c>
      <c r="AE113" s="180">
        <v>2.92</v>
      </c>
      <c r="AF113" s="125">
        <v>1.39</v>
      </c>
      <c r="AG113" s="123">
        <v>0.32</v>
      </c>
      <c r="AH113" s="123">
        <v>0.44</v>
      </c>
      <c r="AI113" s="124">
        <v>2.15</v>
      </c>
      <c r="AJ113" s="125">
        <v>0.37</v>
      </c>
      <c r="AK113" s="123">
        <v>0.64</v>
      </c>
      <c r="AL113" s="123">
        <v>0</v>
      </c>
      <c r="AM113" s="124">
        <v>1.02</v>
      </c>
      <c r="AN113" s="125">
        <v>0.99</v>
      </c>
      <c r="AO113" s="123">
        <v>0.51</v>
      </c>
      <c r="AP113" s="123">
        <v>1.58</v>
      </c>
      <c r="AQ113" s="124">
        <v>2.37</v>
      </c>
      <c r="AR113" s="125">
        <v>1.0900000000000001</v>
      </c>
      <c r="AS113" s="123">
        <v>0.39</v>
      </c>
      <c r="AT113" s="123">
        <v>0.44</v>
      </c>
      <c r="AU113" s="124">
        <v>1.68</v>
      </c>
      <c r="AV113" s="125">
        <v>0.89</v>
      </c>
      <c r="AW113" s="123">
        <v>0.8</v>
      </c>
      <c r="AX113" s="123">
        <v>0</v>
      </c>
      <c r="AY113" s="124">
        <v>1.7</v>
      </c>
      <c r="AZ113" s="125">
        <v>0.36</v>
      </c>
      <c r="BA113" s="123">
        <v>1.05</v>
      </c>
      <c r="BB113" s="123">
        <v>0.12</v>
      </c>
      <c r="BC113" s="124">
        <v>1.53</v>
      </c>
      <c r="BD113" s="126">
        <v>0.69</v>
      </c>
      <c r="BE113" s="125">
        <v>1.71</v>
      </c>
      <c r="BF113" s="123">
        <v>0</v>
      </c>
      <c r="BG113" s="123">
        <v>0.41</v>
      </c>
      <c r="BH113" s="124">
        <v>2.12</v>
      </c>
      <c r="BI113" s="125">
        <v>0.64</v>
      </c>
      <c r="BJ113" s="123">
        <v>0.26</v>
      </c>
      <c r="BK113" s="123">
        <v>0.53</v>
      </c>
      <c r="BL113" s="124">
        <v>1.44</v>
      </c>
      <c r="BM113" s="125">
        <v>1.35</v>
      </c>
      <c r="BN113" s="123">
        <v>2.86</v>
      </c>
      <c r="BO113" s="123">
        <v>1.23</v>
      </c>
      <c r="BP113" s="123">
        <v>1.73</v>
      </c>
      <c r="BQ113" s="123">
        <v>1.72</v>
      </c>
      <c r="BR113" s="123">
        <v>1.91</v>
      </c>
      <c r="BS113" s="123">
        <v>4.2300000000000004</v>
      </c>
      <c r="BT113" s="123">
        <v>1.38</v>
      </c>
      <c r="BU113" s="124">
        <v>2.0299999999999998</v>
      </c>
      <c r="BV113" s="79">
        <v>1911600</v>
      </c>
      <c r="BW113" s="110">
        <v>133</v>
      </c>
      <c r="BX113" s="111">
        <v>1274.4000000000001</v>
      </c>
      <c r="BY113" s="115">
        <v>31.7</v>
      </c>
      <c r="BZ113" s="111">
        <v>27.7</v>
      </c>
      <c r="CA113" s="120">
        <v>5.4400000000000004E-3</v>
      </c>
      <c r="CB113" s="110">
        <v>348</v>
      </c>
      <c r="CC113" s="119">
        <v>2.2499999999999998E-3</v>
      </c>
      <c r="CD113" s="110">
        <v>357</v>
      </c>
      <c r="CE113" s="104">
        <f t="shared" si="5"/>
        <v>6.5134587882134717E-3</v>
      </c>
      <c r="CF113" s="105">
        <f t="shared" si="3"/>
        <v>2.92</v>
      </c>
    </row>
    <row r="114" spans="1:84" ht="24" hidden="1" x14ac:dyDescent="0.25">
      <c r="A114" s="133">
        <v>113</v>
      </c>
      <c r="B114" s="134"/>
      <c r="C114" s="135" t="s">
        <v>334</v>
      </c>
      <c r="D114" s="136">
        <v>1200</v>
      </c>
      <c r="E114" s="137">
        <v>1593</v>
      </c>
      <c r="F114" s="138">
        <f t="shared" si="4"/>
        <v>1911600</v>
      </c>
      <c r="G114" s="137">
        <v>133</v>
      </c>
      <c r="H114" s="138">
        <v>1274.4000000000001</v>
      </c>
      <c r="I114" s="139">
        <v>0.75</v>
      </c>
      <c r="J114" s="140">
        <v>46.2</v>
      </c>
      <c r="K114" s="141">
        <v>32.9</v>
      </c>
      <c r="L114" s="142">
        <v>32.9</v>
      </c>
      <c r="M114" s="171">
        <v>1.28</v>
      </c>
      <c r="N114" s="138">
        <v>27.2</v>
      </c>
      <c r="O114" s="144" t="s">
        <v>215</v>
      </c>
      <c r="P114" s="145" t="s">
        <v>216</v>
      </c>
      <c r="Q114" s="146">
        <v>1.9E-3</v>
      </c>
      <c r="R114" s="147">
        <v>2.2000000000000001E-3</v>
      </c>
      <c r="S114" s="147">
        <v>5.4400000000000004E-3</v>
      </c>
      <c r="T114" s="137">
        <v>348</v>
      </c>
      <c r="U114" s="148">
        <v>267</v>
      </c>
      <c r="V114" s="146">
        <v>2.2499999999999998E-3</v>
      </c>
      <c r="W114" s="137">
        <v>357</v>
      </c>
      <c r="X114" s="148">
        <v>267</v>
      </c>
      <c r="Y114" s="172">
        <v>1.77</v>
      </c>
      <c r="Z114" s="142">
        <v>0.5</v>
      </c>
      <c r="AA114" s="198" t="s">
        <v>217</v>
      </c>
      <c r="AB114" s="144" t="s">
        <v>217</v>
      </c>
      <c r="AC114" s="183">
        <v>2</v>
      </c>
      <c r="AD114" s="181" t="s">
        <v>229</v>
      </c>
      <c r="AE114" s="182">
        <v>2.33</v>
      </c>
      <c r="AF114" s="152">
        <v>1.37</v>
      </c>
      <c r="AG114" s="150">
        <v>0.32</v>
      </c>
      <c r="AH114" s="150">
        <v>0.44</v>
      </c>
      <c r="AI114" s="151">
        <v>2.14</v>
      </c>
      <c r="AJ114" s="152">
        <v>0.38</v>
      </c>
      <c r="AK114" s="150">
        <v>0.64</v>
      </c>
      <c r="AL114" s="150">
        <v>0</v>
      </c>
      <c r="AM114" s="151">
        <v>1.03</v>
      </c>
      <c r="AN114" s="152">
        <v>0.98</v>
      </c>
      <c r="AO114" s="150">
        <v>0.51</v>
      </c>
      <c r="AP114" s="150">
        <v>1.58</v>
      </c>
      <c r="AQ114" s="151">
        <v>2.35</v>
      </c>
      <c r="AR114" s="152">
        <v>1.08</v>
      </c>
      <c r="AS114" s="150">
        <v>0.39</v>
      </c>
      <c r="AT114" s="150">
        <v>0.44</v>
      </c>
      <c r="AU114" s="151">
        <v>1.67</v>
      </c>
      <c r="AV114" s="152">
        <v>0.89</v>
      </c>
      <c r="AW114" s="150">
        <v>0.8</v>
      </c>
      <c r="AX114" s="150">
        <v>0</v>
      </c>
      <c r="AY114" s="151">
        <v>1.69</v>
      </c>
      <c r="AZ114" s="152">
        <v>0.35</v>
      </c>
      <c r="BA114" s="150">
        <v>1.05</v>
      </c>
      <c r="BB114" s="150">
        <v>0.12</v>
      </c>
      <c r="BC114" s="151">
        <v>1.52</v>
      </c>
      <c r="BD114" s="153">
        <v>0.69</v>
      </c>
      <c r="BE114" s="152">
        <v>1.7</v>
      </c>
      <c r="BF114" s="150">
        <v>0</v>
      </c>
      <c r="BG114" s="150">
        <v>0.41</v>
      </c>
      <c r="BH114" s="151">
        <v>2.11</v>
      </c>
      <c r="BI114" s="152">
        <v>0.64</v>
      </c>
      <c r="BJ114" s="150">
        <v>0.26</v>
      </c>
      <c r="BK114" s="150">
        <v>0.53</v>
      </c>
      <c r="BL114" s="151">
        <v>1.43</v>
      </c>
      <c r="BM114" s="152">
        <v>1.0900000000000001</v>
      </c>
      <c r="BN114" s="150">
        <v>2.2599999999999998</v>
      </c>
      <c r="BO114" s="150">
        <v>0.99</v>
      </c>
      <c r="BP114" s="150">
        <v>1.39</v>
      </c>
      <c r="BQ114" s="150">
        <v>1.38</v>
      </c>
      <c r="BR114" s="150">
        <v>1.53</v>
      </c>
      <c r="BS114" s="150">
        <v>3.37</v>
      </c>
      <c r="BT114" s="150">
        <v>1.1000000000000001</v>
      </c>
      <c r="BU114" s="151">
        <v>1.62</v>
      </c>
      <c r="BV114" s="79">
        <v>1911600</v>
      </c>
      <c r="BW114" s="137">
        <v>133</v>
      </c>
      <c r="BX114" s="138">
        <v>1274.4000000000001</v>
      </c>
      <c r="BY114" s="142">
        <v>32.9</v>
      </c>
      <c r="BZ114" s="138">
        <v>27.2</v>
      </c>
      <c r="CA114" s="147">
        <v>5.4400000000000004E-3</v>
      </c>
      <c r="CB114" s="137">
        <v>348</v>
      </c>
      <c r="CC114" s="146">
        <v>2.2499999999999998E-3</v>
      </c>
      <c r="CD114" s="137">
        <v>357</v>
      </c>
      <c r="CE114" s="104">
        <f t="shared" si="5"/>
        <v>5.1918874398803033E-3</v>
      </c>
      <c r="CF114" s="105">
        <f t="shared" si="3"/>
        <v>2.33</v>
      </c>
    </row>
    <row r="115" spans="1:84" ht="14.25" hidden="1" customHeight="1" x14ac:dyDescent="0.25">
      <c r="A115" s="83">
        <v>114</v>
      </c>
      <c r="B115" s="84" t="s">
        <v>335</v>
      </c>
      <c r="C115" s="99">
        <v>1</v>
      </c>
      <c r="D115" s="86">
        <v>2408</v>
      </c>
      <c r="E115" s="87">
        <v>2870</v>
      </c>
      <c r="F115" s="88">
        <f t="shared" si="4"/>
        <v>6910960</v>
      </c>
      <c r="G115" s="87">
        <v>150</v>
      </c>
      <c r="H115" s="87">
        <v>2296</v>
      </c>
      <c r="I115" s="89">
        <v>0.84</v>
      </c>
      <c r="J115" s="90">
        <v>40.6</v>
      </c>
      <c r="K115" s="91">
        <v>10.3</v>
      </c>
      <c r="L115" s="92">
        <v>22</v>
      </c>
      <c r="M115" s="157">
        <v>0.84</v>
      </c>
      <c r="N115" s="88">
        <v>12.5</v>
      </c>
      <c r="O115" s="94" t="s">
        <v>206</v>
      </c>
      <c r="P115" s="95" t="s">
        <v>207</v>
      </c>
      <c r="Q115" s="96">
        <v>3.1E-4</v>
      </c>
      <c r="R115" s="94" t="s">
        <v>336</v>
      </c>
      <c r="S115" s="97">
        <v>1E-3</v>
      </c>
      <c r="T115" s="87">
        <v>500</v>
      </c>
      <c r="U115" s="95" t="s">
        <v>336</v>
      </c>
      <c r="V115" s="96">
        <v>0</v>
      </c>
      <c r="W115" s="87">
        <v>0</v>
      </c>
      <c r="X115" s="98">
        <v>0</v>
      </c>
      <c r="Y115" s="158">
        <v>0.5</v>
      </c>
      <c r="Z115" s="99">
        <v>1</v>
      </c>
      <c r="AA115" s="128" t="s">
        <v>217</v>
      </c>
      <c r="AB115" s="117" t="s">
        <v>217</v>
      </c>
      <c r="AC115" s="177">
        <v>2</v>
      </c>
      <c r="AD115" s="117" t="s">
        <v>229</v>
      </c>
      <c r="AE115" s="178">
        <v>0.42</v>
      </c>
      <c r="AF115" s="102">
        <v>0.33</v>
      </c>
      <c r="AG115" s="100">
        <v>0</v>
      </c>
      <c r="AH115" s="100">
        <v>0.13</v>
      </c>
      <c r="AI115" s="101">
        <v>0.46</v>
      </c>
      <c r="AJ115" s="102">
        <v>0.35</v>
      </c>
      <c r="AK115" s="100">
        <v>0</v>
      </c>
      <c r="AL115" s="100">
        <v>0</v>
      </c>
      <c r="AM115" s="101">
        <v>0.35</v>
      </c>
      <c r="AN115" s="102">
        <v>0.46</v>
      </c>
      <c r="AO115" s="100">
        <v>0</v>
      </c>
      <c r="AP115" s="100">
        <v>0.2</v>
      </c>
      <c r="AQ115" s="101">
        <v>0.66</v>
      </c>
      <c r="AR115" s="102">
        <v>0.53</v>
      </c>
      <c r="AS115" s="100">
        <v>0</v>
      </c>
      <c r="AT115" s="100">
        <v>0.13</v>
      </c>
      <c r="AU115" s="101">
        <v>0.56999999999999995</v>
      </c>
      <c r="AV115" s="102">
        <v>0.18</v>
      </c>
      <c r="AW115" s="100">
        <v>0</v>
      </c>
      <c r="AX115" s="100">
        <v>0</v>
      </c>
      <c r="AY115" s="101">
        <v>0.18</v>
      </c>
      <c r="AZ115" s="194"/>
      <c r="BA115" s="195"/>
      <c r="BB115" s="195"/>
      <c r="BC115" s="196"/>
      <c r="BD115" s="103">
        <v>0.19</v>
      </c>
      <c r="BE115" s="102">
        <v>0.5</v>
      </c>
      <c r="BF115" s="100">
        <v>0</v>
      </c>
      <c r="BG115" s="100">
        <v>0.12</v>
      </c>
      <c r="BH115" s="101">
        <v>0.61</v>
      </c>
      <c r="BI115" s="102">
        <v>0.42</v>
      </c>
      <c r="BJ115" s="100">
        <v>0</v>
      </c>
      <c r="BK115" s="100">
        <v>0.15</v>
      </c>
      <c r="BL115" s="101">
        <v>0.56999999999999995</v>
      </c>
      <c r="BM115" s="102">
        <v>0.91</v>
      </c>
      <c r="BN115" s="100">
        <v>1.19</v>
      </c>
      <c r="BO115" s="100">
        <v>0.63</v>
      </c>
      <c r="BP115" s="100">
        <v>0.74</v>
      </c>
      <c r="BQ115" s="100">
        <v>2.36</v>
      </c>
      <c r="BR115" s="195"/>
      <c r="BS115" s="100">
        <v>2.19</v>
      </c>
      <c r="BT115" s="100">
        <v>0.68</v>
      </c>
      <c r="BU115" s="101">
        <v>0.73</v>
      </c>
      <c r="BV115" s="79">
        <v>6910960</v>
      </c>
      <c r="BW115" s="87">
        <v>150</v>
      </c>
      <c r="BX115" s="87">
        <v>2296</v>
      </c>
      <c r="BY115" s="92">
        <v>22</v>
      </c>
      <c r="BZ115" s="88">
        <v>12.5</v>
      </c>
      <c r="CA115" s="97">
        <v>1E-3</v>
      </c>
      <c r="CB115" s="87">
        <v>500</v>
      </c>
      <c r="CC115" s="96">
        <v>0</v>
      </c>
      <c r="CD115" s="87">
        <v>0</v>
      </c>
      <c r="CE115" s="104">
        <f t="shared" si="5"/>
        <v>1.5795586527293844E-3</v>
      </c>
      <c r="CF115" s="105">
        <f t="shared" si="3"/>
        <v>0.42</v>
      </c>
    </row>
    <row r="116" spans="1:84" hidden="1" x14ac:dyDescent="0.25">
      <c r="A116" s="106">
        <v>115</v>
      </c>
      <c r="B116" s="107"/>
      <c r="C116" s="108" t="s">
        <v>291</v>
      </c>
      <c r="D116" s="109">
        <v>2408</v>
      </c>
      <c r="E116" s="110">
        <v>2870</v>
      </c>
      <c r="F116" s="111">
        <f t="shared" si="4"/>
        <v>6910960</v>
      </c>
      <c r="G116" s="110">
        <v>150</v>
      </c>
      <c r="H116" s="110">
        <v>2296</v>
      </c>
      <c r="I116" s="112">
        <v>0.84</v>
      </c>
      <c r="J116" s="113">
        <v>40.6</v>
      </c>
      <c r="K116" s="114">
        <v>10.7</v>
      </c>
      <c r="L116" s="115">
        <v>32.1</v>
      </c>
      <c r="M116" s="163">
        <v>0.81</v>
      </c>
      <c r="N116" s="111">
        <v>11.9</v>
      </c>
      <c r="O116" s="117" t="s">
        <v>206</v>
      </c>
      <c r="P116" s="118" t="s">
        <v>207</v>
      </c>
      <c r="Q116" s="119">
        <v>3.1E-4</v>
      </c>
      <c r="R116" s="117" t="s">
        <v>336</v>
      </c>
      <c r="S116" s="120">
        <v>1E-3</v>
      </c>
      <c r="T116" s="110">
        <v>500</v>
      </c>
      <c r="U116" s="118" t="s">
        <v>336</v>
      </c>
      <c r="V116" s="119">
        <v>0</v>
      </c>
      <c r="W116" s="110">
        <v>0</v>
      </c>
      <c r="X116" s="121">
        <v>0</v>
      </c>
      <c r="Y116" s="165">
        <v>0.5</v>
      </c>
      <c r="Z116" s="122">
        <v>1</v>
      </c>
      <c r="AA116" s="128" t="s">
        <v>217</v>
      </c>
      <c r="AB116" s="117" t="s">
        <v>217</v>
      </c>
      <c r="AC116" s="114">
        <v>5.7</v>
      </c>
      <c r="AD116" s="117" t="s">
        <v>229</v>
      </c>
      <c r="AE116" s="180">
        <v>0.44</v>
      </c>
      <c r="AF116" s="125">
        <v>0.32</v>
      </c>
      <c r="AG116" s="123">
        <v>0</v>
      </c>
      <c r="AH116" s="123">
        <v>0.13</v>
      </c>
      <c r="AI116" s="124">
        <v>0.45</v>
      </c>
      <c r="AJ116" s="125">
        <v>0.35</v>
      </c>
      <c r="AK116" s="123">
        <v>0</v>
      </c>
      <c r="AL116" s="123">
        <v>0</v>
      </c>
      <c r="AM116" s="124">
        <v>0.35</v>
      </c>
      <c r="AN116" s="125">
        <v>0</v>
      </c>
      <c r="AO116" s="123">
        <v>0</v>
      </c>
      <c r="AP116" s="123">
        <v>0.2</v>
      </c>
      <c r="AQ116" s="124">
        <v>0.2</v>
      </c>
      <c r="AR116" s="125">
        <v>0.51</v>
      </c>
      <c r="AS116" s="123">
        <v>0</v>
      </c>
      <c r="AT116" s="123">
        <v>0.13</v>
      </c>
      <c r="AU116" s="124">
        <v>0.55000000000000004</v>
      </c>
      <c r="AV116" s="125">
        <v>0.17</v>
      </c>
      <c r="AW116" s="123">
        <v>0</v>
      </c>
      <c r="AX116" s="123">
        <v>0</v>
      </c>
      <c r="AY116" s="124">
        <v>0.17</v>
      </c>
      <c r="AZ116" s="127"/>
      <c r="BA116" s="129"/>
      <c r="BB116" s="129"/>
      <c r="BC116" s="197"/>
      <c r="BD116" s="126">
        <v>0.19</v>
      </c>
      <c r="BE116" s="125">
        <v>0.48</v>
      </c>
      <c r="BF116" s="123">
        <v>0</v>
      </c>
      <c r="BG116" s="123">
        <v>0.12</v>
      </c>
      <c r="BH116" s="124">
        <v>0.6</v>
      </c>
      <c r="BI116" s="125">
        <v>0.4</v>
      </c>
      <c r="BJ116" s="123">
        <v>0</v>
      </c>
      <c r="BK116" s="123">
        <v>0.15</v>
      </c>
      <c r="BL116" s="124">
        <v>0.55000000000000004</v>
      </c>
      <c r="BM116" s="125">
        <v>0.99</v>
      </c>
      <c r="BN116" s="123">
        <v>1.27</v>
      </c>
      <c r="BO116" s="123">
        <v>2.27</v>
      </c>
      <c r="BP116" s="123">
        <v>0.8</v>
      </c>
      <c r="BQ116" s="123">
        <v>2.58</v>
      </c>
      <c r="BR116" s="129"/>
      <c r="BS116" s="123">
        <v>2.34</v>
      </c>
      <c r="BT116" s="123">
        <v>0.74</v>
      </c>
      <c r="BU116" s="124">
        <v>0.8</v>
      </c>
      <c r="BV116" s="79">
        <v>6910960</v>
      </c>
      <c r="BW116" s="110">
        <v>150</v>
      </c>
      <c r="BX116" s="110">
        <v>2296</v>
      </c>
      <c r="BY116" s="115">
        <v>32.1</v>
      </c>
      <c r="BZ116" s="111">
        <v>11.9</v>
      </c>
      <c r="CA116" s="120">
        <v>1E-3</v>
      </c>
      <c r="CB116" s="110">
        <v>500</v>
      </c>
      <c r="CC116" s="119">
        <v>0</v>
      </c>
      <c r="CD116" s="110">
        <v>0</v>
      </c>
      <c r="CE116" s="104">
        <f t="shared" si="5"/>
        <v>1.718931475029036E-3</v>
      </c>
      <c r="CF116" s="105">
        <f t="shared" si="3"/>
        <v>0.44</v>
      </c>
    </row>
    <row r="117" spans="1:84" hidden="1" x14ac:dyDescent="0.25">
      <c r="A117" s="106">
        <v>116</v>
      </c>
      <c r="B117" s="107"/>
      <c r="C117" s="122">
        <v>2</v>
      </c>
      <c r="D117" s="109">
        <v>2408</v>
      </c>
      <c r="E117" s="110">
        <v>2870</v>
      </c>
      <c r="F117" s="111">
        <f t="shared" si="4"/>
        <v>6910960</v>
      </c>
      <c r="G117" s="110">
        <v>150</v>
      </c>
      <c r="H117" s="110">
        <v>2296</v>
      </c>
      <c r="I117" s="112">
        <v>0.84</v>
      </c>
      <c r="J117" s="113">
        <v>40.6</v>
      </c>
      <c r="K117" s="114">
        <v>9.6999999999999993</v>
      </c>
      <c r="L117" s="115">
        <v>29.5</v>
      </c>
      <c r="M117" s="163">
        <v>0.89</v>
      </c>
      <c r="N117" s="111">
        <v>13.7</v>
      </c>
      <c r="O117" s="117" t="s">
        <v>206</v>
      </c>
      <c r="P117" s="118" t="s">
        <v>207</v>
      </c>
      <c r="Q117" s="119">
        <v>3.1E-4</v>
      </c>
      <c r="R117" s="117" t="s">
        <v>336</v>
      </c>
      <c r="S117" s="120">
        <v>1E-3</v>
      </c>
      <c r="T117" s="110">
        <v>500</v>
      </c>
      <c r="U117" s="118" t="s">
        <v>336</v>
      </c>
      <c r="V117" s="119">
        <v>0</v>
      </c>
      <c r="W117" s="110">
        <v>0</v>
      </c>
      <c r="X117" s="121">
        <v>0</v>
      </c>
      <c r="Y117" s="165">
        <v>0.5</v>
      </c>
      <c r="Z117" s="122">
        <v>1</v>
      </c>
      <c r="AA117" s="128" t="s">
        <v>217</v>
      </c>
      <c r="AB117" s="117" t="s">
        <v>217</v>
      </c>
      <c r="AC117" s="179">
        <v>2</v>
      </c>
      <c r="AD117" s="117" t="s">
        <v>229</v>
      </c>
      <c r="AE117" s="180">
        <v>0.42</v>
      </c>
      <c r="AF117" s="125">
        <v>0.35</v>
      </c>
      <c r="AG117" s="123">
        <v>0</v>
      </c>
      <c r="AH117" s="123">
        <v>0.13</v>
      </c>
      <c r="AI117" s="124">
        <v>0.47</v>
      </c>
      <c r="AJ117" s="125">
        <v>0.35</v>
      </c>
      <c r="AK117" s="123">
        <v>0</v>
      </c>
      <c r="AL117" s="123">
        <v>0</v>
      </c>
      <c r="AM117" s="124">
        <v>0.35</v>
      </c>
      <c r="AN117" s="125">
        <v>0.48</v>
      </c>
      <c r="AO117" s="123">
        <v>0</v>
      </c>
      <c r="AP117" s="123">
        <v>0.2</v>
      </c>
      <c r="AQ117" s="124">
        <v>0.68</v>
      </c>
      <c r="AR117" s="125">
        <v>0.55000000000000004</v>
      </c>
      <c r="AS117" s="123">
        <v>0</v>
      </c>
      <c r="AT117" s="123">
        <v>0.13</v>
      </c>
      <c r="AU117" s="124">
        <v>0.59</v>
      </c>
      <c r="AV117" s="125">
        <v>0.18</v>
      </c>
      <c r="AW117" s="123">
        <v>0</v>
      </c>
      <c r="AX117" s="123">
        <v>0</v>
      </c>
      <c r="AY117" s="124">
        <v>0.18</v>
      </c>
      <c r="AZ117" s="127"/>
      <c r="BA117" s="129"/>
      <c r="BB117" s="129"/>
      <c r="BC117" s="197"/>
      <c r="BD117" s="126">
        <v>0.19</v>
      </c>
      <c r="BE117" s="125">
        <v>0.53</v>
      </c>
      <c r="BF117" s="123">
        <v>0</v>
      </c>
      <c r="BG117" s="123">
        <v>0.12</v>
      </c>
      <c r="BH117" s="124">
        <v>0.65</v>
      </c>
      <c r="BI117" s="125">
        <v>0.44</v>
      </c>
      <c r="BJ117" s="123">
        <v>0</v>
      </c>
      <c r="BK117" s="123">
        <v>0.15</v>
      </c>
      <c r="BL117" s="124">
        <v>0.59</v>
      </c>
      <c r="BM117" s="125">
        <v>0.89</v>
      </c>
      <c r="BN117" s="123">
        <v>1.2</v>
      </c>
      <c r="BO117" s="123">
        <v>0.62</v>
      </c>
      <c r="BP117" s="123">
        <v>0.71</v>
      </c>
      <c r="BQ117" s="123">
        <v>2.27</v>
      </c>
      <c r="BR117" s="129"/>
      <c r="BS117" s="123">
        <v>2.2000000000000002</v>
      </c>
      <c r="BT117" s="123">
        <v>0.65</v>
      </c>
      <c r="BU117" s="124">
        <v>0.7</v>
      </c>
      <c r="BV117" s="79">
        <v>6910960</v>
      </c>
      <c r="BW117" s="110">
        <v>150</v>
      </c>
      <c r="BX117" s="110">
        <v>2296</v>
      </c>
      <c r="BY117" s="115">
        <v>29.5</v>
      </c>
      <c r="BZ117" s="111">
        <v>13.7</v>
      </c>
      <c r="CA117" s="120">
        <v>1E-3</v>
      </c>
      <c r="CB117" s="110">
        <v>500</v>
      </c>
      <c r="CC117" s="119">
        <v>0</v>
      </c>
      <c r="CD117" s="110">
        <v>0</v>
      </c>
      <c r="CE117" s="104">
        <f t="shared" si="5"/>
        <v>1.5098722415795587E-3</v>
      </c>
      <c r="CF117" s="105">
        <f t="shared" si="3"/>
        <v>0.42</v>
      </c>
    </row>
    <row r="118" spans="1:84" hidden="1" x14ac:dyDescent="0.25">
      <c r="A118" s="106">
        <v>117</v>
      </c>
      <c r="B118" s="107"/>
      <c r="C118" s="108" t="s">
        <v>337</v>
      </c>
      <c r="D118" s="109">
        <v>2408</v>
      </c>
      <c r="E118" s="110">
        <v>2870</v>
      </c>
      <c r="F118" s="111">
        <f t="shared" si="4"/>
        <v>6910960</v>
      </c>
      <c r="G118" s="110">
        <v>150</v>
      </c>
      <c r="H118" s="110">
        <v>2296</v>
      </c>
      <c r="I118" s="112">
        <v>0.84</v>
      </c>
      <c r="J118" s="113">
        <v>40.6</v>
      </c>
      <c r="K118" s="114">
        <v>9</v>
      </c>
      <c r="L118" s="115">
        <v>31.5</v>
      </c>
      <c r="M118" s="163">
        <v>0.92</v>
      </c>
      <c r="N118" s="111">
        <v>14.4</v>
      </c>
      <c r="O118" s="117" t="s">
        <v>206</v>
      </c>
      <c r="P118" s="118" t="s">
        <v>207</v>
      </c>
      <c r="Q118" s="119">
        <v>3.1E-4</v>
      </c>
      <c r="R118" s="117" t="s">
        <v>336</v>
      </c>
      <c r="S118" s="120">
        <v>1E-3</v>
      </c>
      <c r="T118" s="110">
        <v>500</v>
      </c>
      <c r="U118" s="118" t="s">
        <v>336</v>
      </c>
      <c r="V118" s="119">
        <v>0</v>
      </c>
      <c r="W118" s="110">
        <v>0</v>
      </c>
      <c r="X118" s="121">
        <v>0</v>
      </c>
      <c r="Y118" s="165">
        <v>0.5</v>
      </c>
      <c r="Z118" s="122">
        <v>1</v>
      </c>
      <c r="AA118" s="128" t="s">
        <v>217</v>
      </c>
      <c r="AB118" s="117" t="s">
        <v>217</v>
      </c>
      <c r="AC118" s="114">
        <v>4.7</v>
      </c>
      <c r="AD118" s="117" t="s">
        <v>229</v>
      </c>
      <c r="AE118" s="180">
        <v>0.37</v>
      </c>
      <c r="AF118" s="125">
        <v>0.35</v>
      </c>
      <c r="AG118" s="123">
        <v>0</v>
      </c>
      <c r="AH118" s="123">
        <v>0.13</v>
      </c>
      <c r="AI118" s="124">
        <v>0.48</v>
      </c>
      <c r="AJ118" s="125">
        <v>0.35</v>
      </c>
      <c r="AK118" s="123">
        <v>0</v>
      </c>
      <c r="AL118" s="123">
        <v>0</v>
      </c>
      <c r="AM118" s="124">
        <v>0.35</v>
      </c>
      <c r="AN118" s="125">
        <v>0</v>
      </c>
      <c r="AO118" s="123">
        <v>0</v>
      </c>
      <c r="AP118" s="123">
        <v>0.2</v>
      </c>
      <c r="AQ118" s="124">
        <v>0.2</v>
      </c>
      <c r="AR118" s="125">
        <v>0.56000000000000005</v>
      </c>
      <c r="AS118" s="123">
        <v>0</v>
      </c>
      <c r="AT118" s="123">
        <v>0.13</v>
      </c>
      <c r="AU118" s="124">
        <v>0.61</v>
      </c>
      <c r="AV118" s="125">
        <v>0.19</v>
      </c>
      <c r="AW118" s="123">
        <v>0</v>
      </c>
      <c r="AX118" s="123">
        <v>0</v>
      </c>
      <c r="AY118" s="124">
        <v>0.19</v>
      </c>
      <c r="AZ118" s="127"/>
      <c r="BA118" s="129"/>
      <c r="BB118" s="129"/>
      <c r="BC118" s="197"/>
      <c r="BD118" s="126">
        <v>0.19</v>
      </c>
      <c r="BE118" s="125">
        <v>0.55000000000000004</v>
      </c>
      <c r="BF118" s="123">
        <v>0</v>
      </c>
      <c r="BG118" s="123">
        <v>0.12</v>
      </c>
      <c r="BH118" s="124">
        <v>0.66</v>
      </c>
      <c r="BI118" s="125">
        <v>0.46</v>
      </c>
      <c r="BJ118" s="123">
        <v>0</v>
      </c>
      <c r="BK118" s="123">
        <v>0.15</v>
      </c>
      <c r="BL118" s="124">
        <v>0.61</v>
      </c>
      <c r="BM118" s="125">
        <v>0.78</v>
      </c>
      <c r="BN118" s="123">
        <v>1.07</v>
      </c>
      <c r="BO118" s="123">
        <v>1.88</v>
      </c>
      <c r="BP118" s="123">
        <v>0.61</v>
      </c>
      <c r="BQ118" s="123">
        <v>1.97</v>
      </c>
      <c r="BR118" s="129"/>
      <c r="BS118" s="123">
        <v>1.96</v>
      </c>
      <c r="BT118" s="123">
        <v>0.56000000000000005</v>
      </c>
      <c r="BU118" s="124">
        <v>0.61</v>
      </c>
      <c r="BV118" s="79">
        <v>6910960</v>
      </c>
      <c r="BW118" s="110">
        <v>150</v>
      </c>
      <c r="BX118" s="110">
        <v>2296</v>
      </c>
      <c r="BY118" s="115">
        <v>31.5</v>
      </c>
      <c r="BZ118" s="111">
        <v>14.4</v>
      </c>
      <c r="CA118" s="120">
        <v>1E-3</v>
      </c>
      <c r="CB118" s="110">
        <v>500</v>
      </c>
      <c r="CC118" s="119">
        <v>0</v>
      </c>
      <c r="CD118" s="110">
        <v>0</v>
      </c>
      <c r="CE118" s="104">
        <f t="shared" si="5"/>
        <v>1.3008130081300815E-3</v>
      </c>
      <c r="CF118" s="105">
        <f t="shared" si="3"/>
        <v>0.37</v>
      </c>
    </row>
    <row r="119" spans="1:84" hidden="1" x14ac:dyDescent="0.25">
      <c r="A119" s="106">
        <v>118</v>
      </c>
      <c r="B119" s="107"/>
      <c r="C119" s="122">
        <v>3</v>
      </c>
      <c r="D119" s="109">
        <v>2408</v>
      </c>
      <c r="E119" s="110">
        <v>2870</v>
      </c>
      <c r="F119" s="111">
        <f t="shared" si="4"/>
        <v>6910960</v>
      </c>
      <c r="G119" s="110">
        <v>150</v>
      </c>
      <c r="H119" s="110">
        <v>2296</v>
      </c>
      <c r="I119" s="112">
        <v>0.84</v>
      </c>
      <c r="J119" s="113">
        <v>40.6</v>
      </c>
      <c r="K119" s="114">
        <v>5.3</v>
      </c>
      <c r="L119" s="115">
        <v>34.799999999999997</v>
      </c>
      <c r="M119" s="163">
        <v>0.96</v>
      </c>
      <c r="N119" s="111">
        <v>15.5</v>
      </c>
      <c r="O119" s="117" t="s">
        <v>206</v>
      </c>
      <c r="P119" s="118" t="s">
        <v>207</v>
      </c>
      <c r="Q119" s="119">
        <v>3.1E-4</v>
      </c>
      <c r="R119" s="117" t="s">
        <v>336</v>
      </c>
      <c r="S119" s="120">
        <v>1E-3</v>
      </c>
      <c r="T119" s="110">
        <v>500</v>
      </c>
      <c r="U119" s="118" t="s">
        <v>336</v>
      </c>
      <c r="V119" s="119">
        <v>0</v>
      </c>
      <c r="W119" s="110">
        <v>0</v>
      </c>
      <c r="X119" s="121">
        <v>0</v>
      </c>
      <c r="Y119" s="165">
        <v>0.5</v>
      </c>
      <c r="Z119" s="122">
        <v>1</v>
      </c>
      <c r="AA119" s="128" t="s">
        <v>217</v>
      </c>
      <c r="AB119" s="117" t="s">
        <v>217</v>
      </c>
      <c r="AC119" s="179">
        <v>2</v>
      </c>
      <c r="AD119" s="117" t="s">
        <v>229</v>
      </c>
      <c r="AE119" s="180">
        <v>0.39</v>
      </c>
      <c r="AF119" s="125">
        <v>0.37</v>
      </c>
      <c r="AG119" s="123">
        <v>0</v>
      </c>
      <c r="AH119" s="123">
        <v>0.13</v>
      </c>
      <c r="AI119" s="124">
        <v>0.49</v>
      </c>
      <c r="AJ119" s="125">
        <v>0.35</v>
      </c>
      <c r="AK119" s="123">
        <v>0</v>
      </c>
      <c r="AL119" s="123">
        <v>0</v>
      </c>
      <c r="AM119" s="124">
        <v>0.35</v>
      </c>
      <c r="AN119" s="125">
        <v>0.51</v>
      </c>
      <c r="AO119" s="123">
        <v>0</v>
      </c>
      <c r="AP119" s="123">
        <v>0.2</v>
      </c>
      <c r="AQ119" s="124">
        <v>0.71</v>
      </c>
      <c r="AR119" s="125">
        <v>0.59</v>
      </c>
      <c r="AS119" s="123">
        <v>0</v>
      </c>
      <c r="AT119" s="123">
        <v>0.13</v>
      </c>
      <c r="AU119" s="124">
        <v>0.63</v>
      </c>
      <c r="AV119" s="125">
        <v>0.2</v>
      </c>
      <c r="AW119" s="123">
        <v>0</v>
      </c>
      <c r="AX119" s="123">
        <v>0</v>
      </c>
      <c r="AY119" s="124">
        <v>0.2</v>
      </c>
      <c r="AZ119" s="127"/>
      <c r="BA119" s="129"/>
      <c r="BB119" s="129"/>
      <c r="BC119" s="197"/>
      <c r="BD119" s="126">
        <v>0.19</v>
      </c>
      <c r="BE119" s="125">
        <v>0.56999999999999995</v>
      </c>
      <c r="BF119" s="123">
        <v>0</v>
      </c>
      <c r="BG119" s="123">
        <v>0.12</v>
      </c>
      <c r="BH119" s="124">
        <v>0.69</v>
      </c>
      <c r="BI119" s="125">
        <v>0.48</v>
      </c>
      <c r="BJ119" s="123">
        <v>0</v>
      </c>
      <c r="BK119" s="123">
        <v>0.15</v>
      </c>
      <c r="BL119" s="124">
        <v>0.63</v>
      </c>
      <c r="BM119" s="125">
        <v>0.79</v>
      </c>
      <c r="BN119" s="123">
        <v>1.1100000000000001</v>
      </c>
      <c r="BO119" s="123">
        <v>0.55000000000000004</v>
      </c>
      <c r="BP119" s="123">
        <v>0.62</v>
      </c>
      <c r="BQ119" s="123">
        <v>1.98</v>
      </c>
      <c r="BR119" s="129"/>
      <c r="BS119" s="123">
        <v>2.0499999999999998</v>
      </c>
      <c r="BT119" s="123">
        <v>0.56999999999999995</v>
      </c>
      <c r="BU119" s="124">
        <v>0.62</v>
      </c>
      <c r="BV119" s="79">
        <v>6910960</v>
      </c>
      <c r="BW119" s="110">
        <v>150</v>
      </c>
      <c r="BX119" s="110">
        <v>2296</v>
      </c>
      <c r="BY119" s="115">
        <v>34.799999999999997</v>
      </c>
      <c r="BZ119" s="111">
        <v>15.5</v>
      </c>
      <c r="CA119" s="120">
        <v>1E-3</v>
      </c>
      <c r="CB119" s="110">
        <v>500</v>
      </c>
      <c r="CC119" s="119">
        <v>0</v>
      </c>
      <c r="CD119" s="110">
        <v>0</v>
      </c>
      <c r="CE119" s="104">
        <f t="shared" si="5"/>
        <v>1.3240418118466899E-3</v>
      </c>
      <c r="CF119" s="105">
        <f t="shared" si="3"/>
        <v>0.39</v>
      </c>
    </row>
    <row r="120" spans="1:84" hidden="1" x14ac:dyDescent="0.25">
      <c r="A120" s="106">
        <v>119</v>
      </c>
      <c r="B120" s="107"/>
      <c r="C120" s="108" t="s">
        <v>338</v>
      </c>
      <c r="D120" s="109">
        <v>2408</v>
      </c>
      <c r="E120" s="110">
        <v>2870</v>
      </c>
      <c r="F120" s="111">
        <f t="shared" si="4"/>
        <v>6910960</v>
      </c>
      <c r="G120" s="110">
        <v>150</v>
      </c>
      <c r="H120" s="110">
        <v>2296</v>
      </c>
      <c r="I120" s="112">
        <v>0.84</v>
      </c>
      <c r="J120" s="113">
        <v>40.6</v>
      </c>
      <c r="K120" s="114">
        <v>6.9</v>
      </c>
      <c r="L120" s="115">
        <v>39.700000000000003</v>
      </c>
      <c r="M120" s="163">
        <v>0.97</v>
      </c>
      <c r="N120" s="111">
        <v>15.7</v>
      </c>
      <c r="O120" s="117" t="s">
        <v>206</v>
      </c>
      <c r="P120" s="118" t="s">
        <v>207</v>
      </c>
      <c r="Q120" s="119">
        <v>3.1E-4</v>
      </c>
      <c r="R120" s="117" t="s">
        <v>336</v>
      </c>
      <c r="S120" s="120">
        <v>1E-3</v>
      </c>
      <c r="T120" s="110">
        <v>500</v>
      </c>
      <c r="U120" s="118" t="s">
        <v>336</v>
      </c>
      <c r="V120" s="119">
        <v>0</v>
      </c>
      <c r="W120" s="110">
        <v>0</v>
      </c>
      <c r="X120" s="121">
        <v>0</v>
      </c>
      <c r="Y120" s="165">
        <v>0.5</v>
      </c>
      <c r="Z120" s="122">
        <v>1</v>
      </c>
      <c r="AA120" s="128" t="s">
        <v>217</v>
      </c>
      <c r="AB120" s="117" t="s">
        <v>217</v>
      </c>
      <c r="AC120" s="114">
        <v>5.3</v>
      </c>
      <c r="AD120" s="117" t="s">
        <v>229</v>
      </c>
      <c r="AE120" s="180">
        <v>0.45</v>
      </c>
      <c r="AF120" s="125">
        <v>0.37</v>
      </c>
      <c r="AG120" s="123">
        <v>0</v>
      </c>
      <c r="AH120" s="123">
        <v>0.13</v>
      </c>
      <c r="AI120" s="124">
        <v>0.49</v>
      </c>
      <c r="AJ120" s="125">
        <v>0.35</v>
      </c>
      <c r="AK120" s="123">
        <v>0</v>
      </c>
      <c r="AL120" s="123">
        <v>0</v>
      </c>
      <c r="AM120" s="124">
        <v>0.35</v>
      </c>
      <c r="AN120" s="125">
        <v>0</v>
      </c>
      <c r="AO120" s="123">
        <v>0</v>
      </c>
      <c r="AP120" s="123">
        <v>0.2</v>
      </c>
      <c r="AQ120" s="124">
        <v>0.2</v>
      </c>
      <c r="AR120" s="125">
        <v>0.59</v>
      </c>
      <c r="AS120" s="123">
        <v>0</v>
      </c>
      <c r="AT120" s="123">
        <v>0.13</v>
      </c>
      <c r="AU120" s="124">
        <v>0.63</v>
      </c>
      <c r="AV120" s="125">
        <v>0.2</v>
      </c>
      <c r="AW120" s="123">
        <v>0</v>
      </c>
      <c r="AX120" s="123">
        <v>0</v>
      </c>
      <c r="AY120" s="124">
        <v>0.2</v>
      </c>
      <c r="AZ120" s="127"/>
      <c r="BA120" s="129"/>
      <c r="BB120" s="129"/>
      <c r="BC120" s="197"/>
      <c r="BD120" s="126">
        <v>0.19</v>
      </c>
      <c r="BE120" s="125">
        <v>0.57999999999999996</v>
      </c>
      <c r="BF120" s="123">
        <v>0</v>
      </c>
      <c r="BG120" s="123">
        <v>0.12</v>
      </c>
      <c r="BH120" s="124">
        <v>0.69</v>
      </c>
      <c r="BI120" s="125">
        <v>0.48</v>
      </c>
      <c r="BJ120" s="123">
        <v>0</v>
      </c>
      <c r="BK120" s="123">
        <v>0.15</v>
      </c>
      <c r="BL120" s="124">
        <v>0.63</v>
      </c>
      <c r="BM120" s="125">
        <v>0.92</v>
      </c>
      <c r="BN120" s="123">
        <v>1.29</v>
      </c>
      <c r="BO120" s="123">
        <v>2.27</v>
      </c>
      <c r="BP120" s="123">
        <v>0.71</v>
      </c>
      <c r="BQ120" s="123">
        <v>2.2999999999999998</v>
      </c>
      <c r="BR120" s="129"/>
      <c r="BS120" s="123">
        <v>2.38</v>
      </c>
      <c r="BT120" s="123">
        <v>0.66</v>
      </c>
      <c r="BU120" s="124">
        <v>0.71</v>
      </c>
      <c r="BV120" s="79">
        <v>6910960</v>
      </c>
      <c r="BW120" s="110">
        <v>150</v>
      </c>
      <c r="BX120" s="110">
        <v>2296</v>
      </c>
      <c r="BY120" s="115">
        <v>39.700000000000003</v>
      </c>
      <c r="BZ120" s="111">
        <v>15.7</v>
      </c>
      <c r="CA120" s="120">
        <v>1E-3</v>
      </c>
      <c r="CB120" s="110">
        <v>500</v>
      </c>
      <c r="CC120" s="119">
        <v>0</v>
      </c>
      <c r="CD120" s="110">
        <v>0</v>
      </c>
      <c r="CE120" s="104">
        <f t="shared" si="5"/>
        <v>1.5331010452961672E-3</v>
      </c>
      <c r="CF120" s="105">
        <f t="shared" si="3"/>
        <v>0.45</v>
      </c>
    </row>
    <row r="121" spans="1:84" hidden="1" x14ac:dyDescent="0.25">
      <c r="A121" s="106">
        <v>120</v>
      </c>
      <c r="B121" s="107"/>
      <c r="C121" s="122">
        <v>4</v>
      </c>
      <c r="D121" s="109">
        <v>2408</v>
      </c>
      <c r="E121" s="110">
        <v>2870</v>
      </c>
      <c r="F121" s="111">
        <f t="shared" si="4"/>
        <v>6910960</v>
      </c>
      <c r="G121" s="110">
        <v>150</v>
      </c>
      <c r="H121" s="110">
        <v>2296</v>
      </c>
      <c r="I121" s="112">
        <v>0.84</v>
      </c>
      <c r="J121" s="113">
        <v>40.6</v>
      </c>
      <c r="K121" s="114">
        <v>5</v>
      </c>
      <c r="L121" s="115">
        <v>36.5</v>
      </c>
      <c r="M121" s="163">
        <v>1.06</v>
      </c>
      <c r="N121" s="111">
        <v>18.399999999999999</v>
      </c>
      <c r="O121" s="117" t="s">
        <v>206</v>
      </c>
      <c r="P121" s="118" t="s">
        <v>207</v>
      </c>
      <c r="Q121" s="119">
        <v>3.1E-4</v>
      </c>
      <c r="R121" s="117" t="s">
        <v>336</v>
      </c>
      <c r="S121" s="120">
        <v>1E-3</v>
      </c>
      <c r="T121" s="110">
        <v>500</v>
      </c>
      <c r="U121" s="118" t="s">
        <v>336</v>
      </c>
      <c r="V121" s="119">
        <v>0</v>
      </c>
      <c r="W121" s="110">
        <v>0</v>
      </c>
      <c r="X121" s="121">
        <v>0</v>
      </c>
      <c r="Y121" s="165">
        <v>0.5</v>
      </c>
      <c r="Z121" s="122">
        <v>1</v>
      </c>
      <c r="AA121" s="128" t="s">
        <v>217</v>
      </c>
      <c r="AB121" s="117" t="s">
        <v>217</v>
      </c>
      <c r="AC121" s="179">
        <v>2</v>
      </c>
      <c r="AD121" s="117" t="s">
        <v>229</v>
      </c>
      <c r="AE121" s="180">
        <v>0.3</v>
      </c>
      <c r="AF121" s="125">
        <v>0.4</v>
      </c>
      <c r="AG121" s="123">
        <v>0</v>
      </c>
      <c r="AH121" s="123">
        <v>0.13</v>
      </c>
      <c r="AI121" s="124">
        <v>0.53</v>
      </c>
      <c r="AJ121" s="125">
        <v>0.35</v>
      </c>
      <c r="AK121" s="123">
        <v>0</v>
      </c>
      <c r="AL121" s="123">
        <v>0</v>
      </c>
      <c r="AM121" s="124">
        <v>0.35</v>
      </c>
      <c r="AN121" s="125">
        <v>0.56000000000000005</v>
      </c>
      <c r="AO121" s="123">
        <v>0</v>
      </c>
      <c r="AP121" s="123">
        <v>0.2</v>
      </c>
      <c r="AQ121" s="124">
        <v>0.76</v>
      </c>
      <c r="AR121" s="125">
        <v>0.64</v>
      </c>
      <c r="AS121" s="123">
        <v>0</v>
      </c>
      <c r="AT121" s="123">
        <v>0.13</v>
      </c>
      <c r="AU121" s="124">
        <v>0.69</v>
      </c>
      <c r="AV121" s="125">
        <v>0.21</v>
      </c>
      <c r="AW121" s="123">
        <v>0</v>
      </c>
      <c r="AX121" s="123">
        <v>0</v>
      </c>
      <c r="AY121" s="124">
        <v>0.21</v>
      </c>
      <c r="AZ121" s="127"/>
      <c r="BA121" s="129"/>
      <c r="BB121" s="129"/>
      <c r="BC121" s="197"/>
      <c r="BD121" s="126">
        <v>0.19</v>
      </c>
      <c r="BE121" s="125">
        <v>0.63</v>
      </c>
      <c r="BF121" s="123">
        <v>0</v>
      </c>
      <c r="BG121" s="123">
        <v>0.12</v>
      </c>
      <c r="BH121" s="124">
        <v>0.75</v>
      </c>
      <c r="BI121" s="125">
        <v>0.53</v>
      </c>
      <c r="BJ121" s="123">
        <v>0</v>
      </c>
      <c r="BK121" s="123">
        <v>0.15</v>
      </c>
      <c r="BL121" s="124">
        <v>0.68</v>
      </c>
      <c r="BM121" s="125">
        <v>0.56999999999999995</v>
      </c>
      <c r="BN121" s="123">
        <v>0.86</v>
      </c>
      <c r="BO121" s="123">
        <v>0.4</v>
      </c>
      <c r="BP121" s="123">
        <v>0.44</v>
      </c>
      <c r="BQ121" s="123">
        <v>1.41</v>
      </c>
      <c r="BR121" s="129"/>
      <c r="BS121" s="123">
        <v>1.59</v>
      </c>
      <c r="BT121" s="123">
        <v>0.41</v>
      </c>
      <c r="BU121" s="124">
        <v>0.44</v>
      </c>
      <c r="BV121" s="79">
        <v>6910960</v>
      </c>
      <c r="BW121" s="110">
        <v>150</v>
      </c>
      <c r="BX121" s="110">
        <v>2296</v>
      </c>
      <c r="BY121" s="115">
        <v>36.5</v>
      </c>
      <c r="BZ121" s="111">
        <v>18.399999999999999</v>
      </c>
      <c r="CA121" s="120">
        <v>1E-3</v>
      </c>
      <c r="CB121" s="110">
        <v>500</v>
      </c>
      <c r="CC121" s="119">
        <v>0</v>
      </c>
      <c r="CD121" s="110">
        <v>0</v>
      </c>
      <c r="CE121" s="104">
        <f t="shared" si="5"/>
        <v>9.5238095238095238E-4</v>
      </c>
      <c r="CF121" s="105">
        <f t="shared" si="3"/>
        <v>0.3</v>
      </c>
    </row>
    <row r="122" spans="1:84" hidden="1" x14ac:dyDescent="0.25">
      <c r="A122" s="106">
        <v>121</v>
      </c>
      <c r="B122" s="107"/>
      <c r="C122" s="108" t="s">
        <v>339</v>
      </c>
      <c r="D122" s="109">
        <v>2408</v>
      </c>
      <c r="E122" s="110">
        <v>2870</v>
      </c>
      <c r="F122" s="111">
        <f t="shared" si="4"/>
        <v>6910960</v>
      </c>
      <c r="G122" s="110">
        <v>150</v>
      </c>
      <c r="H122" s="110">
        <v>2296</v>
      </c>
      <c r="I122" s="112">
        <v>0.84</v>
      </c>
      <c r="J122" s="113">
        <v>40.6</v>
      </c>
      <c r="K122" s="114">
        <v>6.4</v>
      </c>
      <c r="L122" s="115">
        <v>34.700000000000003</v>
      </c>
      <c r="M122" s="163">
        <v>1.05</v>
      </c>
      <c r="N122" s="111">
        <v>18.100000000000001</v>
      </c>
      <c r="O122" s="117" t="s">
        <v>206</v>
      </c>
      <c r="P122" s="118" t="s">
        <v>207</v>
      </c>
      <c r="Q122" s="119">
        <v>3.1E-4</v>
      </c>
      <c r="R122" s="117" t="s">
        <v>336</v>
      </c>
      <c r="S122" s="120">
        <v>1E-3</v>
      </c>
      <c r="T122" s="110">
        <v>500</v>
      </c>
      <c r="U122" s="118" t="s">
        <v>336</v>
      </c>
      <c r="V122" s="119">
        <v>0</v>
      </c>
      <c r="W122" s="110">
        <v>0</v>
      </c>
      <c r="X122" s="121">
        <v>0</v>
      </c>
      <c r="Y122" s="165">
        <v>0.5</v>
      </c>
      <c r="Z122" s="122">
        <v>1</v>
      </c>
      <c r="AA122" s="128" t="s">
        <v>217</v>
      </c>
      <c r="AB122" s="117" t="s">
        <v>217</v>
      </c>
      <c r="AC122" s="114">
        <v>4.4000000000000004</v>
      </c>
      <c r="AD122" s="117" t="s">
        <v>229</v>
      </c>
      <c r="AE122" s="180">
        <v>0.37</v>
      </c>
      <c r="AF122" s="125">
        <v>0.4</v>
      </c>
      <c r="AG122" s="123">
        <v>0</v>
      </c>
      <c r="AH122" s="123">
        <v>0.13</v>
      </c>
      <c r="AI122" s="124">
        <v>0.52</v>
      </c>
      <c r="AJ122" s="125">
        <v>0.35</v>
      </c>
      <c r="AK122" s="123">
        <v>0</v>
      </c>
      <c r="AL122" s="123">
        <v>0</v>
      </c>
      <c r="AM122" s="124">
        <v>0.35</v>
      </c>
      <c r="AN122" s="125">
        <v>0</v>
      </c>
      <c r="AO122" s="123">
        <v>0</v>
      </c>
      <c r="AP122" s="123">
        <v>0.2</v>
      </c>
      <c r="AQ122" s="124">
        <v>0.2</v>
      </c>
      <c r="AR122" s="125">
        <v>0.63</v>
      </c>
      <c r="AS122" s="123">
        <v>0</v>
      </c>
      <c r="AT122" s="123">
        <v>0.13</v>
      </c>
      <c r="AU122" s="124">
        <v>0.68</v>
      </c>
      <c r="AV122" s="125">
        <v>0.21</v>
      </c>
      <c r="AW122" s="123">
        <v>0</v>
      </c>
      <c r="AX122" s="123">
        <v>0</v>
      </c>
      <c r="AY122" s="124">
        <v>0.21</v>
      </c>
      <c r="AZ122" s="127"/>
      <c r="BA122" s="129"/>
      <c r="BB122" s="129"/>
      <c r="BC122" s="197"/>
      <c r="BD122" s="126">
        <v>0.19</v>
      </c>
      <c r="BE122" s="125">
        <v>0.62</v>
      </c>
      <c r="BF122" s="123">
        <v>0</v>
      </c>
      <c r="BG122" s="123">
        <v>0.12</v>
      </c>
      <c r="BH122" s="124">
        <v>0.74</v>
      </c>
      <c r="BI122" s="125">
        <v>0.52</v>
      </c>
      <c r="BJ122" s="123">
        <v>0</v>
      </c>
      <c r="BK122" s="123">
        <v>0.15</v>
      </c>
      <c r="BL122" s="124">
        <v>0.67</v>
      </c>
      <c r="BM122" s="125">
        <v>0.71</v>
      </c>
      <c r="BN122" s="123">
        <v>1.06</v>
      </c>
      <c r="BO122" s="123">
        <v>1.84</v>
      </c>
      <c r="BP122" s="123">
        <v>0.55000000000000004</v>
      </c>
      <c r="BQ122" s="123">
        <v>1.75</v>
      </c>
      <c r="BR122" s="129"/>
      <c r="BS122" s="123">
        <v>1.95</v>
      </c>
      <c r="BT122" s="123">
        <v>0.5</v>
      </c>
      <c r="BU122" s="124">
        <v>0.55000000000000004</v>
      </c>
      <c r="BV122" s="79">
        <v>6910960</v>
      </c>
      <c r="BW122" s="110">
        <v>150</v>
      </c>
      <c r="BX122" s="110">
        <v>2296</v>
      </c>
      <c r="BY122" s="115">
        <v>34.700000000000003</v>
      </c>
      <c r="BZ122" s="111">
        <v>18.100000000000001</v>
      </c>
      <c r="CA122" s="120">
        <v>1E-3</v>
      </c>
      <c r="CB122" s="110">
        <v>500</v>
      </c>
      <c r="CC122" s="119">
        <v>0</v>
      </c>
      <c r="CD122" s="110">
        <v>0</v>
      </c>
      <c r="CE122" s="104">
        <f t="shared" si="5"/>
        <v>1.1614401858304297E-3</v>
      </c>
      <c r="CF122" s="105">
        <f t="shared" si="3"/>
        <v>0.37</v>
      </c>
    </row>
    <row r="123" spans="1:84" hidden="1" x14ac:dyDescent="0.25">
      <c r="A123" s="133">
        <v>122</v>
      </c>
      <c r="B123" s="107"/>
      <c r="C123" s="122">
        <v>5</v>
      </c>
      <c r="D123" s="109">
        <v>2408</v>
      </c>
      <c r="E123" s="110">
        <v>2870</v>
      </c>
      <c r="F123" s="111">
        <f t="shared" si="4"/>
        <v>6910960</v>
      </c>
      <c r="G123" s="110">
        <v>150</v>
      </c>
      <c r="H123" s="110">
        <v>2296</v>
      </c>
      <c r="I123" s="112">
        <v>0.84</v>
      </c>
      <c r="J123" s="113">
        <v>40.6</v>
      </c>
      <c r="K123" s="114">
        <v>10</v>
      </c>
      <c r="L123" s="115">
        <v>39.700000000000003</v>
      </c>
      <c r="M123" s="163">
        <v>1.1100000000000001</v>
      </c>
      <c r="N123" s="111">
        <v>20.100000000000001</v>
      </c>
      <c r="O123" s="117" t="s">
        <v>206</v>
      </c>
      <c r="P123" s="118" t="s">
        <v>207</v>
      </c>
      <c r="Q123" s="119">
        <v>6.2E-4</v>
      </c>
      <c r="R123" s="120">
        <v>0</v>
      </c>
      <c r="S123" s="120">
        <v>1E-3</v>
      </c>
      <c r="T123" s="110">
        <v>500</v>
      </c>
      <c r="U123" s="118" t="s">
        <v>336</v>
      </c>
      <c r="V123" s="119">
        <v>0</v>
      </c>
      <c r="W123" s="110">
        <v>0</v>
      </c>
      <c r="X123" s="121">
        <v>0</v>
      </c>
      <c r="Y123" s="165">
        <v>0.5</v>
      </c>
      <c r="Z123" s="122">
        <v>1</v>
      </c>
      <c r="AA123" s="198" t="s">
        <v>217</v>
      </c>
      <c r="AB123" s="144" t="s">
        <v>217</v>
      </c>
      <c r="AC123" s="179">
        <v>2</v>
      </c>
      <c r="AD123" s="117" t="s">
        <v>229</v>
      </c>
      <c r="AE123" s="180">
        <v>0.33</v>
      </c>
      <c r="AF123" s="152">
        <v>0.42</v>
      </c>
      <c r="AG123" s="150">
        <v>0</v>
      </c>
      <c r="AH123" s="150">
        <v>0.13</v>
      </c>
      <c r="AI123" s="151">
        <v>0.54</v>
      </c>
      <c r="AJ123" s="152">
        <v>0.35</v>
      </c>
      <c r="AK123" s="150">
        <v>0</v>
      </c>
      <c r="AL123" s="150">
        <v>0</v>
      </c>
      <c r="AM123" s="151">
        <v>0.35</v>
      </c>
      <c r="AN123" s="152">
        <v>0.57999999999999996</v>
      </c>
      <c r="AO123" s="150">
        <v>0</v>
      </c>
      <c r="AP123" s="150">
        <v>0.2</v>
      </c>
      <c r="AQ123" s="151">
        <v>0.79</v>
      </c>
      <c r="AR123" s="152">
        <v>0.67</v>
      </c>
      <c r="AS123" s="150">
        <v>0</v>
      </c>
      <c r="AT123" s="150">
        <v>0.13</v>
      </c>
      <c r="AU123" s="151">
        <v>0.72</v>
      </c>
      <c r="AV123" s="152">
        <v>0.22</v>
      </c>
      <c r="AW123" s="150">
        <v>0</v>
      </c>
      <c r="AX123" s="150">
        <v>0</v>
      </c>
      <c r="AY123" s="151">
        <v>0.22</v>
      </c>
      <c r="AZ123" s="152">
        <v>0.23</v>
      </c>
      <c r="BA123" s="150">
        <v>0</v>
      </c>
      <c r="BB123" s="150">
        <v>0.04</v>
      </c>
      <c r="BC123" s="151">
        <v>0.26</v>
      </c>
      <c r="BD123" s="153">
        <v>0.19</v>
      </c>
      <c r="BE123" s="152">
        <v>0.66</v>
      </c>
      <c r="BF123" s="150">
        <v>0</v>
      </c>
      <c r="BG123" s="150">
        <v>0.12</v>
      </c>
      <c r="BH123" s="151">
        <v>0.77</v>
      </c>
      <c r="BI123" s="152">
        <v>0.55000000000000004</v>
      </c>
      <c r="BJ123" s="150">
        <v>0</v>
      </c>
      <c r="BK123" s="150">
        <v>0.15</v>
      </c>
      <c r="BL123" s="151">
        <v>0.7</v>
      </c>
      <c r="BM123" s="152">
        <v>0.6</v>
      </c>
      <c r="BN123" s="150">
        <v>0.94</v>
      </c>
      <c r="BO123" s="150">
        <v>0.42</v>
      </c>
      <c r="BP123" s="150">
        <v>0.46</v>
      </c>
      <c r="BQ123" s="150">
        <v>1.47</v>
      </c>
      <c r="BR123" s="150">
        <v>1.24</v>
      </c>
      <c r="BS123" s="150">
        <v>1.73</v>
      </c>
      <c r="BT123" s="150">
        <v>0.42</v>
      </c>
      <c r="BU123" s="151">
        <v>0.47</v>
      </c>
      <c r="BV123" s="79">
        <v>6910960</v>
      </c>
      <c r="BW123" s="110">
        <v>150</v>
      </c>
      <c r="BX123" s="110">
        <v>2296</v>
      </c>
      <c r="BY123" s="115">
        <v>39.700000000000003</v>
      </c>
      <c r="BZ123" s="111">
        <v>20.100000000000001</v>
      </c>
      <c r="CA123" s="120">
        <v>1E-3</v>
      </c>
      <c r="CB123" s="110">
        <v>500</v>
      </c>
      <c r="CC123" s="119">
        <v>0</v>
      </c>
      <c r="CD123" s="110">
        <v>0</v>
      </c>
      <c r="CE123" s="104">
        <f t="shared" si="5"/>
        <v>9.7560975609756087E-4</v>
      </c>
      <c r="CF123" s="105">
        <f t="shared" si="3"/>
        <v>0.33</v>
      </c>
    </row>
    <row r="124" spans="1:84" ht="14.25" hidden="1" customHeight="1" x14ac:dyDescent="0.25">
      <c r="A124" s="83">
        <v>123</v>
      </c>
      <c r="B124" s="202" t="s">
        <v>340</v>
      </c>
      <c r="C124" s="203" t="s">
        <v>341</v>
      </c>
      <c r="D124" s="204">
        <v>760</v>
      </c>
      <c r="E124" s="205">
        <v>610</v>
      </c>
      <c r="F124" s="206">
        <f t="shared" si="4"/>
        <v>463600</v>
      </c>
      <c r="G124" s="205">
        <v>100</v>
      </c>
      <c r="H124" s="205">
        <v>488</v>
      </c>
      <c r="I124" s="207">
        <v>1.25</v>
      </c>
      <c r="J124" s="208">
        <v>20.8</v>
      </c>
      <c r="K124" s="209">
        <v>16.899999999999999</v>
      </c>
      <c r="L124" s="210">
        <v>24.5</v>
      </c>
      <c r="M124" s="211">
        <v>0.34</v>
      </c>
      <c r="N124" s="206">
        <v>5.2</v>
      </c>
      <c r="O124" s="212" t="s">
        <v>215</v>
      </c>
      <c r="P124" s="213" t="s">
        <v>216</v>
      </c>
      <c r="Q124" s="214">
        <v>1.2999999999999999E-3</v>
      </c>
      <c r="R124" s="215">
        <v>0</v>
      </c>
      <c r="S124" s="215">
        <v>2.5999999999999999E-3</v>
      </c>
      <c r="T124" s="205">
        <v>522</v>
      </c>
      <c r="U124" s="216">
        <v>488</v>
      </c>
      <c r="V124" s="214">
        <v>3.7200000000000002E-3</v>
      </c>
      <c r="W124" s="205">
        <v>253</v>
      </c>
      <c r="X124" s="216">
        <v>152</v>
      </c>
      <c r="Y124" s="217">
        <v>1</v>
      </c>
      <c r="Z124" s="218">
        <v>1</v>
      </c>
      <c r="AA124" s="128" t="s">
        <v>217</v>
      </c>
      <c r="AB124" s="117" t="s">
        <v>217</v>
      </c>
      <c r="AC124" s="219">
        <v>2</v>
      </c>
      <c r="AD124" s="220">
        <v>0.52</v>
      </c>
      <c r="AE124" s="207">
        <v>0.77</v>
      </c>
      <c r="AF124" s="102">
        <v>0.43</v>
      </c>
      <c r="AG124" s="100">
        <v>0.38</v>
      </c>
      <c r="AH124" s="100">
        <v>0.25</v>
      </c>
      <c r="AI124" s="101">
        <v>0.76</v>
      </c>
      <c r="AJ124" s="102">
        <v>0.31</v>
      </c>
      <c r="AK124" s="100">
        <v>1.02</v>
      </c>
      <c r="AL124" s="100">
        <v>0</v>
      </c>
      <c r="AM124" s="101">
        <v>1.34</v>
      </c>
      <c r="AN124" s="102">
        <v>0.3</v>
      </c>
      <c r="AO124" s="100">
        <v>0.6</v>
      </c>
      <c r="AP124" s="100">
        <v>0.2</v>
      </c>
      <c r="AQ124" s="101">
        <v>1.03</v>
      </c>
      <c r="AR124" s="102">
        <v>0.28999999999999998</v>
      </c>
      <c r="AS124" s="100">
        <v>0.45</v>
      </c>
      <c r="AT124" s="100">
        <v>0.25</v>
      </c>
      <c r="AU124" s="101">
        <v>0.73</v>
      </c>
      <c r="AV124" s="102">
        <v>0.23</v>
      </c>
      <c r="AW124" s="100">
        <v>0.94</v>
      </c>
      <c r="AX124" s="100">
        <v>0</v>
      </c>
      <c r="AY124" s="101">
        <v>1.17</v>
      </c>
      <c r="AZ124" s="102">
        <v>0.13</v>
      </c>
      <c r="BA124" s="100">
        <v>0.56999999999999995</v>
      </c>
      <c r="BB124" s="100">
        <v>7.0000000000000007E-2</v>
      </c>
      <c r="BC124" s="101">
        <v>0.78</v>
      </c>
      <c r="BD124" s="103">
        <v>0.3</v>
      </c>
      <c r="BE124" s="102">
        <v>0.14000000000000001</v>
      </c>
      <c r="BF124" s="100">
        <v>0</v>
      </c>
      <c r="BG124" s="100">
        <v>0.23</v>
      </c>
      <c r="BH124" s="101">
        <v>0.37</v>
      </c>
      <c r="BI124" s="102">
        <v>0.17</v>
      </c>
      <c r="BJ124" s="100">
        <v>0.19</v>
      </c>
      <c r="BK124" s="100">
        <v>0.3</v>
      </c>
      <c r="BL124" s="101">
        <v>0.66</v>
      </c>
      <c r="BM124" s="102">
        <v>1.02</v>
      </c>
      <c r="BN124" s="100">
        <v>0.57999999999999996</v>
      </c>
      <c r="BO124" s="100">
        <v>0.75</v>
      </c>
      <c r="BP124" s="100">
        <v>1.06</v>
      </c>
      <c r="BQ124" s="100">
        <v>0.66</v>
      </c>
      <c r="BR124" s="100">
        <v>0.99</v>
      </c>
      <c r="BS124" s="100">
        <v>2.6</v>
      </c>
      <c r="BT124" s="100">
        <v>2.1</v>
      </c>
      <c r="BU124" s="101">
        <v>1.17</v>
      </c>
      <c r="BV124" s="79">
        <v>463600</v>
      </c>
      <c r="BW124" s="205">
        <v>100</v>
      </c>
      <c r="BX124" s="205">
        <v>488</v>
      </c>
      <c r="BY124" s="210">
        <v>24.5</v>
      </c>
      <c r="BZ124" s="206">
        <v>5.2</v>
      </c>
      <c r="CA124" s="215">
        <v>2.5999999999999999E-3</v>
      </c>
      <c r="CB124" s="205">
        <v>522</v>
      </c>
      <c r="CC124" s="214">
        <v>3.7200000000000002E-3</v>
      </c>
      <c r="CD124" s="205">
        <v>253</v>
      </c>
      <c r="CE124" s="104">
        <f t="shared" si="5"/>
        <v>3.4426229508196723E-2</v>
      </c>
      <c r="CF124" s="105">
        <f t="shared" si="3"/>
        <v>0.77</v>
      </c>
    </row>
    <row r="125" spans="1:84" hidden="1" x14ac:dyDescent="0.25">
      <c r="A125" s="106">
        <v>124</v>
      </c>
      <c r="B125" s="107"/>
      <c r="C125" s="108" t="s">
        <v>342</v>
      </c>
      <c r="D125" s="109">
        <v>760</v>
      </c>
      <c r="E125" s="110">
        <v>610</v>
      </c>
      <c r="F125" s="111">
        <f t="shared" si="4"/>
        <v>463600</v>
      </c>
      <c r="G125" s="110">
        <v>100</v>
      </c>
      <c r="H125" s="110">
        <v>488</v>
      </c>
      <c r="I125" s="112">
        <v>1.25</v>
      </c>
      <c r="J125" s="160">
        <v>20.8</v>
      </c>
      <c r="K125" s="161">
        <v>16.899999999999999</v>
      </c>
      <c r="L125" s="162">
        <v>24.5</v>
      </c>
      <c r="M125" s="163">
        <v>0.34</v>
      </c>
      <c r="N125" s="111">
        <v>5.2</v>
      </c>
      <c r="O125" s="117" t="s">
        <v>215</v>
      </c>
      <c r="P125" s="118" t="s">
        <v>216</v>
      </c>
      <c r="Q125" s="119">
        <v>1.2999999999999999E-3</v>
      </c>
      <c r="R125" s="120">
        <v>0</v>
      </c>
      <c r="S125" s="120">
        <v>2.5999999999999999E-3</v>
      </c>
      <c r="T125" s="110">
        <v>522</v>
      </c>
      <c r="U125" s="121">
        <v>488</v>
      </c>
      <c r="V125" s="119">
        <v>3.7200000000000002E-3</v>
      </c>
      <c r="W125" s="110">
        <v>253</v>
      </c>
      <c r="X125" s="121">
        <v>152</v>
      </c>
      <c r="Y125" s="165">
        <v>2</v>
      </c>
      <c r="Z125" s="122">
        <v>1</v>
      </c>
      <c r="AA125" s="128" t="s">
        <v>217</v>
      </c>
      <c r="AB125" s="117" t="s">
        <v>217</v>
      </c>
      <c r="AC125" s="179">
        <v>2</v>
      </c>
      <c r="AD125" s="123">
        <v>0.68</v>
      </c>
      <c r="AE125" s="112">
        <v>1.01</v>
      </c>
      <c r="AF125" s="125">
        <v>0.43</v>
      </c>
      <c r="AG125" s="123">
        <v>0.38</v>
      </c>
      <c r="AH125" s="123">
        <v>0.5</v>
      </c>
      <c r="AI125" s="124">
        <v>0.76</v>
      </c>
      <c r="AJ125" s="125">
        <v>0.31</v>
      </c>
      <c r="AK125" s="123">
        <v>1.02</v>
      </c>
      <c r="AL125" s="123">
        <v>0</v>
      </c>
      <c r="AM125" s="124">
        <v>1.34</v>
      </c>
      <c r="AN125" s="125">
        <v>0.3</v>
      </c>
      <c r="AO125" s="123">
        <v>0.6</v>
      </c>
      <c r="AP125" s="123">
        <v>0.32</v>
      </c>
      <c r="AQ125" s="124">
        <v>1.03</v>
      </c>
      <c r="AR125" s="125">
        <v>0.28999999999999998</v>
      </c>
      <c r="AS125" s="123">
        <v>0.45</v>
      </c>
      <c r="AT125" s="123">
        <v>0.5</v>
      </c>
      <c r="AU125" s="124">
        <v>0.73</v>
      </c>
      <c r="AV125" s="125">
        <v>0.23</v>
      </c>
      <c r="AW125" s="123">
        <v>0.94</v>
      </c>
      <c r="AX125" s="123">
        <v>0</v>
      </c>
      <c r="AY125" s="124">
        <v>1.17</v>
      </c>
      <c r="AZ125" s="125">
        <v>0.13</v>
      </c>
      <c r="BA125" s="123">
        <v>0.56999999999999995</v>
      </c>
      <c r="BB125" s="123">
        <v>0.14000000000000001</v>
      </c>
      <c r="BC125" s="124">
        <v>0.85</v>
      </c>
      <c r="BD125" s="126">
        <v>0.3</v>
      </c>
      <c r="BE125" s="125">
        <v>0.14000000000000001</v>
      </c>
      <c r="BF125" s="123">
        <v>0</v>
      </c>
      <c r="BG125" s="123">
        <v>0.46</v>
      </c>
      <c r="BH125" s="124">
        <v>0.6</v>
      </c>
      <c r="BI125" s="125">
        <v>0.17</v>
      </c>
      <c r="BJ125" s="123">
        <v>0.19</v>
      </c>
      <c r="BK125" s="123">
        <v>0.6</v>
      </c>
      <c r="BL125" s="124">
        <v>0.96</v>
      </c>
      <c r="BM125" s="125">
        <v>1.33</v>
      </c>
      <c r="BN125" s="123">
        <v>0.75</v>
      </c>
      <c r="BO125" s="123">
        <v>0.98</v>
      </c>
      <c r="BP125" s="123">
        <v>1.38</v>
      </c>
      <c r="BQ125" s="123">
        <v>0.86</v>
      </c>
      <c r="BR125" s="123">
        <v>1.19</v>
      </c>
      <c r="BS125" s="123">
        <v>3.4</v>
      </c>
      <c r="BT125" s="123">
        <v>1.69</v>
      </c>
      <c r="BU125" s="124">
        <v>1.05</v>
      </c>
      <c r="BV125" s="79">
        <v>463600</v>
      </c>
      <c r="BW125" s="110">
        <v>100</v>
      </c>
      <c r="BX125" s="110">
        <v>488</v>
      </c>
      <c r="BY125" s="162">
        <v>24.5</v>
      </c>
      <c r="BZ125" s="111">
        <v>5.2</v>
      </c>
      <c r="CA125" s="120">
        <v>2.5999999999999999E-3</v>
      </c>
      <c r="CB125" s="110">
        <v>522</v>
      </c>
      <c r="CC125" s="119">
        <v>3.7200000000000002E-3</v>
      </c>
      <c r="CD125" s="110">
        <v>253</v>
      </c>
      <c r="CE125" s="104">
        <f t="shared" si="5"/>
        <v>2.7704918032786886E-2</v>
      </c>
      <c r="CF125" s="105">
        <f t="shared" si="3"/>
        <v>1.01</v>
      </c>
    </row>
    <row r="126" spans="1:84" hidden="1" x14ac:dyDescent="0.25">
      <c r="A126" s="106">
        <v>125</v>
      </c>
      <c r="B126" s="107"/>
      <c r="C126" s="108" t="s">
        <v>343</v>
      </c>
      <c r="D126" s="109">
        <v>760</v>
      </c>
      <c r="E126" s="110">
        <v>610</v>
      </c>
      <c r="F126" s="111">
        <f t="shared" si="4"/>
        <v>463600</v>
      </c>
      <c r="G126" s="110">
        <v>100</v>
      </c>
      <c r="H126" s="110">
        <v>488</v>
      </c>
      <c r="I126" s="112">
        <v>1.25</v>
      </c>
      <c r="J126" s="160">
        <v>20.8</v>
      </c>
      <c r="K126" s="161">
        <v>16.899999999999999</v>
      </c>
      <c r="L126" s="162">
        <v>24.5</v>
      </c>
      <c r="M126" s="163">
        <v>0.34</v>
      </c>
      <c r="N126" s="111">
        <v>5.2</v>
      </c>
      <c r="O126" s="117" t="s">
        <v>215</v>
      </c>
      <c r="P126" s="118" t="s">
        <v>216</v>
      </c>
      <c r="Q126" s="119">
        <v>1.2999999999999999E-3</v>
      </c>
      <c r="R126" s="120">
        <v>0</v>
      </c>
      <c r="S126" s="120">
        <v>2.5999999999999999E-3</v>
      </c>
      <c r="T126" s="110">
        <v>522</v>
      </c>
      <c r="U126" s="121">
        <v>488</v>
      </c>
      <c r="V126" s="119">
        <v>3.7200000000000002E-3</v>
      </c>
      <c r="W126" s="110">
        <v>253</v>
      </c>
      <c r="X126" s="121">
        <v>152</v>
      </c>
      <c r="Y126" s="165">
        <v>1</v>
      </c>
      <c r="Z126" s="122">
        <v>1</v>
      </c>
      <c r="AA126" s="128" t="s">
        <v>217</v>
      </c>
      <c r="AB126" s="117" t="s">
        <v>217</v>
      </c>
      <c r="AC126" s="179">
        <v>2</v>
      </c>
      <c r="AD126" s="123">
        <v>0.66</v>
      </c>
      <c r="AE126" s="112">
        <v>0.84</v>
      </c>
      <c r="AF126" s="125">
        <v>0.43</v>
      </c>
      <c r="AG126" s="123">
        <v>0.38</v>
      </c>
      <c r="AH126" s="123">
        <v>0.25</v>
      </c>
      <c r="AI126" s="124">
        <v>0.76</v>
      </c>
      <c r="AJ126" s="125">
        <v>0.31</v>
      </c>
      <c r="AK126" s="123">
        <v>1.02</v>
      </c>
      <c r="AL126" s="123">
        <v>0</v>
      </c>
      <c r="AM126" s="124">
        <v>1.34</v>
      </c>
      <c r="AN126" s="125">
        <v>0.3</v>
      </c>
      <c r="AO126" s="123">
        <v>0.6</v>
      </c>
      <c r="AP126" s="123">
        <v>0.2</v>
      </c>
      <c r="AQ126" s="124">
        <v>1.03</v>
      </c>
      <c r="AR126" s="125">
        <v>0.28999999999999998</v>
      </c>
      <c r="AS126" s="123">
        <v>0.45</v>
      </c>
      <c r="AT126" s="123">
        <v>0.25</v>
      </c>
      <c r="AU126" s="124">
        <v>0.73</v>
      </c>
      <c r="AV126" s="125">
        <v>0.23</v>
      </c>
      <c r="AW126" s="123">
        <v>0.94</v>
      </c>
      <c r="AX126" s="123">
        <v>0</v>
      </c>
      <c r="AY126" s="124">
        <v>1.17</v>
      </c>
      <c r="AZ126" s="125">
        <v>0.13</v>
      </c>
      <c r="BA126" s="123">
        <v>0.56999999999999995</v>
      </c>
      <c r="BB126" s="123">
        <v>7.0000000000000007E-2</v>
      </c>
      <c r="BC126" s="124">
        <v>0.78</v>
      </c>
      <c r="BD126" s="126">
        <v>0.3</v>
      </c>
      <c r="BE126" s="125">
        <v>0.14000000000000001</v>
      </c>
      <c r="BF126" s="123">
        <v>0</v>
      </c>
      <c r="BG126" s="123">
        <v>0.23</v>
      </c>
      <c r="BH126" s="124">
        <v>0.37</v>
      </c>
      <c r="BI126" s="125">
        <v>0.17</v>
      </c>
      <c r="BJ126" s="123">
        <v>0.19</v>
      </c>
      <c r="BK126" s="123">
        <v>0.3</v>
      </c>
      <c r="BL126" s="124">
        <v>0.66</v>
      </c>
      <c r="BM126" s="125">
        <v>1.1100000000000001</v>
      </c>
      <c r="BN126" s="123">
        <v>0.63</v>
      </c>
      <c r="BO126" s="123">
        <v>0.82</v>
      </c>
      <c r="BP126" s="123">
        <v>1.1499999999999999</v>
      </c>
      <c r="BQ126" s="123">
        <v>0.72</v>
      </c>
      <c r="BR126" s="123">
        <v>1.08</v>
      </c>
      <c r="BS126" s="123">
        <v>2.84</v>
      </c>
      <c r="BT126" s="123">
        <v>2.2999999999999998</v>
      </c>
      <c r="BU126" s="124">
        <v>1.28</v>
      </c>
      <c r="BV126" s="79">
        <v>463600</v>
      </c>
      <c r="BW126" s="110">
        <v>100</v>
      </c>
      <c r="BX126" s="110">
        <v>488</v>
      </c>
      <c r="BY126" s="162">
        <v>24.5</v>
      </c>
      <c r="BZ126" s="111">
        <v>5.2</v>
      </c>
      <c r="CA126" s="120">
        <v>2.5999999999999999E-3</v>
      </c>
      <c r="CB126" s="110">
        <v>522</v>
      </c>
      <c r="CC126" s="119">
        <v>3.7200000000000002E-3</v>
      </c>
      <c r="CD126" s="110">
        <v>253</v>
      </c>
      <c r="CE126" s="104">
        <f t="shared" si="5"/>
        <v>3.7704918032786888E-2</v>
      </c>
      <c r="CF126" s="105">
        <f t="shared" si="3"/>
        <v>0.84</v>
      </c>
    </row>
    <row r="127" spans="1:84" hidden="1" x14ac:dyDescent="0.25">
      <c r="A127" s="106">
        <v>126</v>
      </c>
      <c r="B127" s="107"/>
      <c r="C127" s="108" t="s">
        <v>344</v>
      </c>
      <c r="D127" s="109">
        <v>760</v>
      </c>
      <c r="E127" s="110">
        <v>610</v>
      </c>
      <c r="F127" s="111">
        <f t="shared" si="4"/>
        <v>463600</v>
      </c>
      <c r="G127" s="110">
        <v>100</v>
      </c>
      <c r="H127" s="110">
        <v>488</v>
      </c>
      <c r="I127" s="112">
        <v>1.25</v>
      </c>
      <c r="J127" s="160">
        <v>20.8</v>
      </c>
      <c r="K127" s="161">
        <v>16.899999999999999</v>
      </c>
      <c r="L127" s="162">
        <v>24.5</v>
      </c>
      <c r="M127" s="163">
        <v>0.34</v>
      </c>
      <c r="N127" s="111">
        <v>5.2</v>
      </c>
      <c r="O127" s="117" t="s">
        <v>215</v>
      </c>
      <c r="P127" s="118" t="s">
        <v>216</v>
      </c>
      <c r="Q127" s="119">
        <v>1.2999999999999999E-3</v>
      </c>
      <c r="R127" s="120">
        <v>0</v>
      </c>
      <c r="S127" s="120">
        <v>2.5999999999999999E-3</v>
      </c>
      <c r="T127" s="110">
        <v>522</v>
      </c>
      <c r="U127" s="121">
        <v>488</v>
      </c>
      <c r="V127" s="119">
        <v>3.7200000000000002E-3</v>
      </c>
      <c r="W127" s="110">
        <v>253</v>
      </c>
      <c r="X127" s="121">
        <v>152</v>
      </c>
      <c r="Y127" s="165">
        <v>2</v>
      </c>
      <c r="Z127" s="122">
        <v>1</v>
      </c>
      <c r="AA127" s="128" t="s">
        <v>217</v>
      </c>
      <c r="AB127" s="117" t="s">
        <v>217</v>
      </c>
      <c r="AC127" s="179">
        <v>2</v>
      </c>
      <c r="AD127" s="123">
        <v>0.7</v>
      </c>
      <c r="AE127" s="112">
        <v>1.02</v>
      </c>
      <c r="AF127" s="125">
        <v>0.43</v>
      </c>
      <c r="AG127" s="123">
        <v>0.38</v>
      </c>
      <c r="AH127" s="123">
        <v>0.5</v>
      </c>
      <c r="AI127" s="124">
        <v>0.76</v>
      </c>
      <c r="AJ127" s="125">
        <v>0.31</v>
      </c>
      <c r="AK127" s="123">
        <v>1.02</v>
      </c>
      <c r="AL127" s="123">
        <v>0</v>
      </c>
      <c r="AM127" s="124">
        <v>1.34</v>
      </c>
      <c r="AN127" s="125">
        <v>0.3</v>
      </c>
      <c r="AO127" s="123">
        <v>0.6</v>
      </c>
      <c r="AP127" s="123">
        <v>0.32</v>
      </c>
      <c r="AQ127" s="124">
        <v>1.03</v>
      </c>
      <c r="AR127" s="125">
        <v>0.28999999999999998</v>
      </c>
      <c r="AS127" s="123">
        <v>0.45</v>
      </c>
      <c r="AT127" s="123">
        <v>0.5</v>
      </c>
      <c r="AU127" s="124">
        <v>0.73</v>
      </c>
      <c r="AV127" s="125">
        <v>0.23</v>
      </c>
      <c r="AW127" s="123">
        <v>0.94</v>
      </c>
      <c r="AX127" s="123">
        <v>0</v>
      </c>
      <c r="AY127" s="124">
        <v>1.17</v>
      </c>
      <c r="AZ127" s="125">
        <v>0.13</v>
      </c>
      <c r="BA127" s="123">
        <v>0.56999999999999995</v>
      </c>
      <c r="BB127" s="123">
        <v>0.14000000000000001</v>
      </c>
      <c r="BC127" s="124">
        <v>0.85</v>
      </c>
      <c r="BD127" s="126">
        <v>0.3</v>
      </c>
      <c r="BE127" s="125">
        <v>0.14000000000000001</v>
      </c>
      <c r="BF127" s="123">
        <v>0</v>
      </c>
      <c r="BG127" s="123">
        <v>0.46</v>
      </c>
      <c r="BH127" s="124">
        <v>0.6</v>
      </c>
      <c r="BI127" s="125">
        <v>0.17</v>
      </c>
      <c r="BJ127" s="123">
        <v>0.19</v>
      </c>
      <c r="BK127" s="123">
        <v>0.6</v>
      </c>
      <c r="BL127" s="124">
        <v>0.96</v>
      </c>
      <c r="BM127" s="125">
        <v>1.35</v>
      </c>
      <c r="BN127" s="123">
        <v>0.76</v>
      </c>
      <c r="BO127" s="123">
        <v>0.99</v>
      </c>
      <c r="BP127" s="123">
        <v>1.4</v>
      </c>
      <c r="BQ127" s="123">
        <v>0.87</v>
      </c>
      <c r="BR127" s="123">
        <v>1.2</v>
      </c>
      <c r="BS127" s="123">
        <v>3.44</v>
      </c>
      <c r="BT127" s="123">
        <v>1.71</v>
      </c>
      <c r="BU127" s="124">
        <v>1.06</v>
      </c>
      <c r="BV127" s="79">
        <v>463600</v>
      </c>
      <c r="BW127" s="110">
        <v>100</v>
      </c>
      <c r="BX127" s="110">
        <v>488</v>
      </c>
      <c r="BY127" s="162">
        <v>24.5</v>
      </c>
      <c r="BZ127" s="111">
        <v>5.2</v>
      </c>
      <c r="CA127" s="120">
        <v>2.5999999999999999E-3</v>
      </c>
      <c r="CB127" s="110">
        <v>522</v>
      </c>
      <c r="CC127" s="119">
        <v>3.7200000000000002E-3</v>
      </c>
      <c r="CD127" s="110">
        <v>253</v>
      </c>
      <c r="CE127" s="104">
        <f t="shared" si="5"/>
        <v>2.8032786885245901E-2</v>
      </c>
      <c r="CF127" s="105">
        <f t="shared" si="3"/>
        <v>1.02</v>
      </c>
    </row>
    <row r="128" spans="1:84" hidden="1" x14ac:dyDescent="0.25">
      <c r="A128" s="106">
        <v>127</v>
      </c>
      <c r="B128" s="107"/>
      <c r="C128" s="108" t="s">
        <v>345</v>
      </c>
      <c r="D128" s="109">
        <v>760</v>
      </c>
      <c r="E128" s="110">
        <v>610</v>
      </c>
      <c r="F128" s="111">
        <f t="shared" si="4"/>
        <v>463600</v>
      </c>
      <c r="G128" s="110">
        <v>100</v>
      </c>
      <c r="H128" s="110">
        <v>488</v>
      </c>
      <c r="I128" s="112">
        <v>1.25</v>
      </c>
      <c r="J128" s="160">
        <v>20.8</v>
      </c>
      <c r="K128" s="161">
        <v>16.899999999999999</v>
      </c>
      <c r="L128" s="162">
        <v>24.5</v>
      </c>
      <c r="M128" s="163">
        <v>0.34</v>
      </c>
      <c r="N128" s="111">
        <v>5.2</v>
      </c>
      <c r="O128" s="117" t="s">
        <v>215</v>
      </c>
      <c r="P128" s="118" t="s">
        <v>216</v>
      </c>
      <c r="Q128" s="119">
        <v>1.2999999999999999E-3</v>
      </c>
      <c r="R128" s="120">
        <v>0</v>
      </c>
      <c r="S128" s="120">
        <v>2.5999999999999999E-3</v>
      </c>
      <c r="T128" s="110">
        <v>522</v>
      </c>
      <c r="U128" s="121">
        <v>488</v>
      </c>
      <c r="V128" s="119">
        <v>3.7200000000000002E-3</v>
      </c>
      <c r="W128" s="110">
        <v>253</v>
      </c>
      <c r="X128" s="121">
        <v>152</v>
      </c>
      <c r="Y128" s="165">
        <v>1</v>
      </c>
      <c r="Z128" s="122">
        <v>1</v>
      </c>
      <c r="AA128" s="128" t="s">
        <v>217</v>
      </c>
      <c r="AB128" s="117" t="s">
        <v>217</v>
      </c>
      <c r="AC128" s="179">
        <v>2</v>
      </c>
      <c r="AD128" s="123">
        <v>0.51</v>
      </c>
      <c r="AE128" s="112">
        <v>0.68</v>
      </c>
      <c r="AF128" s="125">
        <v>0.43</v>
      </c>
      <c r="AG128" s="123">
        <v>0.38</v>
      </c>
      <c r="AH128" s="123">
        <v>0.25</v>
      </c>
      <c r="AI128" s="124">
        <v>0.76</v>
      </c>
      <c r="AJ128" s="125">
        <v>0.31</v>
      </c>
      <c r="AK128" s="123">
        <v>1.02</v>
      </c>
      <c r="AL128" s="123">
        <v>0</v>
      </c>
      <c r="AM128" s="124">
        <v>1.34</v>
      </c>
      <c r="AN128" s="125">
        <v>0.3</v>
      </c>
      <c r="AO128" s="123">
        <v>0.6</v>
      </c>
      <c r="AP128" s="123">
        <v>0.2</v>
      </c>
      <c r="AQ128" s="124">
        <v>1.03</v>
      </c>
      <c r="AR128" s="125">
        <v>0.28999999999999998</v>
      </c>
      <c r="AS128" s="123">
        <v>0.45</v>
      </c>
      <c r="AT128" s="123">
        <v>0.25</v>
      </c>
      <c r="AU128" s="124">
        <v>0.73</v>
      </c>
      <c r="AV128" s="125">
        <v>0.23</v>
      </c>
      <c r="AW128" s="123">
        <v>0.94</v>
      </c>
      <c r="AX128" s="123">
        <v>0</v>
      </c>
      <c r="AY128" s="124">
        <v>1.17</v>
      </c>
      <c r="AZ128" s="125">
        <v>0.13</v>
      </c>
      <c r="BA128" s="123">
        <v>0.56999999999999995</v>
      </c>
      <c r="BB128" s="123">
        <v>7.0000000000000007E-2</v>
      </c>
      <c r="BC128" s="124">
        <v>0.78</v>
      </c>
      <c r="BD128" s="126">
        <v>0.3</v>
      </c>
      <c r="BE128" s="125">
        <v>0.14000000000000001</v>
      </c>
      <c r="BF128" s="123">
        <v>0</v>
      </c>
      <c r="BG128" s="123">
        <v>0.23</v>
      </c>
      <c r="BH128" s="124">
        <v>0.37</v>
      </c>
      <c r="BI128" s="125">
        <v>0.17</v>
      </c>
      <c r="BJ128" s="123">
        <v>0.19</v>
      </c>
      <c r="BK128" s="123">
        <v>0.3</v>
      </c>
      <c r="BL128" s="124">
        <v>0.66</v>
      </c>
      <c r="BM128" s="125">
        <v>0.89</v>
      </c>
      <c r="BN128" s="123">
        <v>0.51</v>
      </c>
      <c r="BO128" s="123">
        <v>0.66</v>
      </c>
      <c r="BP128" s="123">
        <v>0.93</v>
      </c>
      <c r="BQ128" s="123">
        <v>0.57999999999999996</v>
      </c>
      <c r="BR128" s="123">
        <v>0.87</v>
      </c>
      <c r="BS128" s="123">
        <v>2.2799999999999998</v>
      </c>
      <c r="BT128" s="123">
        <v>1.84</v>
      </c>
      <c r="BU128" s="124">
        <v>1.03</v>
      </c>
      <c r="BV128" s="79">
        <v>463600</v>
      </c>
      <c r="BW128" s="110">
        <v>100</v>
      </c>
      <c r="BX128" s="110">
        <v>488</v>
      </c>
      <c r="BY128" s="162">
        <v>24.5</v>
      </c>
      <c r="BZ128" s="111">
        <v>5.2</v>
      </c>
      <c r="CA128" s="120">
        <v>2.5999999999999999E-3</v>
      </c>
      <c r="CB128" s="110">
        <v>522</v>
      </c>
      <c r="CC128" s="119">
        <v>3.7200000000000002E-3</v>
      </c>
      <c r="CD128" s="110">
        <v>253</v>
      </c>
      <c r="CE128" s="104">
        <f t="shared" si="5"/>
        <v>3.016393442622951E-2</v>
      </c>
      <c r="CF128" s="105">
        <f t="shared" si="3"/>
        <v>0.68</v>
      </c>
    </row>
    <row r="129" spans="1:84" hidden="1" x14ac:dyDescent="0.25">
      <c r="A129" s="106">
        <v>128</v>
      </c>
      <c r="B129" s="107"/>
      <c r="C129" s="108" t="s">
        <v>346</v>
      </c>
      <c r="D129" s="109">
        <v>760</v>
      </c>
      <c r="E129" s="110">
        <v>610</v>
      </c>
      <c r="F129" s="111">
        <f t="shared" si="4"/>
        <v>463600</v>
      </c>
      <c r="G129" s="110">
        <v>100</v>
      </c>
      <c r="H129" s="110">
        <v>488</v>
      </c>
      <c r="I129" s="112">
        <v>1.25</v>
      </c>
      <c r="J129" s="160">
        <v>20.8</v>
      </c>
      <c r="K129" s="161">
        <v>16.899999999999999</v>
      </c>
      <c r="L129" s="162">
        <v>24.5</v>
      </c>
      <c r="M129" s="163">
        <v>0.34</v>
      </c>
      <c r="N129" s="111">
        <v>5.2</v>
      </c>
      <c r="O129" s="117" t="s">
        <v>215</v>
      </c>
      <c r="P129" s="118" t="s">
        <v>216</v>
      </c>
      <c r="Q129" s="119">
        <v>1.2999999999999999E-3</v>
      </c>
      <c r="R129" s="120">
        <v>0</v>
      </c>
      <c r="S129" s="120">
        <v>2.5999999999999999E-3</v>
      </c>
      <c r="T129" s="110">
        <v>522</v>
      </c>
      <c r="U129" s="121">
        <v>488</v>
      </c>
      <c r="V129" s="119">
        <v>3.7200000000000002E-3</v>
      </c>
      <c r="W129" s="110">
        <v>253</v>
      </c>
      <c r="X129" s="121">
        <v>152</v>
      </c>
      <c r="Y129" s="165">
        <v>2</v>
      </c>
      <c r="Z129" s="122">
        <v>1</v>
      </c>
      <c r="AA129" s="128" t="s">
        <v>217</v>
      </c>
      <c r="AB129" s="117" t="s">
        <v>217</v>
      </c>
      <c r="AC129" s="179">
        <v>2</v>
      </c>
      <c r="AD129" s="123">
        <v>0.68</v>
      </c>
      <c r="AE129" s="112">
        <v>0.74</v>
      </c>
      <c r="AF129" s="125">
        <v>0.43</v>
      </c>
      <c r="AG129" s="123">
        <v>0.38</v>
      </c>
      <c r="AH129" s="123">
        <v>0.5</v>
      </c>
      <c r="AI129" s="124">
        <v>0.76</v>
      </c>
      <c r="AJ129" s="125">
        <v>0.31</v>
      </c>
      <c r="AK129" s="123">
        <v>1.02</v>
      </c>
      <c r="AL129" s="123">
        <v>0</v>
      </c>
      <c r="AM129" s="124">
        <v>1.34</v>
      </c>
      <c r="AN129" s="125">
        <v>0.3</v>
      </c>
      <c r="AO129" s="123">
        <v>0.6</v>
      </c>
      <c r="AP129" s="123">
        <v>0.32</v>
      </c>
      <c r="AQ129" s="124">
        <v>1.03</v>
      </c>
      <c r="AR129" s="125">
        <v>0.28999999999999998</v>
      </c>
      <c r="AS129" s="123">
        <v>0.45</v>
      </c>
      <c r="AT129" s="123">
        <v>0.5</v>
      </c>
      <c r="AU129" s="124">
        <v>0.73</v>
      </c>
      <c r="AV129" s="125">
        <v>0.23</v>
      </c>
      <c r="AW129" s="123">
        <v>0.94</v>
      </c>
      <c r="AX129" s="123">
        <v>0</v>
      </c>
      <c r="AY129" s="124">
        <v>1.17</v>
      </c>
      <c r="AZ129" s="125">
        <v>0.13</v>
      </c>
      <c r="BA129" s="123">
        <v>0.56999999999999995</v>
      </c>
      <c r="BB129" s="123">
        <v>0.14000000000000001</v>
      </c>
      <c r="BC129" s="124">
        <v>0.85</v>
      </c>
      <c r="BD129" s="126">
        <v>0.3</v>
      </c>
      <c r="BE129" s="125">
        <v>0.14000000000000001</v>
      </c>
      <c r="BF129" s="123">
        <v>0</v>
      </c>
      <c r="BG129" s="123">
        <v>0.46</v>
      </c>
      <c r="BH129" s="124">
        <v>0.6</v>
      </c>
      <c r="BI129" s="125">
        <v>0.17</v>
      </c>
      <c r="BJ129" s="123">
        <v>0.19</v>
      </c>
      <c r="BK129" s="123">
        <v>0.6</v>
      </c>
      <c r="BL129" s="124">
        <v>0.96</v>
      </c>
      <c r="BM129" s="125">
        <v>0.98</v>
      </c>
      <c r="BN129" s="123">
        <v>0.55000000000000004</v>
      </c>
      <c r="BO129" s="123">
        <v>0.72</v>
      </c>
      <c r="BP129" s="123">
        <v>1.01</v>
      </c>
      <c r="BQ129" s="123">
        <v>0.63</v>
      </c>
      <c r="BR129" s="123">
        <v>0.87</v>
      </c>
      <c r="BS129" s="123">
        <v>2.4900000000000002</v>
      </c>
      <c r="BT129" s="123">
        <v>1.24</v>
      </c>
      <c r="BU129" s="124">
        <v>0.77</v>
      </c>
      <c r="BV129" s="79">
        <v>463600</v>
      </c>
      <c r="BW129" s="110">
        <v>100</v>
      </c>
      <c r="BX129" s="110">
        <v>488</v>
      </c>
      <c r="BY129" s="162">
        <v>24.5</v>
      </c>
      <c r="BZ129" s="111">
        <v>5.2</v>
      </c>
      <c r="CA129" s="120">
        <v>2.5999999999999999E-3</v>
      </c>
      <c r="CB129" s="110">
        <v>522</v>
      </c>
      <c r="CC129" s="119">
        <v>3.7200000000000002E-3</v>
      </c>
      <c r="CD129" s="110">
        <v>253</v>
      </c>
      <c r="CE129" s="104">
        <f t="shared" si="5"/>
        <v>2.0327868852459016E-2</v>
      </c>
      <c r="CF129" s="105">
        <f t="shared" si="3"/>
        <v>0.74</v>
      </c>
    </row>
    <row r="130" spans="1:84" hidden="1" x14ac:dyDescent="0.25">
      <c r="A130" s="106">
        <v>129</v>
      </c>
      <c r="B130" s="107"/>
      <c r="C130" s="108" t="s">
        <v>347</v>
      </c>
      <c r="D130" s="109">
        <v>760</v>
      </c>
      <c r="E130" s="110">
        <v>610</v>
      </c>
      <c r="F130" s="111">
        <f t="shared" si="4"/>
        <v>463600</v>
      </c>
      <c r="G130" s="110">
        <v>100</v>
      </c>
      <c r="H130" s="110">
        <v>488</v>
      </c>
      <c r="I130" s="112">
        <v>1.25</v>
      </c>
      <c r="J130" s="160">
        <v>20.8</v>
      </c>
      <c r="K130" s="161">
        <v>16.899999999999999</v>
      </c>
      <c r="L130" s="162">
        <v>24.5</v>
      </c>
      <c r="M130" s="163">
        <v>0.34</v>
      </c>
      <c r="N130" s="111">
        <v>5.2</v>
      </c>
      <c r="O130" s="117" t="s">
        <v>215</v>
      </c>
      <c r="P130" s="118" t="s">
        <v>216</v>
      </c>
      <c r="Q130" s="119">
        <v>1.2999999999999999E-3</v>
      </c>
      <c r="R130" s="120">
        <v>0</v>
      </c>
      <c r="S130" s="120">
        <v>2.5999999999999999E-3</v>
      </c>
      <c r="T130" s="110">
        <v>522</v>
      </c>
      <c r="U130" s="121">
        <v>488</v>
      </c>
      <c r="V130" s="119">
        <v>3.7200000000000002E-3</v>
      </c>
      <c r="W130" s="110">
        <v>253</v>
      </c>
      <c r="X130" s="121">
        <v>152</v>
      </c>
      <c r="Y130" s="165">
        <v>1</v>
      </c>
      <c r="Z130" s="122">
        <v>1</v>
      </c>
      <c r="AA130" s="128" t="s">
        <v>217</v>
      </c>
      <c r="AB130" s="117" t="s">
        <v>217</v>
      </c>
      <c r="AC130" s="179">
        <v>2</v>
      </c>
      <c r="AD130" s="123">
        <v>0.54</v>
      </c>
      <c r="AE130" s="112">
        <v>0.7</v>
      </c>
      <c r="AF130" s="125">
        <v>0.43</v>
      </c>
      <c r="AG130" s="123">
        <v>0.38</v>
      </c>
      <c r="AH130" s="123">
        <v>0.25</v>
      </c>
      <c r="AI130" s="124">
        <v>0.76</v>
      </c>
      <c r="AJ130" s="125">
        <v>0.31</v>
      </c>
      <c r="AK130" s="123">
        <v>1.02</v>
      </c>
      <c r="AL130" s="123">
        <v>0</v>
      </c>
      <c r="AM130" s="124">
        <v>1.34</v>
      </c>
      <c r="AN130" s="125">
        <v>0.3</v>
      </c>
      <c r="AO130" s="123">
        <v>0.6</v>
      </c>
      <c r="AP130" s="123">
        <v>0.2</v>
      </c>
      <c r="AQ130" s="124">
        <v>1.03</v>
      </c>
      <c r="AR130" s="125">
        <v>0.28999999999999998</v>
      </c>
      <c r="AS130" s="123">
        <v>0.45</v>
      </c>
      <c r="AT130" s="123">
        <v>0.25</v>
      </c>
      <c r="AU130" s="124">
        <v>0.73</v>
      </c>
      <c r="AV130" s="125">
        <v>0.23</v>
      </c>
      <c r="AW130" s="123">
        <v>0.94</v>
      </c>
      <c r="AX130" s="123">
        <v>0</v>
      </c>
      <c r="AY130" s="124">
        <v>1.17</v>
      </c>
      <c r="AZ130" s="125">
        <v>0.13</v>
      </c>
      <c r="BA130" s="123">
        <v>0.56999999999999995</v>
      </c>
      <c r="BB130" s="123">
        <v>7.0000000000000007E-2</v>
      </c>
      <c r="BC130" s="124">
        <v>0.78</v>
      </c>
      <c r="BD130" s="126">
        <v>0.3</v>
      </c>
      <c r="BE130" s="125">
        <v>0.14000000000000001</v>
      </c>
      <c r="BF130" s="123">
        <v>0</v>
      </c>
      <c r="BG130" s="123">
        <v>0.23</v>
      </c>
      <c r="BH130" s="124">
        <v>0.37</v>
      </c>
      <c r="BI130" s="125">
        <v>0.17</v>
      </c>
      <c r="BJ130" s="123">
        <v>0.19</v>
      </c>
      <c r="BK130" s="123">
        <v>0.3</v>
      </c>
      <c r="BL130" s="124">
        <v>0.66</v>
      </c>
      <c r="BM130" s="125">
        <v>0.93</v>
      </c>
      <c r="BN130" s="123">
        <v>0.53</v>
      </c>
      <c r="BO130" s="123">
        <v>0.68</v>
      </c>
      <c r="BP130" s="123">
        <v>0.96</v>
      </c>
      <c r="BQ130" s="123">
        <v>0.6</v>
      </c>
      <c r="BR130" s="123">
        <v>0.9</v>
      </c>
      <c r="BS130" s="123">
        <v>2.37</v>
      </c>
      <c r="BT130" s="123">
        <v>1.92</v>
      </c>
      <c r="BU130" s="124">
        <v>1.07</v>
      </c>
      <c r="BV130" s="79">
        <v>463600</v>
      </c>
      <c r="BW130" s="110">
        <v>100</v>
      </c>
      <c r="BX130" s="110">
        <v>488</v>
      </c>
      <c r="BY130" s="162">
        <v>24.5</v>
      </c>
      <c r="BZ130" s="111">
        <v>5.2</v>
      </c>
      <c r="CA130" s="120">
        <v>2.5999999999999999E-3</v>
      </c>
      <c r="CB130" s="110">
        <v>522</v>
      </c>
      <c r="CC130" s="119">
        <v>3.7200000000000002E-3</v>
      </c>
      <c r="CD130" s="110">
        <v>253</v>
      </c>
      <c r="CE130" s="104">
        <f t="shared" si="5"/>
        <v>3.1475409836065567E-2</v>
      </c>
      <c r="CF130" s="105">
        <f t="shared" ref="CF130:CF193" si="6">AE130</f>
        <v>0.7</v>
      </c>
    </row>
    <row r="131" spans="1:84" hidden="1" x14ac:dyDescent="0.25">
      <c r="A131" s="127">
        <v>130</v>
      </c>
      <c r="B131" s="107"/>
      <c r="C131" s="108" t="s">
        <v>348</v>
      </c>
      <c r="D131" s="132">
        <v>760</v>
      </c>
      <c r="E131" s="129">
        <v>610</v>
      </c>
      <c r="F131" s="111">
        <f t="shared" ref="F131:F194" si="7">E131*D131</f>
        <v>463600</v>
      </c>
      <c r="G131" s="110">
        <v>100</v>
      </c>
      <c r="H131" s="110">
        <v>488</v>
      </c>
      <c r="I131" s="112">
        <v>1.25</v>
      </c>
      <c r="J131" s="160">
        <v>20.8</v>
      </c>
      <c r="K131" s="161">
        <v>16.899999999999999</v>
      </c>
      <c r="L131" s="162">
        <v>24.5</v>
      </c>
      <c r="M131" s="163">
        <v>0.34</v>
      </c>
      <c r="N131" s="111">
        <v>5.2</v>
      </c>
      <c r="O131" s="117" t="s">
        <v>215</v>
      </c>
      <c r="P131" s="118" t="s">
        <v>216</v>
      </c>
      <c r="Q131" s="119">
        <v>1.2999999999999999E-3</v>
      </c>
      <c r="R131" s="120">
        <v>0</v>
      </c>
      <c r="S131" s="120">
        <v>2.5999999999999999E-3</v>
      </c>
      <c r="T131" s="110">
        <v>522</v>
      </c>
      <c r="U131" s="121">
        <v>488</v>
      </c>
      <c r="V131" s="119">
        <v>3.7200000000000002E-3</v>
      </c>
      <c r="W131" s="110">
        <v>253</v>
      </c>
      <c r="X131" s="121">
        <v>152</v>
      </c>
      <c r="Y131" s="165">
        <v>2</v>
      </c>
      <c r="Z131" s="122">
        <v>1</v>
      </c>
      <c r="AA131" s="128" t="s">
        <v>217</v>
      </c>
      <c r="AB131" s="117" t="s">
        <v>217</v>
      </c>
      <c r="AC131" s="179">
        <v>2</v>
      </c>
      <c r="AD131" s="123">
        <v>0.67</v>
      </c>
      <c r="AE131" s="112">
        <v>0.83</v>
      </c>
      <c r="AF131" s="125">
        <v>0.43</v>
      </c>
      <c r="AG131" s="123">
        <v>0.38</v>
      </c>
      <c r="AH131" s="123">
        <v>0.5</v>
      </c>
      <c r="AI131" s="124">
        <v>0.76</v>
      </c>
      <c r="AJ131" s="125">
        <v>0.31</v>
      </c>
      <c r="AK131" s="123">
        <v>1.02</v>
      </c>
      <c r="AL131" s="123">
        <v>0</v>
      </c>
      <c r="AM131" s="124">
        <v>1.34</v>
      </c>
      <c r="AN131" s="125">
        <v>0.3</v>
      </c>
      <c r="AO131" s="123">
        <v>0.6</v>
      </c>
      <c r="AP131" s="123">
        <v>0.32</v>
      </c>
      <c r="AQ131" s="124">
        <v>1.03</v>
      </c>
      <c r="AR131" s="125">
        <v>0.28999999999999998</v>
      </c>
      <c r="AS131" s="123">
        <v>0.45</v>
      </c>
      <c r="AT131" s="123">
        <v>0.5</v>
      </c>
      <c r="AU131" s="124">
        <v>0.73</v>
      </c>
      <c r="AV131" s="125">
        <v>0.23</v>
      </c>
      <c r="AW131" s="123">
        <v>0.94</v>
      </c>
      <c r="AX131" s="123">
        <v>0</v>
      </c>
      <c r="AY131" s="124">
        <v>1.17</v>
      </c>
      <c r="AZ131" s="125">
        <v>0.13</v>
      </c>
      <c r="BA131" s="123">
        <v>0.56999999999999995</v>
      </c>
      <c r="BB131" s="123">
        <v>0.14000000000000001</v>
      </c>
      <c r="BC131" s="124">
        <v>0.85</v>
      </c>
      <c r="BD131" s="126">
        <v>0.3</v>
      </c>
      <c r="BE131" s="125">
        <v>0.14000000000000001</v>
      </c>
      <c r="BF131" s="123">
        <v>0</v>
      </c>
      <c r="BG131" s="123">
        <v>0.46</v>
      </c>
      <c r="BH131" s="124">
        <v>0.6</v>
      </c>
      <c r="BI131" s="125">
        <v>0.17</v>
      </c>
      <c r="BJ131" s="123">
        <v>0.19</v>
      </c>
      <c r="BK131" s="123">
        <v>0.6</v>
      </c>
      <c r="BL131" s="124">
        <v>0.96</v>
      </c>
      <c r="BM131" s="125">
        <v>1.0900000000000001</v>
      </c>
      <c r="BN131" s="123">
        <v>0.62</v>
      </c>
      <c r="BO131" s="123">
        <v>0.81</v>
      </c>
      <c r="BP131" s="123">
        <v>1.1299999999999999</v>
      </c>
      <c r="BQ131" s="123">
        <v>0.71</v>
      </c>
      <c r="BR131" s="123">
        <v>0.98</v>
      </c>
      <c r="BS131" s="123">
        <v>2.79</v>
      </c>
      <c r="BT131" s="123">
        <v>1.39</v>
      </c>
      <c r="BU131" s="124">
        <v>0.86</v>
      </c>
      <c r="BV131" s="79">
        <v>463600</v>
      </c>
      <c r="BW131" s="110">
        <v>100</v>
      </c>
      <c r="BX131" s="110">
        <v>488</v>
      </c>
      <c r="BY131" s="162">
        <v>24.5</v>
      </c>
      <c r="BZ131" s="111">
        <v>5.2</v>
      </c>
      <c r="CA131" s="120">
        <v>2.5999999999999999E-3</v>
      </c>
      <c r="CB131" s="110">
        <v>522</v>
      </c>
      <c r="CC131" s="119">
        <v>3.7200000000000002E-3</v>
      </c>
      <c r="CD131" s="110">
        <v>253</v>
      </c>
      <c r="CE131" s="104">
        <f t="shared" ref="CE131:CE194" si="8">BT131/(G131*E131)*1000</f>
        <v>2.2786885245901636E-2</v>
      </c>
      <c r="CF131" s="105">
        <f t="shared" si="6"/>
        <v>0.83</v>
      </c>
    </row>
    <row r="132" spans="1:84" hidden="1" x14ac:dyDescent="0.25">
      <c r="A132" s="127">
        <v>131</v>
      </c>
      <c r="B132" s="107"/>
      <c r="C132" s="108" t="s">
        <v>349</v>
      </c>
      <c r="D132" s="132">
        <v>760</v>
      </c>
      <c r="E132" s="129">
        <v>610</v>
      </c>
      <c r="F132" s="111">
        <f t="shared" si="7"/>
        <v>463600</v>
      </c>
      <c r="G132" s="110">
        <v>100</v>
      </c>
      <c r="H132" s="110">
        <v>488</v>
      </c>
      <c r="I132" s="112">
        <v>1.25</v>
      </c>
      <c r="J132" s="160">
        <v>20.8</v>
      </c>
      <c r="K132" s="161">
        <v>16.899999999999999</v>
      </c>
      <c r="L132" s="162">
        <v>24.5</v>
      </c>
      <c r="M132" s="163">
        <v>0.34</v>
      </c>
      <c r="N132" s="111">
        <v>5.2</v>
      </c>
      <c r="O132" s="117" t="s">
        <v>215</v>
      </c>
      <c r="P132" s="118" t="s">
        <v>216</v>
      </c>
      <c r="Q132" s="119">
        <v>1.2999999999999999E-3</v>
      </c>
      <c r="R132" s="120">
        <v>0</v>
      </c>
      <c r="S132" s="120">
        <v>2.5999999999999999E-3</v>
      </c>
      <c r="T132" s="110">
        <v>522</v>
      </c>
      <c r="U132" s="121">
        <v>488</v>
      </c>
      <c r="V132" s="119">
        <v>3.7200000000000002E-3</v>
      </c>
      <c r="W132" s="110">
        <v>253</v>
      </c>
      <c r="X132" s="121">
        <v>152</v>
      </c>
      <c r="Y132" s="165">
        <v>1</v>
      </c>
      <c r="Z132" s="122">
        <v>1</v>
      </c>
      <c r="AA132" s="128" t="s">
        <v>217</v>
      </c>
      <c r="AB132" s="117" t="s">
        <v>217</v>
      </c>
      <c r="AC132" s="179">
        <v>2</v>
      </c>
      <c r="AD132" s="123">
        <v>0.46</v>
      </c>
      <c r="AE132" s="112">
        <v>0.54</v>
      </c>
      <c r="AF132" s="125">
        <v>0.43</v>
      </c>
      <c r="AG132" s="123">
        <v>0.38</v>
      </c>
      <c r="AH132" s="123">
        <v>0.25</v>
      </c>
      <c r="AI132" s="124">
        <v>0.76</v>
      </c>
      <c r="AJ132" s="125">
        <v>0.31</v>
      </c>
      <c r="AK132" s="123">
        <v>1.02</v>
      </c>
      <c r="AL132" s="123">
        <v>0</v>
      </c>
      <c r="AM132" s="124">
        <v>1.34</v>
      </c>
      <c r="AN132" s="125">
        <v>0.3</v>
      </c>
      <c r="AO132" s="123">
        <v>0.6</v>
      </c>
      <c r="AP132" s="123">
        <v>0.2</v>
      </c>
      <c r="AQ132" s="124">
        <v>1.03</v>
      </c>
      <c r="AR132" s="125">
        <v>0.28999999999999998</v>
      </c>
      <c r="AS132" s="123">
        <v>0.45</v>
      </c>
      <c r="AT132" s="123">
        <v>0.25</v>
      </c>
      <c r="AU132" s="124">
        <v>0.73</v>
      </c>
      <c r="AV132" s="125">
        <v>0.23</v>
      </c>
      <c r="AW132" s="123">
        <v>0.94</v>
      </c>
      <c r="AX132" s="123">
        <v>0</v>
      </c>
      <c r="AY132" s="124">
        <v>1.17</v>
      </c>
      <c r="AZ132" s="125">
        <v>0.13</v>
      </c>
      <c r="BA132" s="123">
        <v>0.56999999999999995</v>
      </c>
      <c r="BB132" s="123">
        <v>7.0000000000000007E-2</v>
      </c>
      <c r="BC132" s="124">
        <v>0.78</v>
      </c>
      <c r="BD132" s="126">
        <v>0.3</v>
      </c>
      <c r="BE132" s="125">
        <v>0.14000000000000001</v>
      </c>
      <c r="BF132" s="123">
        <v>0</v>
      </c>
      <c r="BG132" s="123">
        <v>0.23</v>
      </c>
      <c r="BH132" s="124">
        <v>0.37</v>
      </c>
      <c r="BI132" s="125">
        <v>0.17</v>
      </c>
      <c r="BJ132" s="123">
        <v>0.19</v>
      </c>
      <c r="BK132" s="123">
        <v>0.3</v>
      </c>
      <c r="BL132" s="124">
        <v>0.66</v>
      </c>
      <c r="BM132" s="125">
        <v>0.71</v>
      </c>
      <c r="BN132" s="123">
        <v>0.4</v>
      </c>
      <c r="BO132" s="123">
        <v>0.52</v>
      </c>
      <c r="BP132" s="123">
        <v>0.73</v>
      </c>
      <c r="BQ132" s="123">
        <v>0.46</v>
      </c>
      <c r="BR132" s="123">
        <v>0.69</v>
      </c>
      <c r="BS132" s="123">
        <v>1.8</v>
      </c>
      <c r="BT132" s="123">
        <v>1.46</v>
      </c>
      <c r="BU132" s="124">
        <v>0.81</v>
      </c>
      <c r="BV132" s="79">
        <v>463600</v>
      </c>
      <c r="BW132" s="110">
        <v>100</v>
      </c>
      <c r="BX132" s="110">
        <v>488</v>
      </c>
      <c r="BY132" s="162">
        <v>24.5</v>
      </c>
      <c r="BZ132" s="111">
        <v>5.2</v>
      </c>
      <c r="CA132" s="120">
        <v>2.5999999999999999E-3</v>
      </c>
      <c r="CB132" s="110">
        <v>522</v>
      </c>
      <c r="CC132" s="119">
        <v>3.7200000000000002E-3</v>
      </c>
      <c r="CD132" s="110">
        <v>253</v>
      </c>
      <c r="CE132" s="104">
        <f t="shared" si="8"/>
        <v>2.3934426229508195E-2</v>
      </c>
      <c r="CF132" s="105">
        <f t="shared" si="6"/>
        <v>0.54</v>
      </c>
    </row>
    <row r="133" spans="1:84" hidden="1" x14ac:dyDescent="0.25">
      <c r="A133" s="106">
        <v>132</v>
      </c>
      <c r="B133" s="107"/>
      <c r="C133" s="108" t="s">
        <v>350</v>
      </c>
      <c r="D133" s="109">
        <v>760</v>
      </c>
      <c r="E133" s="110">
        <v>610</v>
      </c>
      <c r="F133" s="111">
        <f t="shared" si="7"/>
        <v>463600</v>
      </c>
      <c r="G133" s="110">
        <v>100</v>
      </c>
      <c r="H133" s="110">
        <v>488</v>
      </c>
      <c r="I133" s="112">
        <v>1.25</v>
      </c>
      <c r="J133" s="160">
        <v>20.8</v>
      </c>
      <c r="K133" s="161">
        <v>16.899999999999999</v>
      </c>
      <c r="L133" s="162">
        <v>24.5</v>
      </c>
      <c r="M133" s="163">
        <v>0.34</v>
      </c>
      <c r="N133" s="111">
        <v>5.2</v>
      </c>
      <c r="O133" s="117" t="s">
        <v>215</v>
      </c>
      <c r="P133" s="118" t="s">
        <v>216</v>
      </c>
      <c r="Q133" s="119">
        <v>1.2999999999999999E-3</v>
      </c>
      <c r="R133" s="120">
        <v>0</v>
      </c>
      <c r="S133" s="120">
        <v>2.5999999999999999E-3</v>
      </c>
      <c r="T133" s="110">
        <v>522</v>
      </c>
      <c r="U133" s="121">
        <v>488</v>
      </c>
      <c r="V133" s="119">
        <v>3.7200000000000002E-3</v>
      </c>
      <c r="W133" s="110">
        <v>253</v>
      </c>
      <c r="X133" s="121">
        <v>152</v>
      </c>
      <c r="Y133" s="165">
        <v>2</v>
      </c>
      <c r="Z133" s="122">
        <v>1</v>
      </c>
      <c r="AA133" s="128" t="s">
        <v>217</v>
      </c>
      <c r="AB133" s="117" t="s">
        <v>217</v>
      </c>
      <c r="AC133" s="179">
        <v>2</v>
      </c>
      <c r="AD133" s="123">
        <v>0.63</v>
      </c>
      <c r="AE133" s="112">
        <v>0.81</v>
      </c>
      <c r="AF133" s="125">
        <v>0.43</v>
      </c>
      <c r="AG133" s="123">
        <v>0.38</v>
      </c>
      <c r="AH133" s="123">
        <v>0.5</v>
      </c>
      <c r="AI133" s="124">
        <v>0.76</v>
      </c>
      <c r="AJ133" s="125">
        <v>0.31</v>
      </c>
      <c r="AK133" s="123">
        <v>1.02</v>
      </c>
      <c r="AL133" s="123">
        <v>0</v>
      </c>
      <c r="AM133" s="124">
        <v>1.34</v>
      </c>
      <c r="AN133" s="125">
        <v>0.3</v>
      </c>
      <c r="AO133" s="123">
        <v>0.6</v>
      </c>
      <c r="AP133" s="123">
        <v>0.32</v>
      </c>
      <c r="AQ133" s="124">
        <v>1.03</v>
      </c>
      <c r="AR133" s="125">
        <v>0.28999999999999998</v>
      </c>
      <c r="AS133" s="123">
        <v>0.45</v>
      </c>
      <c r="AT133" s="123">
        <v>0.5</v>
      </c>
      <c r="AU133" s="124">
        <v>0.73</v>
      </c>
      <c r="AV133" s="125">
        <v>0.23</v>
      </c>
      <c r="AW133" s="123">
        <v>0.94</v>
      </c>
      <c r="AX133" s="123">
        <v>0</v>
      </c>
      <c r="AY133" s="124">
        <v>1.17</v>
      </c>
      <c r="AZ133" s="125">
        <v>0.13</v>
      </c>
      <c r="BA133" s="123">
        <v>0.56999999999999995</v>
      </c>
      <c r="BB133" s="123">
        <v>0.14000000000000001</v>
      </c>
      <c r="BC133" s="124">
        <v>0.85</v>
      </c>
      <c r="BD133" s="126">
        <v>0.3</v>
      </c>
      <c r="BE133" s="125">
        <v>0.14000000000000001</v>
      </c>
      <c r="BF133" s="123">
        <v>0</v>
      </c>
      <c r="BG133" s="123">
        <v>0.46</v>
      </c>
      <c r="BH133" s="124">
        <v>0.6</v>
      </c>
      <c r="BI133" s="125">
        <v>0.17</v>
      </c>
      <c r="BJ133" s="123">
        <v>0.19</v>
      </c>
      <c r="BK133" s="123">
        <v>0.6</v>
      </c>
      <c r="BL133" s="124">
        <v>0.96</v>
      </c>
      <c r="BM133" s="125">
        <v>1.07</v>
      </c>
      <c r="BN133" s="123">
        <v>0.6</v>
      </c>
      <c r="BO133" s="123">
        <v>0.79</v>
      </c>
      <c r="BP133" s="123">
        <v>1.1100000000000001</v>
      </c>
      <c r="BQ133" s="123">
        <v>0.69</v>
      </c>
      <c r="BR133" s="123">
        <v>0.95</v>
      </c>
      <c r="BS133" s="123">
        <v>2.72</v>
      </c>
      <c r="BT133" s="123">
        <v>1.35</v>
      </c>
      <c r="BU133" s="124">
        <v>0.84</v>
      </c>
      <c r="BV133" s="79">
        <v>463600</v>
      </c>
      <c r="BW133" s="110">
        <v>100</v>
      </c>
      <c r="BX133" s="110">
        <v>488</v>
      </c>
      <c r="BY133" s="162">
        <v>24.5</v>
      </c>
      <c r="BZ133" s="111">
        <v>5.2</v>
      </c>
      <c r="CA133" s="120">
        <v>2.5999999999999999E-3</v>
      </c>
      <c r="CB133" s="110">
        <v>522</v>
      </c>
      <c r="CC133" s="119">
        <v>3.7200000000000002E-3</v>
      </c>
      <c r="CD133" s="110">
        <v>253</v>
      </c>
      <c r="CE133" s="104">
        <f t="shared" si="8"/>
        <v>2.2131147540983605E-2</v>
      </c>
      <c r="CF133" s="105">
        <f t="shared" si="6"/>
        <v>0.81</v>
      </c>
    </row>
    <row r="134" spans="1:84" hidden="1" x14ac:dyDescent="0.25">
      <c r="A134" s="106">
        <v>133</v>
      </c>
      <c r="B134" s="107"/>
      <c r="C134" s="108" t="s">
        <v>351</v>
      </c>
      <c r="D134" s="109">
        <v>760</v>
      </c>
      <c r="E134" s="110">
        <v>610</v>
      </c>
      <c r="F134" s="111">
        <f t="shared" si="7"/>
        <v>463600</v>
      </c>
      <c r="G134" s="110">
        <v>100</v>
      </c>
      <c r="H134" s="110">
        <v>488</v>
      </c>
      <c r="I134" s="112">
        <v>1.25</v>
      </c>
      <c r="J134" s="160">
        <v>20.8</v>
      </c>
      <c r="K134" s="161">
        <v>16.899999999999999</v>
      </c>
      <c r="L134" s="162">
        <v>24.5</v>
      </c>
      <c r="M134" s="163">
        <v>0.34</v>
      </c>
      <c r="N134" s="111">
        <v>5.2</v>
      </c>
      <c r="O134" s="117" t="s">
        <v>215</v>
      </c>
      <c r="P134" s="118" t="s">
        <v>216</v>
      </c>
      <c r="Q134" s="119">
        <v>1.2999999999999999E-3</v>
      </c>
      <c r="R134" s="120">
        <v>0</v>
      </c>
      <c r="S134" s="120">
        <v>2.5999999999999999E-3</v>
      </c>
      <c r="T134" s="110">
        <v>522</v>
      </c>
      <c r="U134" s="121">
        <v>488</v>
      </c>
      <c r="V134" s="119">
        <v>3.7200000000000002E-3</v>
      </c>
      <c r="W134" s="110">
        <v>253</v>
      </c>
      <c r="X134" s="121">
        <v>152</v>
      </c>
      <c r="Y134" s="165">
        <v>1</v>
      </c>
      <c r="Z134" s="122">
        <v>1</v>
      </c>
      <c r="AA134" s="128" t="s">
        <v>217</v>
      </c>
      <c r="AB134" s="117" t="s">
        <v>217</v>
      </c>
      <c r="AC134" s="179">
        <v>2</v>
      </c>
      <c r="AD134" s="123">
        <v>0.53</v>
      </c>
      <c r="AE134" s="112">
        <v>0.72</v>
      </c>
      <c r="AF134" s="125">
        <v>0.43</v>
      </c>
      <c r="AG134" s="123">
        <v>0.38</v>
      </c>
      <c r="AH134" s="123">
        <v>0.25</v>
      </c>
      <c r="AI134" s="124">
        <v>0.76</v>
      </c>
      <c r="AJ134" s="125">
        <v>0.31</v>
      </c>
      <c r="AK134" s="123">
        <v>1.02</v>
      </c>
      <c r="AL134" s="123">
        <v>0</v>
      </c>
      <c r="AM134" s="124">
        <v>1.34</v>
      </c>
      <c r="AN134" s="125">
        <v>0.3</v>
      </c>
      <c r="AO134" s="123">
        <v>0.6</v>
      </c>
      <c r="AP134" s="123">
        <v>0.2</v>
      </c>
      <c r="AQ134" s="124">
        <v>1.03</v>
      </c>
      <c r="AR134" s="125">
        <v>0.28999999999999998</v>
      </c>
      <c r="AS134" s="123">
        <v>0.45</v>
      </c>
      <c r="AT134" s="123">
        <v>0.25</v>
      </c>
      <c r="AU134" s="124">
        <v>0.73</v>
      </c>
      <c r="AV134" s="125">
        <v>0.23</v>
      </c>
      <c r="AW134" s="123">
        <v>0.94</v>
      </c>
      <c r="AX134" s="123">
        <v>0</v>
      </c>
      <c r="AY134" s="124">
        <v>1.17</v>
      </c>
      <c r="AZ134" s="125">
        <v>0.13</v>
      </c>
      <c r="BA134" s="123">
        <v>0.56999999999999995</v>
      </c>
      <c r="BB134" s="123">
        <v>7.0000000000000007E-2</v>
      </c>
      <c r="BC134" s="124">
        <v>0.78</v>
      </c>
      <c r="BD134" s="126">
        <v>0.3</v>
      </c>
      <c r="BE134" s="125">
        <v>0.14000000000000001</v>
      </c>
      <c r="BF134" s="123">
        <v>0</v>
      </c>
      <c r="BG134" s="123">
        <v>0.23</v>
      </c>
      <c r="BH134" s="124">
        <v>0.37</v>
      </c>
      <c r="BI134" s="125">
        <v>0.17</v>
      </c>
      <c r="BJ134" s="123">
        <v>0.19</v>
      </c>
      <c r="BK134" s="123">
        <v>0.3</v>
      </c>
      <c r="BL134" s="124">
        <v>0.66</v>
      </c>
      <c r="BM134" s="125">
        <v>0.95</v>
      </c>
      <c r="BN134" s="123">
        <v>0.54</v>
      </c>
      <c r="BO134" s="123">
        <v>0.7</v>
      </c>
      <c r="BP134" s="123">
        <v>0.98</v>
      </c>
      <c r="BQ134" s="123">
        <v>0.61</v>
      </c>
      <c r="BR134" s="123">
        <v>0.92</v>
      </c>
      <c r="BS134" s="123">
        <v>2.42</v>
      </c>
      <c r="BT134" s="123">
        <v>1.95</v>
      </c>
      <c r="BU134" s="124">
        <v>1.0900000000000001</v>
      </c>
      <c r="BV134" s="79">
        <v>463600</v>
      </c>
      <c r="BW134" s="110">
        <v>100</v>
      </c>
      <c r="BX134" s="110">
        <v>488</v>
      </c>
      <c r="BY134" s="162">
        <v>24.5</v>
      </c>
      <c r="BZ134" s="111">
        <v>5.2</v>
      </c>
      <c r="CA134" s="120">
        <v>2.5999999999999999E-3</v>
      </c>
      <c r="CB134" s="110">
        <v>522</v>
      </c>
      <c r="CC134" s="119">
        <v>3.7200000000000002E-3</v>
      </c>
      <c r="CD134" s="110">
        <v>253</v>
      </c>
      <c r="CE134" s="104">
        <f t="shared" si="8"/>
        <v>3.1967213114754096E-2</v>
      </c>
      <c r="CF134" s="105">
        <f t="shared" si="6"/>
        <v>0.72</v>
      </c>
    </row>
    <row r="135" spans="1:84" hidden="1" x14ac:dyDescent="0.25">
      <c r="A135" s="106">
        <v>134</v>
      </c>
      <c r="B135" s="107"/>
      <c r="C135" s="108" t="s">
        <v>352</v>
      </c>
      <c r="D135" s="109">
        <v>760</v>
      </c>
      <c r="E135" s="110">
        <v>610</v>
      </c>
      <c r="F135" s="111">
        <f t="shared" si="7"/>
        <v>463600</v>
      </c>
      <c r="G135" s="110">
        <v>100</v>
      </c>
      <c r="H135" s="110">
        <v>488</v>
      </c>
      <c r="I135" s="112">
        <v>1.25</v>
      </c>
      <c r="J135" s="160">
        <v>20.8</v>
      </c>
      <c r="K135" s="161">
        <v>16.899999999999999</v>
      </c>
      <c r="L135" s="162">
        <v>24.5</v>
      </c>
      <c r="M135" s="163">
        <v>0.34</v>
      </c>
      <c r="N135" s="111">
        <v>5.2</v>
      </c>
      <c r="O135" s="117" t="s">
        <v>215</v>
      </c>
      <c r="P135" s="118" t="s">
        <v>216</v>
      </c>
      <c r="Q135" s="119">
        <v>1.2999999999999999E-3</v>
      </c>
      <c r="R135" s="120">
        <v>0</v>
      </c>
      <c r="S135" s="120">
        <v>2.5999999999999999E-3</v>
      </c>
      <c r="T135" s="110">
        <v>522</v>
      </c>
      <c r="U135" s="121">
        <v>488</v>
      </c>
      <c r="V135" s="119">
        <v>3.7200000000000002E-3</v>
      </c>
      <c r="W135" s="110">
        <v>253</v>
      </c>
      <c r="X135" s="121">
        <v>152</v>
      </c>
      <c r="Y135" s="165">
        <v>2</v>
      </c>
      <c r="Z135" s="122">
        <v>1</v>
      </c>
      <c r="AA135" s="128" t="s">
        <v>217</v>
      </c>
      <c r="AB135" s="117" t="s">
        <v>217</v>
      </c>
      <c r="AC135" s="179">
        <v>2</v>
      </c>
      <c r="AD135" s="123">
        <v>0.77</v>
      </c>
      <c r="AE135" s="112">
        <v>0.94</v>
      </c>
      <c r="AF135" s="125">
        <v>0.43</v>
      </c>
      <c r="AG135" s="123">
        <v>0.38</v>
      </c>
      <c r="AH135" s="123">
        <v>0.5</v>
      </c>
      <c r="AI135" s="124">
        <v>0.76</v>
      </c>
      <c r="AJ135" s="125">
        <v>0.31</v>
      </c>
      <c r="AK135" s="123">
        <v>1.02</v>
      </c>
      <c r="AL135" s="123">
        <v>0</v>
      </c>
      <c r="AM135" s="124">
        <v>1.34</v>
      </c>
      <c r="AN135" s="125">
        <v>0.3</v>
      </c>
      <c r="AO135" s="123">
        <v>0.6</v>
      </c>
      <c r="AP135" s="123">
        <v>0.32</v>
      </c>
      <c r="AQ135" s="124">
        <v>1.03</v>
      </c>
      <c r="AR135" s="125">
        <v>0.28999999999999998</v>
      </c>
      <c r="AS135" s="123">
        <v>0.45</v>
      </c>
      <c r="AT135" s="123">
        <v>0.5</v>
      </c>
      <c r="AU135" s="124">
        <v>0.73</v>
      </c>
      <c r="AV135" s="125">
        <v>0.23</v>
      </c>
      <c r="AW135" s="123">
        <v>0.94</v>
      </c>
      <c r="AX135" s="123">
        <v>0</v>
      </c>
      <c r="AY135" s="124">
        <v>1.17</v>
      </c>
      <c r="AZ135" s="125">
        <v>0.13</v>
      </c>
      <c r="BA135" s="123">
        <v>0.56999999999999995</v>
      </c>
      <c r="BB135" s="123">
        <v>0.14000000000000001</v>
      </c>
      <c r="BC135" s="124">
        <v>0.85</v>
      </c>
      <c r="BD135" s="126">
        <v>0.3</v>
      </c>
      <c r="BE135" s="125">
        <v>0.14000000000000001</v>
      </c>
      <c r="BF135" s="123">
        <v>0</v>
      </c>
      <c r="BG135" s="123">
        <v>0.46</v>
      </c>
      <c r="BH135" s="124">
        <v>0.6</v>
      </c>
      <c r="BI135" s="125">
        <v>0.17</v>
      </c>
      <c r="BJ135" s="123">
        <v>0.19</v>
      </c>
      <c r="BK135" s="123">
        <v>0.6</v>
      </c>
      <c r="BL135" s="124">
        <v>0.96</v>
      </c>
      <c r="BM135" s="125">
        <v>1.24</v>
      </c>
      <c r="BN135" s="123">
        <v>0.7</v>
      </c>
      <c r="BO135" s="123">
        <v>0.91</v>
      </c>
      <c r="BP135" s="123">
        <v>1.29</v>
      </c>
      <c r="BQ135" s="123">
        <v>0.8</v>
      </c>
      <c r="BR135" s="123">
        <v>1.1100000000000001</v>
      </c>
      <c r="BS135" s="123">
        <v>3.17</v>
      </c>
      <c r="BT135" s="123">
        <v>1.57</v>
      </c>
      <c r="BU135" s="124">
        <v>0.98</v>
      </c>
      <c r="BV135" s="79">
        <v>463600</v>
      </c>
      <c r="BW135" s="110">
        <v>100</v>
      </c>
      <c r="BX135" s="110">
        <v>488</v>
      </c>
      <c r="BY135" s="162">
        <v>24.5</v>
      </c>
      <c r="BZ135" s="111">
        <v>5.2</v>
      </c>
      <c r="CA135" s="120">
        <v>2.5999999999999999E-3</v>
      </c>
      <c r="CB135" s="110">
        <v>522</v>
      </c>
      <c r="CC135" s="119">
        <v>3.7200000000000002E-3</v>
      </c>
      <c r="CD135" s="110">
        <v>253</v>
      </c>
      <c r="CE135" s="104">
        <f t="shared" si="8"/>
        <v>2.5737704918032789E-2</v>
      </c>
      <c r="CF135" s="105">
        <f t="shared" si="6"/>
        <v>0.94</v>
      </c>
    </row>
    <row r="136" spans="1:84" hidden="1" x14ac:dyDescent="0.25">
      <c r="A136" s="106">
        <v>135</v>
      </c>
      <c r="B136" s="107"/>
      <c r="C136" s="108" t="s">
        <v>353</v>
      </c>
      <c r="D136" s="109">
        <v>760</v>
      </c>
      <c r="E136" s="110">
        <v>610</v>
      </c>
      <c r="F136" s="111">
        <f t="shared" si="7"/>
        <v>463600</v>
      </c>
      <c r="G136" s="110">
        <v>100</v>
      </c>
      <c r="H136" s="110">
        <v>488</v>
      </c>
      <c r="I136" s="112">
        <v>1.25</v>
      </c>
      <c r="J136" s="160">
        <v>20.8</v>
      </c>
      <c r="K136" s="161">
        <v>16.899999999999999</v>
      </c>
      <c r="L136" s="162">
        <v>24.5</v>
      </c>
      <c r="M136" s="163">
        <v>0.34</v>
      </c>
      <c r="N136" s="111">
        <v>5.2</v>
      </c>
      <c r="O136" s="117" t="s">
        <v>215</v>
      </c>
      <c r="P136" s="118" t="s">
        <v>216</v>
      </c>
      <c r="Q136" s="119">
        <v>1.2999999999999999E-3</v>
      </c>
      <c r="R136" s="120">
        <v>0</v>
      </c>
      <c r="S136" s="120">
        <v>2.5999999999999999E-3</v>
      </c>
      <c r="T136" s="110">
        <v>522</v>
      </c>
      <c r="U136" s="121">
        <v>488</v>
      </c>
      <c r="V136" s="119">
        <v>3.7200000000000002E-3</v>
      </c>
      <c r="W136" s="110">
        <v>253</v>
      </c>
      <c r="X136" s="121">
        <v>152</v>
      </c>
      <c r="Y136" s="165">
        <v>1</v>
      </c>
      <c r="Z136" s="122">
        <v>1</v>
      </c>
      <c r="AA136" s="128" t="s">
        <v>217</v>
      </c>
      <c r="AB136" s="117" t="s">
        <v>217</v>
      </c>
      <c r="AC136" s="179">
        <v>2</v>
      </c>
      <c r="AD136" s="123">
        <v>0.5</v>
      </c>
      <c r="AE136" s="112">
        <v>0.67</v>
      </c>
      <c r="AF136" s="125">
        <v>0.43</v>
      </c>
      <c r="AG136" s="123">
        <v>0.38</v>
      </c>
      <c r="AH136" s="123">
        <v>0.25</v>
      </c>
      <c r="AI136" s="124">
        <v>0.76</v>
      </c>
      <c r="AJ136" s="125">
        <v>0.31</v>
      </c>
      <c r="AK136" s="123">
        <v>1.02</v>
      </c>
      <c r="AL136" s="123">
        <v>0</v>
      </c>
      <c r="AM136" s="124">
        <v>1.34</v>
      </c>
      <c r="AN136" s="125">
        <v>0.3</v>
      </c>
      <c r="AO136" s="123">
        <v>0.6</v>
      </c>
      <c r="AP136" s="123">
        <v>0.2</v>
      </c>
      <c r="AQ136" s="124">
        <v>1.03</v>
      </c>
      <c r="AR136" s="125">
        <v>0.28999999999999998</v>
      </c>
      <c r="AS136" s="123">
        <v>0.45</v>
      </c>
      <c r="AT136" s="123">
        <v>0.25</v>
      </c>
      <c r="AU136" s="124">
        <v>0.73</v>
      </c>
      <c r="AV136" s="125">
        <v>0.23</v>
      </c>
      <c r="AW136" s="123">
        <v>0.94</v>
      </c>
      <c r="AX136" s="123">
        <v>0</v>
      </c>
      <c r="AY136" s="124">
        <v>1.17</v>
      </c>
      <c r="AZ136" s="125">
        <v>0.13</v>
      </c>
      <c r="BA136" s="123">
        <v>0.56999999999999995</v>
      </c>
      <c r="BB136" s="123">
        <v>7.0000000000000007E-2</v>
      </c>
      <c r="BC136" s="124">
        <v>0.78</v>
      </c>
      <c r="BD136" s="126">
        <v>0.3</v>
      </c>
      <c r="BE136" s="125">
        <v>0.14000000000000001</v>
      </c>
      <c r="BF136" s="123">
        <v>0</v>
      </c>
      <c r="BG136" s="123">
        <v>0.23</v>
      </c>
      <c r="BH136" s="124">
        <v>0.37</v>
      </c>
      <c r="BI136" s="125">
        <v>0.17</v>
      </c>
      <c r="BJ136" s="123">
        <v>0.19</v>
      </c>
      <c r="BK136" s="123">
        <v>0.3</v>
      </c>
      <c r="BL136" s="124">
        <v>0.66</v>
      </c>
      <c r="BM136" s="125">
        <v>0.88</v>
      </c>
      <c r="BN136" s="123">
        <v>0.5</v>
      </c>
      <c r="BO136" s="123">
        <v>0.65</v>
      </c>
      <c r="BP136" s="123">
        <v>0.91</v>
      </c>
      <c r="BQ136" s="123">
        <v>0.56999999999999995</v>
      </c>
      <c r="BR136" s="123">
        <v>0.86</v>
      </c>
      <c r="BS136" s="123">
        <v>2.2400000000000002</v>
      </c>
      <c r="BT136" s="123">
        <v>1.82</v>
      </c>
      <c r="BU136" s="124">
        <v>1.01</v>
      </c>
      <c r="BV136" s="79">
        <v>463600</v>
      </c>
      <c r="BW136" s="110">
        <v>100</v>
      </c>
      <c r="BX136" s="110">
        <v>488</v>
      </c>
      <c r="BY136" s="162">
        <v>24.5</v>
      </c>
      <c r="BZ136" s="111">
        <v>5.2</v>
      </c>
      <c r="CA136" s="120">
        <v>2.5999999999999999E-3</v>
      </c>
      <c r="CB136" s="110">
        <v>522</v>
      </c>
      <c r="CC136" s="119">
        <v>3.7200000000000002E-3</v>
      </c>
      <c r="CD136" s="110">
        <v>253</v>
      </c>
      <c r="CE136" s="104">
        <f t="shared" si="8"/>
        <v>2.9836065573770495E-2</v>
      </c>
      <c r="CF136" s="105">
        <f t="shared" si="6"/>
        <v>0.67</v>
      </c>
    </row>
    <row r="137" spans="1:84" hidden="1" x14ac:dyDescent="0.25">
      <c r="A137" s="106">
        <v>136</v>
      </c>
      <c r="B137" s="107"/>
      <c r="C137" s="108" t="s">
        <v>354</v>
      </c>
      <c r="D137" s="109">
        <v>760</v>
      </c>
      <c r="E137" s="110">
        <v>610</v>
      </c>
      <c r="F137" s="111">
        <f t="shared" si="7"/>
        <v>463600</v>
      </c>
      <c r="G137" s="110">
        <v>100</v>
      </c>
      <c r="H137" s="110">
        <v>488</v>
      </c>
      <c r="I137" s="112">
        <v>1.25</v>
      </c>
      <c r="J137" s="160">
        <v>20.8</v>
      </c>
      <c r="K137" s="161">
        <v>16.899999999999999</v>
      </c>
      <c r="L137" s="162">
        <v>24.5</v>
      </c>
      <c r="M137" s="163">
        <v>0.34</v>
      </c>
      <c r="N137" s="111">
        <v>5.2</v>
      </c>
      <c r="O137" s="117" t="s">
        <v>215</v>
      </c>
      <c r="P137" s="118" t="s">
        <v>216</v>
      </c>
      <c r="Q137" s="119">
        <v>1.2999999999999999E-3</v>
      </c>
      <c r="R137" s="120">
        <v>0</v>
      </c>
      <c r="S137" s="120">
        <v>2.5999999999999999E-3</v>
      </c>
      <c r="T137" s="110">
        <v>522</v>
      </c>
      <c r="U137" s="121">
        <v>488</v>
      </c>
      <c r="V137" s="119">
        <v>3.7200000000000002E-3</v>
      </c>
      <c r="W137" s="110">
        <v>253</v>
      </c>
      <c r="X137" s="121">
        <v>152</v>
      </c>
      <c r="Y137" s="165">
        <v>2</v>
      </c>
      <c r="Z137" s="122">
        <v>1</v>
      </c>
      <c r="AA137" s="128" t="s">
        <v>217</v>
      </c>
      <c r="AB137" s="117" t="s">
        <v>217</v>
      </c>
      <c r="AC137" s="179">
        <v>2</v>
      </c>
      <c r="AD137" s="123">
        <v>0.77</v>
      </c>
      <c r="AE137" s="112">
        <v>0.88</v>
      </c>
      <c r="AF137" s="125">
        <v>0.43</v>
      </c>
      <c r="AG137" s="123">
        <v>0.38</v>
      </c>
      <c r="AH137" s="123">
        <v>0.5</v>
      </c>
      <c r="AI137" s="124">
        <v>0.76</v>
      </c>
      <c r="AJ137" s="125">
        <v>0.31</v>
      </c>
      <c r="AK137" s="123">
        <v>1.02</v>
      </c>
      <c r="AL137" s="123">
        <v>0</v>
      </c>
      <c r="AM137" s="124">
        <v>1.34</v>
      </c>
      <c r="AN137" s="125">
        <v>0.3</v>
      </c>
      <c r="AO137" s="123">
        <v>0.6</v>
      </c>
      <c r="AP137" s="123">
        <v>0.32</v>
      </c>
      <c r="AQ137" s="124">
        <v>1.03</v>
      </c>
      <c r="AR137" s="125">
        <v>0.28999999999999998</v>
      </c>
      <c r="AS137" s="123">
        <v>0.45</v>
      </c>
      <c r="AT137" s="123">
        <v>0.5</v>
      </c>
      <c r="AU137" s="124">
        <v>0.73</v>
      </c>
      <c r="AV137" s="125">
        <v>0.23</v>
      </c>
      <c r="AW137" s="123">
        <v>0.94</v>
      </c>
      <c r="AX137" s="123">
        <v>0</v>
      </c>
      <c r="AY137" s="124">
        <v>1.17</v>
      </c>
      <c r="AZ137" s="125">
        <v>0.13</v>
      </c>
      <c r="BA137" s="123">
        <v>0.56999999999999995</v>
      </c>
      <c r="BB137" s="123">
        <v>0.14000000000000001</v>
      </c>
      <c r="BC137" s="124">
        <v>0.85</v>
      </c>
      <c r="BD137" s="126">
        <v>0.3</v>
      </c>
      <c r="BE137" s="125">
        <v>0.14000000000000001</v>
      </c>
      <c r="BF137" s="123">
        <v>0</v>
      </c>
      <c r="BG137" s="123">
        <v>0.46</v>
      </c>
      <c r="BH137" s="124">
        <v>0.6</v>
      </c>
      <c r="BI137" s="125">
        <v>0.17</v>
      </c>
      <c r="BJ137" s="123">
        <v>0.19</v>
      </c>
      <c r="BK137" s="123">
        <v>0.6</v>
      </c>
      <c r="BL137" s="124">
        <v>0.96</v>
      </c>
      <c r="BM137" s="125">
        <v>1.1599999999999999</v>
      </c>
      <c r="BN137" s="123">
        <v>0.66</v>
      </c>
      <c r="BO137" s="123">
        <v>0.86</v>
      </c>
      <c r="BP137" s="123">
        <v>1.21</v>
      </c>
      <c r="BQ137" s="123">
        <v>0.75</v>
      </c>
      <c r="BR137" s="123">
        <v>1.04</v>
      </c>
      <c r="BS137" s="123">
        <v>2.97</v>
      </c>
      <c r="BT137" s="123">
        <v>1.48</v>
      </c>
      <c r="BU137" s="124">
        <v>0.92</v>
      </c>
      <c r="BV137" s="79">
        <v>463600</v>
      </c>
      <c r="BW137" s="110">
        <v>100</v>
      </c>
      <c r="BX137" s="110">
        <v>488</v>
      </c>
      <c r="BY137" s="162">
        <v>24.5</v>
      </c>
      <c r="BZ137" s="111">
        <v>5.2</v>
      </c>
      <c r="CA137" s="120">
        <v>2.5999999999999999E-3</v>
      </c>
      <c r="CB137" s="110">
        <v>522</v>
      </c>
      <c r="CC137" s="119">
        <v>3.7200000000000002E-3</v>
      </c>
      <c r="CD137" s="110">
        <v>253</v>
      </c>
      <c r="CE137" s="104">
        <f t="shared" si="8"/>
        <v>2.426229508196721E-2</v>
      </c>
      <c r="CF137" s="105">
        <f t="shared" si="6"/>
        <v>0.88</v>
      </c>
    </row>
    <row r="138" spans="1:84" hidden="1" x14ac:dyDescent="0.25">
      <c r="A138" s="106">
        <v>137</v>
      </c>
      <c r="B138" s="107"/>
      <c r="C138" s="108" t="s">
        <v>355</v>
      </c>
      <c r="D138" s="109">
        <v>760</v>
      </c>
      <c r="E138" s="110">
        <v>610</v>
      </c>
      <c r="F138" s="111">
        <f t="shared" si="7"/>
        <v>463600</v>
      </c>
      <c r="G138" s="110">
        <v>100</v>
      </c>
      <c r="H138" s="110">
        <v>488</v>
      </c>
      <c r="I138" s="112">
        <v>1.25</v>
      </c>
      <c r="J138" s="160">
        <v>20.8</v>
      </c>
      <c r="K138" s="161">
        <v>16.899999999999999</v>
      </c>
      <c r="L138" s="162">
        <v>24.5</v>
      </c>
      <c r="M138" s="163">
        <v>0.34</v>
      </c>
      <c r="N138" s="111">
        <v>5.2</v>
      </c>
      <c r="O138" s="117" t="s">
        <v>215</v>
      </c>
      <c r="P138" s="118" t="s">
        <v>216</v>
      </c>
      <c r="Q138" s="119">
        <v>1.2999999999999999E-3</v>
      </c>
      <c r="R138" s="120">
        <v>0</v>
      </c>
      <c r="S138" s="120">
        <v>2.5999999999999999E-3</v>
      </c>
      <c r="T138" s="110">
        <v>522</v>
      </c>
      <c r="U138" s="121">
        <v>488</v>
      </c>
      <c r="V138" s="119">
        <v>3.7200000000000002E-3</v>
      </c>
      <c r="W138" s="110">
        <v>253</v>
      </c>
      <c r="X138" s="121">
        <v>152</v>
      </c>
      <c r="Y138" s="165">
        <v>1</v>
      </c>
      <c r="Z138" s="122">
        <v>1</v>
      </c>
      <c r="AA138" s="128" t="s">
        <v>217</v>
      </c>
      <c r="AB138" s="117" t="s">
        <v>217</v>
      </c>
      <c r="AC138" s="179">
        <v>2</v>
      </c>
      <c r="AD138" s="123">
        <v>0.56999999999999995</v>
      </c>
      <c r="AE138" s="112">
        <v>0.7</v>
      </c>
      <c r="AF138" s="125">
        <v>0.43</v>
      </c>
      <c r="AG138" s="123">
        <v>0.38</v>
      </c>
      <c r="AH138" s="123">
        <v>0.25</v>
      </c>
      <c r="AI138" s="124">
        <v>0.76</v>
      </c>
      <c r="AJ138" s="125">
        <v>0.31</v>
      </c>
      <c r="AK138" s="123">
        <v>1.02</v>
      </c>
      <c r="AL138" s="123">
        <v>0</v>
      </c>
      <c r="AM138" s="124">
        <v>1.34</v>
      </c>
      <c r="AN138" s="125">
        <v>0.3</v>
      </c>
      <c r="AO138" s="123">
        <v>0.6</v>
      </c>
      <c r="AP138" s="123">
        <v>0.2</v>
      </c>
      <c r="AQ138" s="124">
        <v>1.03</v>
      </c>
      <c r="AR138" s="125">
        <v>0.28999999999999998</v>
      </c>
      <c r="AS138" s="123">
        <v>0.45</v>
      </c>
      <c r="AT138" s="123">
        <v>0.25</v>
      </c>
      <c r="AU138" s="124">
        <v>0.73</v>
      </c>
      <c r="AV138" s="125">
        <v>0.23</v>
      </c>
      <c r="AW138" s="123">
        <v>0.94</v>
      </c>
      <c r="AX138" s="123">
        <v>0</v>
      </c>
      <c r="AY138" s="124">
        <v>1.17</v>
      </c>
      <c r="AZ138" s="125">
        <v>0.13</v>
      </c>
      <c r="BA138" s="123">
        <v>0.56999999999999995</v>
      </c>
      <c r="BB138" s="123">
        <v>7.0000000000000007E-2</v>
      </c>
      <c r="BC138" s="124">
        <v>0.78</v>
      </c>
      <c r="BD138" s="126">
        <v>0.3</v>
      </c>
      <c r="BE138" s="125">
        <v>0.14000000000000001</v>
      </c>
      <c r="BF138" s="123">
        <v>0</v>
      </c>
      <c r="BG138" s="123">
        <v>0.23</v>
      </c>
      <c r="BH138" s="124">
        <v>0.37</v>
      </c>
      <c r="BI138" s="125">
        <v>0.17</v>
      </c>
      <c r="BJ138" s="123">
        <v>0.19</v>
      </c>
      <c r="BK138" s="123">
        <v>0.3</v>
      </c>
      <c r="BL138" s="124">
        <v>0.66</v>
      </c>
      <c r="BM138" s="125">
        <v>0.93</v>
      </c>
      <c r="BN138" s="123">
        <v>0.52</v>
      </c>
      <c r="BO138" s="123">
        <v>0.68</v>
      </c>
      <c r="BP138" s="123">
        <v>0.96</v>
      </c>
      <c r="BQ138" s="123">
        <v>0.6</v>
      </c>
      <c r="BR138" s="123">
        <v>0.9</v>
      </c>
      <c r="BS138" s="123">
        <v>2.37</v>
      </c>
      <c r="BT138" s="123">
        <v>1.91</v>
      </c>
      <c r="BU138" s="124">
        <v>1.07</v>
      </c>
      <c r="BV138" s="79">
        <v>463600</v>
      </c>
      <c r="BW138" s="110">
        <v>100</v>
      </c>
      <c r="BX138" s="110">
        <v>488</v>
      </c>
      <c r="BY138" s="162">
        <v>24.5</v>
      </c>
      <c r="BZ138" s="111">
        <v>5.2</v>
      </c>
      <c r="CA138" s="120">
        <v>2.5999999999999999E-3</v>
      </c>
      <c r="CB138" s="110">
        <v>522</v>
      </c>
      <c r="CC138" s="119">
        <v>3.7200000000000002E-3</v>
      </c>
      <c r="CD138" s="110">
        <v>253</v>
      </c>
      <c r="CE138" s="104">
        <f t="shared" si="8"/>
        <v>3.1311475409836066E-2</v>
      </c>
      <c r="CF138" s="105">
        <f t="shared" si="6"/>
        <v>0.7</v>
      </c>
    </row>
    <row r="139" spans="1:84" hidden="1" x14ac:dyDescent="0.25">
      <c r="A139" s="133">
        <v>138</v>
      </c>
      <c r="B139" s="221"/>
      <c r="C139" s="222" t="s">
        <v>356</v>
      </c>
      <c r="D139" s="223">
        <v>760</v>
      </c>
      <c r="E139" s="224">
        <v>610</v>
      </c>
      <c r="F139" s="225">
        <f t="shared" si="7"/>
        <v>463600</v>
      </c>
      <c r="G139" s="224">
        <v>100</v>
      </c>
      <c r="H139" s="224">
        <v>488</v>
      </c>
      <c r="I139" s="226">
        <v>1.25</v>
      </c>
      <c r="J139" s="227">
        <v>20.8</v>
      </c>
      <c r="K139" s="161">
        <v>16.899999999999999</v>
      </c>
      <c r="L139" s="162">
        <v>24.5</v>
      </c>
      <c r="M139" s="228">
        <v>0.34</v>
      </c>
      <c r="N139" s="225">
        <v>5.2</v>
      </c>
      <c r="O139" s="229" t="s">
        <v>215</v>
      </c>
      <c r="P139" s="230" t="s">
        <v>216</v>
      </c>
      <c r="Q139" s="231">
        <v>1.2999999999999999E-3</v>
      </c>
      <c r="R139" s="232">
        <v>0</v>
      </c>
      <c r="S139" s="232">
        <v>2.5999999999999999E-3</v>
      </c>
      <c r="T139" s="224">
        <v>522</v>
      </c>
      <c r="U139" s="233">
        <v>488</v>
      </c>
      <c r="V139" s="231">
        <v>3.7200000000000002E-3</v>
      </c>
      <c r="W139" s="224">
        <v>253</v>
      </c>
      <c r="X139" s="233">
        <v>152</v>
      </c>
      <c r="Y139" s="234">
        <v>2</v>
      </c>
      <c r="Z139" s="235">
        <v>1</v>
      </c>
      <c r="AA139" s="198" t="s">
        <v>217</v>
      </c>
      <c r="AB139" s="144" t="s">
        <v>217</v>
      </c>
      <c r="AC139" s="236">
        <v>2</v>
      </c>
      <c r="AD139" s="237">
        <v>0.81</v>
      </c>
      <c r="AE139" s="226">
        <v>0.99</v>
      </c>
      <c r="AF139" s="152">
        <v>0.43</v>
      </c>
      <c r="AG139" s="150">
        <v>0.38</v>
      </c>
      <c r="AH139" s="150">
        <v>0.5</v>
      </c>
      <c r="AI139" s="151">
        <v>0.76</v>
      </c>
      <c r="AJ139" s="152">
        <v>0.31</v>
      </c>
      <c r="AK139" s="150">
        <v>1.02</v>
      </c>
      <c r="AL139" s="150">
        <v>0</v>
      </c>
      <c r="AM139" s="151">
        <v>1.34</v>
      </c>
      <c r="AN139" s="152">
        <v>0.3</v>
      </c>
      <c r="AO139" s="150">
        <v>0.6</v>
      </c>
      <c r="AP139" s="150">
        <v>0.32</v>
      </c>
      <c r="AQ139" s="151">
        <v>1.03</v>
      </c>
      <c r="AR139" s="152">
        <v>0.28999999999999998</v>
      </c>
      <c r="AS139" s="150">
        <v>0.45</v>
      </c>
      <c r="AT139" s="150">
        <v>0.5</v>
      </c>
      <c r="AU139" s="151">
        <v>0.73</v>
      </c>
      <c r="AV139" s="152">
        <v>0.23</v>
      </c>
      <c r="AW139" s="150">
        <v>0.94</v>
      </c>
      <c r="AX139" s="150">
        <v>0</v>
      </c>
      <c r="AY139" s="151">
        <v>1.17</v>
      </c>
      <c r="AZ139" s="152">
        <v>0.13</v>
      </c>
      <c r="BA139" s="150">
        <v>0.56999999999999995</v>
      </c>
      <c r="BB139" s="150">
        <v>0.14000000000000001</v>
      </c>
      <c r="BC139" s="151">
        <v>0.85</v>
      </c>
      <c r="BD139" s="153">
        <v>0.3</v>
      </c>
      <c r="BE139" s="152">
        <v>0.14000000000000001</v>
      </c>
      <c r="BF139" s="150">
        <v>0</v>
      </c>
      <c r="BG139" s="150">
        <v>0.46</v>
      </c>
      <c r="BH139" s="151">
        <v>0.6</v>
      </c>
      <c r="BI139" s="152">
        <v>0.17</v>
      </c>
      <c r="BJ139" s="150">
        <v>0.19</v>
      </c>
      <c r="BK139" s="150">
        <v>0.6</v>
      </c>
      <c r="BL139" s="151">
        <v>0.96</v>
      </c>
      <c r="BM139" s="152">
        <v>1.3</v>
      </c>
      <c r="BN139" s="150">
        <v>0.74</v>
      </c>
      <c r="BO139" s="150">
        <v>0.96</v>
      </c>
      <c r="BP139" s="150">
        <v>1.35</v>
      </c>
      <c r="BQ139" s="150">
        <v>0.84</v>
      </c>
      <c r="BR139" s="150">
        <v>1.1599999999999999</v>
      </c>
      <c r="BS139" s="150">
        <v>3.33</v>
      </c>
      <c r="BT139" s="150">
        <v>1.65</v>
      </c>
      <c r="BU139" s="151">
        <v>1.03</v>
      </c>
      <c r="BV139" s="79">
        <v>463600</v>
      </c>
      <c r="BW139" s="224">
        <v>100</v>
      </c>
      <c r="BX139" s="224">
        <v>488</v>
      </c>
      <c r="BY139" s="162">
        <v>24.5</v>
      </c>
      <c r="BZ139" s="225">
        <v>5.2</v>
      </c>
      <c r="CA139" s="232">
        <v>2.5999999999999999E-3</v>
      </c>
      <c r="CB139" s="224">
        <v>522</v>
      </c>
      <c r="CC139" s="231">
        <v>3.7200000000000002E-3</v>
      </c>
      <c r="CD139" s="224">
        <v>253</v>
      </c>
      <c r="CE139" s="104">
        <f t="shared" si="8"/>
        <v>2.7049180327868849E-2</v>
      </c>
      <c r="CF139" s="105">
        <f t="shared" si="6"/>
        <v>0.99</v>
      </c>
    </row>
    <row r="140" spans="1:84" ht="24" customHeight="1" x14ac:dyDescent="0.25">
      <c r="A140" s="83">
        <v>139</v>
      </c>
      <c r="B140" s="202" t="s">
        <v>101</v>
      </c>
      <c r="C140" s="203" t="s">
        <v>357</v>
      </c>
      <c r="D140" s="204">
        <v>1800</v>
      </c>
      <c r="E140" s="205">
        <v>1720</v>
      </c>
      <c r="F140" s="206">
        <f t="shared" si="7"/>
        <v>3096000</v>
      </c>
      <c r="G140" s="205">
        <v>150</v>
      </c>
      <c r="H140" s="205">
        <v>1655</v>
      </c>
      <c r="I140" s="207">
        <v>1.05</v>
      </c>
      <c r="J140" s="208">
        <v>24</v>
      </c>
      <c r="K140" s="209">
        <v>32.9</v>
      </c>
      <c r="L140" s="210">
        <v>32.9</v>
      </c>
      <c r="M140" s="211">
        <v>0.68</v>
      </c>
      <c r="N140" s="206">
        <v>9.5</v>
      </c>
      <c r="O140" s="212" t="s">
        <v>206</v>
      </c>
      <c r="P140" s="213" t="s">
        <v>216</v>
      </c>
      <c r="Q140" s="214">
        <v>3.0000000000000001E-3</v>
      </c>
      <c r="R140" s="215">
        <v>8.3000000000000001E-4</v>
      </c>
      <c r="S140" s="215">
        <v>8.3000000000000001E-4</v>
      </c>
      <c r="T140" s="205">
        <v>386</v>
      </c>
      <c r="U140" s="213" t="s">
        <v>217</v>
      </c>
      <c r="V140" s="214">
        <v>7.1000000000000002E-4</v>
      </c>
      <c r="W140" s="205">
        <v>386</v>
      </c>
      <c r="X140" s="213" t="s">
        <v>217</v>
      </c>
      <c r="Y140" s="217">
        <v>0</v>
      </c>
      <c r="Z140" s="238">
        <v>0.5</v>
      </c>
      <c r="AA140" s="128" t="s">
        <v>217</v>
      </c>
      <c r="AB140" s="117" t="s">
        <v>217</v>
      </c>
      <c r="AC140" s="219">
        <v>2</v>
      </c>
      <c r="AD140" s="212" t="s">
        <v>229</v>
      </c>
      <c r="AE140" s="213">
        <v>0.44</v>
      </c>
      <c r="AF140" s="102">
        <v>0.39</v>
      </c>
      <c r="AG140" s="100">
        <v>0.13</v>
      </c>
      <c r="AH140" s="100">
        <v>0</v>
      </c>
      <c r="AI140" s="101">
        <v>0.52</v>
      </c>
      <c r="AJ140" s="102">
        <v>0.21</v>
      </c>
      <c r="AK140" s="100">
        <v>0.25</v>
      </c>
      <c r="AL140" s="100">
        <v>0</v>
      </c>
      <c r="AM140" s="101">
        <v>0.46</v>
      </c>
      <c r="AN140" s="102">
        <v>0.48</v>
      </c>
      <c r="AO140" s="100">
        <v>0.18</v>
      </c>
      <c r="AP140" s="100">
        <v>0</v>
      </c>
      <c r="AQ140" s="101">
        <v>0.65</v>
      </c>
      <c r="AR140" s="102">
        <v>0.7</v>
      </c>
      <c r="AS140" s="100">
        <v>0.16</v>
      </c>
      <c r="AT140" s="100">
        <v>0</v>
      </c>
      <c r="AU140" s="101">
        <v>0.49</v>
      </c>
      <c r="AV140" s="102">
        <v>0.25</v>
      </c>
      <c r="AW140" s="100">
        <v>0.27</v>
      </c>
      <c r="AX140" s="100">
        <v>0</v>
      </c>
      <c r="AY140" s="101">
        <v>0.52</v>
      </c>
      <c r="AZ140" s="102">
        <v>0.28000000000000003</v>
      </c>
      <c r="BA140" s="100">
        <v>0.77</v>
      </c>
      <c r="BB140" s="100">
        <v>0</v>
      </c>
      <c r="BC140" s="101">
        <v>1.06</v>
      </c>
      <c r="BD140" s="103">
        <v>0.46</v>
      </c>
      <c r="BE140" s="102">
        <v>0.65</v>
      </c>
      <c r="BF140" s="100">
        <v>0</v>
      </c>
      <c r="BG140" s="100">
        <v>0</v>
      </c>
      <c r="BH140" s="101">
        <v>0.65</v>
      </c>
      <c r="BI140" s="102">
        <v>0.34</v>
      </c>
      <c r="BJ140" s="100">
        <v>0.16</v>
      </c>
      <c r="BK140" s="100">
        <v>0</v>
      </c>
      <c r="BL140" s="101">
        <v>0.51</v>
      </c>
      <c r="BM140" s="102">
        <v>0.88</v>
      </c>
      <c r="BN140" s="100">
        <v>1.01</v>
      </c>
      <c r="BO140" s="100">
        <v>0.71</v>
      </c>
      <c r="BP140" s="100">
        <v>0.93</v>
      </c>
      <c r="BQ140" s="100">
        <v>0.88</v>
      </c>
      <c r="BR140" s="100">
        <v>0.44</v>
      </c>
      <c r="BS140" s="100">
        <v>1.01</v>
      </c>
      <c r="BT140" s="100">
        <v>0.71</v>
      </c>
      <c r="BU140" s="101">
        <v>0.91</v>
      </c>
      <c r="BV140" s="79">
        <v>3096000</v>
      </c>
      <c r="BW140" s="205">
        <v>150</v>
      </c>
      <c r="BX140" s="205">
        <v>1655</v>
      </c>
      <c r="BY140" s="210">
        <v>32.9</v>
      </c>
      <c r="BZ140" s="206">
        <v>9.5</v>
      </c>
      <c r="CA140" s="215">
        <v>8.3000000000000001E-4</v>
      </c>
      <c r="CB140" s="205">
        <v>386</v>
      </c>
      <c r="CC140" s="214">
        <v>7.1000000000000002E-4</v>
      </c>
      <c r="CD140" s="205">
        <v>386</v>
      </c>
      <c r="CE140" s="104">
        <f t="shared" si="8"/>
        <v>2.7519379844961238E-3</v>
      </c>
      <c r="CF140" s="105">
        <f t="shared" si="6"/>
        <v>0.44</v>
      </c>
    </row>
    <row r="141" spans="1:84" ht="24" x14ac:dyDescent="0.25">
      <c r="A141" s="106">
        <v>140</v>
      </c>
      <c r="B141" s="107"/>
      <c r="C141" s="108" t="s">
        <v>358</v>
      </c>
      <c r="D141" s="109">
        <v>1800</v>
      </c>
      <c r="E141" s="110">
        <v>1720</v>
      </c>
      <c r="F141" s="111">
        <f t="shared" si="7"/>
        <v>3096000</v>
      </c>
      <c r="G141" s="110">
        <v>150</v>
      </c>
      <c r="H141" s="110">
        <v>1655</v>
      </c>
      <c r="I141" s="112">
        <v>1.05</v>
      </c>
      <c r="J141" s="160">
        <v>24</v>
      </c>
      <c r="K141" s="161">
        <v>32.9</v>
      </c>
      <c r="L141" s="162">
        <v>32.9</v>
      </c>
      <c r="M141" s="163">
        <v>0.96</v>
      </c>
      <c r="N141" s="111">
        <v>15.6</v>
      </c>
      <c r="O141" s="117" t="s">
        <v>206</v>
      </c>
      <c r="P141" s="118" t="s">
        <v>216</v>
      </c>
      <c r="Q141" s="119">
        <v>3.7000000000000002E-3</v>
      </c>
      <c r="R141" s="120">
        <v>8.3000000000000001E-4</v>
      </c>
      <c r="S141" s="120">
        <v>8.3000000000000001E-4</v>
      </c>
      <c r="T141" s="110">
        <v>386</v>
      </c>
      <c r="U141" s="118" t="s">
        <v>217</v>
      </c>
      <c r="V141" s="119">
        <v>7.1000000000000002E-4</v>
      </c>
      <c r="W141" s="110">
        <v>386</v>
      </c>
      <c r="X141" s="118" t="s">
        <v>217</v>
      </c>
      <c r="Y141" s="165">
        <v>0</v>
      </c>
      <c r="Z141" s="115">
        <v>0.5</v>
      </c>
      <c r="AA141" s="128" t="s">
        <v>217</v>
      </c>
      <c r="AB141" s="117" t="s">
        <v>217</v>
      </c>
      <c r="AC141" s="179">
        <v>2</v>
      </c>
      <c r="AD141" s="117" t="s">
        <v>229</v>
      </c>
      <c r="AE141" s="118">
        <v>0.61</v>
      </c>
      <c r="AF141" s="125">
        <v>0.5</v>
      </c>
      <c r="AG141" s="123">
        <v>0.13</v>
      </c>
      <c r="AH141" s="123">
        <v>0</v>
      </c>
      <c r="AI141" s="124">
        <v>0.63</v>
      </c>
      <c r="AJ141" s="125">
        <v>0.21</v>
      </c>
      <c r="AK141" s="123">
        <v>0.25</v>
      </c>
      <c r="AL141" s="123">
        <v>0</v>
      </c>
      <c r="AM141" s="124">
        <v>0.46</v>
      </c>
      <c r="AN141" s="125">
        <v>0.61</v>
      </c>
      <c r="AO141" s="123">
        <v>0.18</v>
      </c>
      <c r="AP141" s="123">
        <v>0</v>
      </c>
      <c r="AQ141" s="124">
        <v>0.79</v>
      </c>
      <c r="AR141" s="125">
        <v>0.9</v>
      </c>
      <c r="AS141" s="123">
        <v>0.16</v>
      </c>
      <c r="AT141" s="123">
        <v>0</v>
      </c>
      <c r="AU141" s="124">
        <v>0.63</v>
      </c>
      <c r="AV141" s="125">
        <v>0.32</v>
      </c>
      <c r="AW141" s="123">
        <v>0.27</v>
      </c>
      <c r="AX141" s="123">
        <v>0</v>
      </c>
      <c r="AY141" s="124">
        <v>0.59</v>
      </c>
      <c r="AZ141" s="125">
        <v>0.37</v>
      </c>
      <c r="BA141" s="123">
        <v>0.77</v>
      </c>
      <c r="BB141" s="123">
        <v>0</v>
      </c>
      <c r="BC141" s="124">
        <v>1.1399999999999999</v>
      </c>
      <c r="BD141" s="126">
        <v>0.59</v>
      </c>
      <c r="BE141" s="125">
        <v>0.92</v>
      </c>
      <c r="BF141" s="123">
        <v>0</v>
      </c>
      <c r="BG141" s="123">
        <v>0</v>
      </c>
      <c r="BH141" s="124">
        <v>0.92</v>
      </c>
      <c r="BI141" s="125">
        <v>0.48</v>
      </c>
      <c r="BJ141" s="123">
        <v>0.16</v>
      </c>
      <c r="BK141" s="123">
        <v>0</v>
      </c>
      <c r="BL141" s="124">
        <v>0.65</v>
      </c>
      <c r="BM141" s="125">
        <v>1.01</v>
      </c>
      <c r="BN141" s="123">
        <v>1.4</v>
      </c>
      <c r="BO141" s="123">
        <v>0.81</v>
      </c>
      <c r="BP141" s="123">
        <v>1.01</v>
      </c>
      <c r="BQ141" s="123">
        <v>1.08</v>
      </c>
      <c r="BR141" s="123">
        <v>0.56000000000000005</v>
      </c>
      <c r="BS141" s="123">
        <v>1.0900000000000001</v>
      </c>
      <c r="BT141" s="123">
        <v>0.69</v>
      </c>
      <c r="BU141" s="124">
        <v>0.99</v>
      </c>
      <c r="BV141" s="79">
        <v>3096000</v>
      </c>
      <c r="BW141" s="110">
        <v>150</v>
      </c>
      <c r="BX141" s="110">
        <v>1655</v>
      </c>
      <c r="BY141" s="162">
        <v>32.9</v>
      </c>
      <c r="BZ141" s="111">
        <v>15.6</v>
      </c>
      <c r="CA141" s="120">
        <v>8.3000000000000001E-4</v>
      </c>
      <c r="CB141" s="110">
        <v>386</v>
      </c>
      <c r="CC141" s="119">
        <v>7.1000000000000002E-4</v>
      </c>
      <c r="CD141" s="110">
        <v>386</v>
      </c>
      <c r="CE141" s="104">
        <f t="shared" si="8"/>
        <v>2.6744186046511625E-3</v>
      </c>
      <c r="CF141" s="105">
        <f t="shared" si="6"/>
        <v>0.61</v>
      </c>
    </row>
    <row r="142" spans="1:84" ht="24" x14ac:dyDescent="0.25">
      <c r="A142" s="106">
        <v>141</v>
      </c>
      <c r="B142" s="107"/>
      <c r="C142" s="108" t="s">
        <v>359</v>
      </c>
      <c r="D142" s="109">
        <v>1800</v>
      </c>
      <c r="E142" s="110">
        <v>1320</v>
      </c>
      <c r="F142" s="111">
        <f t="shared" si="7"/>
        <v>2376000</v>
      </c>
      <c r="G142" s="110">
        <v>150</v>
      </c>
      <c r="H142" s="110">
        <v>1255</v>
      </c>
      <c r="I142" s="112">
        <v>1.36</v>
      </c>
      <c r="J142" s="160">
        <v>24</v>
      </c>
      <c r="K142" s="161">
        <v>32.9</v>
      </c>
      <c r="L142" s="162">
        <v>32.9</v>
      </c>
      <c r="M142" s="163">
        <v>0.68</v>
      </c>
      <c r="N142" s="111">
        <v>9.5</v>
      </c>
      <c r="O142" s="117" t="s">
        <v>206</v>
      </c>
      <c r="P142" s="118" t="s">
        <v>216</v>
      </c>
      <c r="Q142" s="119">
        <v>3.9100000000000003E-3</v>
      </c>
      <c r="R142" s="120">
        <v>7.2000000000000005E-4</v>
      </c>
      <c r="S142" s="120">
        <v>7.2000000000000005E-4</v>
      </c>
      <c r="T142" s="110">
        <v>386</v>
      </c>
      <c r="U142" s="118" t="s">
        <v>217</v>
      </c>
      <c r="V142" s="119">
        <v>7.1000000000000002E-4</v>
      </c>
      <c r="W142" s="110">
        <v>386</v>
      </c>
      <c r="X142" s="118" t="s">
        <v>217</v>
      </c>
      <c r="Y142" s="165">
        <v>0</v>
      </c>
      <c r="Z142" s="115">
        <v>0.5</v>
      </c>
      <c r="AA142" s="128" t="s">
        <v>217</v>
      </c>
      <c r="AB142" s="117" t="s">
        <v>217</v>
      </c>
      <c r="AC142" s="179">
        <v>2</v>
      </c>
      <c r="AD142" s="117" t="s">
        <v>229</v>
      </c>
      <c r="AE142" s="118">
        <v>0.46</v>
      </c>
      <c r="AF142" s="125">
        <v>0.35</v>
      </c>
      <c r="AG142" s="123">
        <v>0.13</v>
      </c>
      <c r="AH142" s="123">
        <v>0</v>
      </c>
      <c r="AI142" s="124">
        <v>0.48</v>
      </c>
      <c r="AJ142" s="125">
        <v>0.21</v>
      </c>
      <c r="AK142" s="123">
        <v>0.25</v>
      </c>
      <c r="AL142" s="123">
        <v>0</v>
      </c>
      <c r="AM142" s="124">
        <v>0.46</v>
      </c>
      <c r="AN142" s="125">
        <v>0.43</v>
      </c>
      <c r="AO142" s="123">
        <v>0.18</v>
      </c>
      <c r="AP142" s="123">
        <v>0</v>
      </c>
      <c r="AQ142" s="124">
        <v>0.61</v>
      </c>
      <c r="AR142" s="125">
        <v>0.62</v>
      </c>
      <c r="AS142" s="123">
        <v>0.16</v>
      </c>
      <c r="AT142" s="123">
        <v>0</v>
      </c>
      <c r="AU142" s="124">
        <v>0.49</v>
      </c>
      <c r="AV142" s="125">
        <v>0.21</v>
      </c>
      <c r="AW142" s="123">
        <v>0.27</v>
      </c>
      <c r="AX142" s="123">
        <v>0</v>
      </c>
      <c r="AY142" s="124">
        <v>0.49</v>
      </c>
      <c r="AZ142" s="125">
        <v>0.3</v>
      </c>
      <c r="BA142" s="123">
        <v>0.74</v>
      </c>
      <c r="BB142" s="123">
        <v>0</v>
      </c>
      <c r="BC142" s="124">
        <v>1.04</v>
      </c>
      <c r="BD142" s="126">
        <v>0.44</v>
      </c>
      <c r="BE142" s="125">
        <v>0.5</v>
      </c>
      <c r="BF142" s="123">
        <v>0</v>
      </c>
      <c r="BG142" s="123">
        <v>0</v>
      </c>
      <c r="BH142" s="124">
        <v>0.5</v>
      </c>
      <c r="BI142" s="125">
        <v>0.34</v>
      </c>
      <c r="BJ142" s="123">
        <v>0.16</v>
      </c>
      <c r="BK142" s="123">
        <v>0</v>
      </c>
      <c r="BL142" s="124">
        <v>0.51</v>
      </c>
      <c r="BM142" s="125">
        <v>1.29</v>
      </c>
      <c r="BN142" s="123">
        <v>1.36</v>
      </c>
      <c r="BO142" s="123">
        <v>1.02</v>
      </c>
      <c r="BP142" s="123">
        <v>1.26</v>
      </c>
      <c r="BQ142" s="123">
        <v>1.28</v>
      </c>
      <c r="BR142" s="123">
        <v>0.6</v>
      </c>
      <c r="BS142" s="123">
        <v>1.42</v>
      </c>
      <c r="BT142" s="123">
        <v>1.24</v>
      </c>
      <c r="BU142" s="124">
        <v>1.23</v>
      </c>
      <c r="BV142" s="79">
        <v>2376000</v>
      </c>
      <c r="BW142" s="110">
        <v>150</v>
      </c>
      <c r="BX142" s="110">
        <v>1255</v>
      </c>
      <c r="BY142" s="162">
        <v>32.9</v>
      </c>
      <c r="BZ142" s="111">
        <v>9.5</v>
      </c>
      <c r="CA142" s="120">
        <v>7.2000000000000005E-4</v>
      </c>
      <c r="CB142" s="110">
        <v>386</v>
      </c>
      <c r="CC142" s="119">
        <v>7.1000000000000002E-4</v>
      </c>
      <c r="CD142" s="110">
        <v>386</v>
      </c>
      <c r="CE142" s="104">
        <f t="shared" si="8"/>
        <v>6.2626262626262631E-3</v>
      </c>
      <c r="CF142" s="105">
        <f t="shared" si="6"/>
        <v>0.46</v>
      </c>
    </row>
    <row r="143" spans="1:84" ht="24" x14ac:dyDescent="0.25">
      <c r="A143" s="106">
        <v>142</v>
      </c>
      <c r="B143" s="107"/>
      <c r="C143" s="108" t="s">
        <v>360</v>
      </c>
      <c r="D143" s="109">
        <v>1800</v>
      </c>
      <c r="E143" s="110">
        <v>1320</v>
      </c>
      <c r="F143" s="111">
        <f t="shared" si="7"/>
        <v>2376000</v>
      </c>
      <c r="G143" s="110">
        <v>150</v>
      </c>
      <c r="H143" s="110">
        <v>1255</v>
      </c>
      <c r="I143" s="112">
        <v>1.36</v>
      </c>
      <c r="J143" s="160">
        <v>24</v>
      </c>
      <c r="K143" s="161">
        <v>32.9</v>
      </c>
      <c r="L143" s="162">
        <v>32.9</v>
      </c>
      <c r="M143" s="163">
        <v>0.96</v>
      </c>
      <c r="N143" s="111">
        <v>15.6</v>
      </c>
      <c r="O143" s="117" t="s">
        <v>206</v>
      </c>
      <c r="P143" s="118" t="s">
        <v>216</v>
      </c>
      <c r="Q143" s="119">
        <v>3.5699999999999998E-3</v>
      </c>
      <c r="R143" s="120">
        <v>7.2000000000000005E-4</v>
      </c>
      <c r="S143" s="120">
        <v>7.2000000000000005E-4</v>
      </c>
      <c r="T143" s="110">
        <v>386</v>
      </c>
      <c r="U143" s="118" t="s">
        <v>217</v>
      </c>
      <c r="V143" s="119">
        <v>7.1000000000000002E-4</v>
      </c>
      <c r="W143" s="110">
        <v>386</v>
      </c>
      <c r="X143" s="118" t="s">
        <v>217</v>
      </c>
      <c r="Y143" s="165">
        <v>0</v>
      </c>
      <c r="Z143" s="115">
        <v>0.5</v>
      </c>
      <c r="AA143" s="128" t="s">
        <v>217</v>
      </c>
      <c r="AB143" s="117" t="s">
        <v>217</v>
      </c>
      <c r="AC143" s="179">
        <v>2</v>
      </c>
      <c r="AD143" s="117" t="s">
        <v>229</v>
      </c>
      <c r="AE143" s="118">
        <v>0.6</v>
      </c>
      <c r="AF143" s="125">
        <v>0.45</v>
      </c>
      <c r="AG143" s="123">
        <v>0.13</v>
      </c>
      <c r="AH143" s="123">
        <v>0</v>
      </c>
      <c r="AI143" s="124">
        <v>0.57999999999999996</v>
      </c>
      <c r="AJ143" s="125">
        <v>0.21</v>
      </c>
      <c r="AK143" s="123">
        <v>0.25</v>
      </c>
      <c r="AL143" s="123">
        <v>0</v>
      </c>
      <c r="AM143" s="124">
        <v>0.46</v>
      </c>
      <c r="AN143" s="125">
        <v>0.56000000000000005</v>
      </c>
      <c r="AO143" s="123">
        <v>0.18</v>
      </c>
      <c r="AP143" s="123">
        <v>0</v>
      </c>
      <c r="AQ143" s="124">
        <v>0.73</v>
      </c>
      <c r="AR143" s="125">
        <v>0.79</v>
      </c>
      <c r="AS143" s="123">
        <v>0.16</v>
      </c>
      <c r="AT143" s="123">
        <v>0</v>
      </c>
      <c r="AU143" s="124">
        <v>0.63</v>
      </c>
      <c r="AV143" s="125">
        <v>0.27</v>
      </c>
      <c r="AW143" s="123">
        <v>0.27</v>
      </c>
      <c r="AX143" s="123">
        <v>0</v>
      </c>
      <c r="AY143" s="124">
        <v>0.55000000000000004</v>
      </c>
      <c r="AZ143" s="125">
        <v>0.36</v>
      </c>
      <c r="BA143" s="123">
        <v>0.74</v>
      </c>
      <c r="BB143" s="123">
        <v>0</v>
      </c>
      <c r="BC143" s="124">
        <v>1.0900000000000001</v>
      </c>
      <c r="BD143" s="126">
        <v>0.56000000000000005</v>
      </c>
      <c r="BE143" s="125">
        <v>0.71</v>
      </c>
      <c r="BF143" s="123">
        <v>0</v>
      </c>
      <c r="BG143" s="123">
        <v>0</v>
      </c>
      <c r="BH143" s="124">
        <v>0.71</v>
      </c>
      <c r="BI143" s="125">
        <v>0.48</v>
      </c>
      <c r="BJ143" s="123">
        <v>0.16</v>
      </c>
      <c r="BK143" s="123">
        <v>0</v>
      </c>
      <c r="BL143" s="124">
        <v>0.65</v>
      </c>
      <c r="BM143" s="125">
        <v>1.4</v>
      </c>
      <c r="BN143" s="123">
        <v>1.78</v>
      </c>
      <c r="BO143" s="123">
        <v>1.1100000000000001</v>
      </c>
      <c r="BP143" s="123">
        <v>1.28</v>
      </c>
      <c r="BQ143" s="123">
        <v>1.49</v>
      </c>
      <c r="BR143" s="123">
        <v>0.74</v>
      </c>
      <c r="BS143" s="123">
        <v>1.45</v>
      </c>
      <c r="BT143" s="123">
        <v>1.1499999999999999</v>
      </c>
      <c r="BU143" s="124">
        <v>1.26</v>
      </c>
      <c r="BV143" s="79">
        <v>2376000</v>
      </c>
      <c r="BW143" s="110">
        <v>150</v>
      </c>
      <c r="BX143" s="110">
        <v>1255</v>
      </c>
      <c r="BY143" s="162">
        <v>32.9</v>
      </c>
      <c r="BZ143" s="111">
        <v>15.6</v>
      </c>
      <c r="CA143" s="120">
        <v>7.2000000000000005E-4</v>
      </c>
      <c r="CB143" s="110">
        <v>386</v>
      </c>
      <c r="CC143" s="119">
        <v>7.1000000000000002E-4</v>
      </c>
      <c r="CD143" s="110">
        <v>386</v>
      </c>
      <c r="CE143" s="104">
        <f t="shared" si="8"/>
        <v>5.8080808080808082E-3</v>
      </c>
      <c r="CF143" s="105">
        <f t="shared" si="6"/>
        <v>0.6</v>
      </c>
    </row>
    <row r="144" spans="1:84" ht="24" x14ac:dyDescent="0.25">
      <c r="A144" s="106">
        <v>143</v>
      </c>
      <c r="B144" s="107"/>
      <c r="C144" s="108" t="s">
        <v>361</v>
      </c>
      <c r="D144" s="109">
        <v>1800</v>
      </c>
      <c r="E144" s="110">
        <v>920</v>
      </c>
      <c r="F144" s="111">
        <f t="shared" si="7"/>
        <v>1656000</v>
      </c>
      <c r="G144" s="110">
        <v>150</v>
      </c>
      <c r="H144" s="110">
        <v>855</v>
      </c>
      <c r="I144" s="112">
        <v>1.96</v>
      </c>
      <c r="J144" s="160">
        <v>24</v>
      </c>
      <c r="K144" s="161">
        <v>32.9</v>
      </c>
      <c r="L144" s="162">
        <v>32.9</v>
      </c>
      <c r="M144" s="163">
        <v>0.68</v>
      </c>
      <c r="N144" s="111">
        <v>9.5</v>
      </c>
      <c r="O144" s="117" t="s">
        <v>206</v>
      </c>
      <c r="P144" s="118" t="s">
        <v>216</v>
      </c>
      <c r="Q144" s="119">
        <v>5.6100000000000004E-3</v>
      </c>
      <c r="R144" s="120">
        <v>1.0300000000000001E-3</v>
      </c>
      <c r="S144" s="120">
        <v>1.0300000000000001E-3</v>
      </c>
      <c r="T144" s="110">
        <v>386</v>
      </c>
      <c r="U144" s="118" t="s">
        <v>217</v>
      </c>
      <c r="V144" s="119">
        <v>7.1000000000000002E-4</v>
      </c>
      <c r="W144" s="110">
        <v>386</v>
      </c>
      <c r="X144" s="118" t="s">
        <v>217</v>
      </c>
      <c r="Y144" s="165">
        <v>0</v>
      </c>
      <c r="Z144" s="115">
        <v>0.5</v>
      </c>
      <c r="AA144" s="128" t="s">
        <v>217</v>
      </c>
      <c r="AB144" s="117" t="s">
        <v>217</v>
      </c>
      <c r="AC144" s="179">
        <v>2</v>
      </c>
      <c r="AD144" s="117" t="s">
        <v>229</v>
      </c>
      <c r="AE144" s="118">
        <v>0.56999999999999995</v>
      </c>
      <c r="AF144" s="125">
        <v>0.28999999999999998</v>
      </c>
      <c r="AG144" s="123">
        <v>0.13</v>
      </c>
      <c r="AH144" s="123">
        <v>0</v>
      </c>
      <c r="AI144" s="124">
        <v>0.42</v>
      </c>
      <c r="AJ144" s="125">
        <v>0.21</v>
      </c>
      <c r="AK144" s="123">
        <v>0.25</v>
      </c>
      <c r="AL144" s="123">
        <v>0</v>
      </c>
      <c r="AM144" s="124">
        <v>0.46</v>
      </c>
      <c r="AN144" s="125">
        <v>0.36</v>
      </c>
      <c r="AO144" s="123">
        <v>0.18</v>
      </c>
      <c r="AP144" s="123">
        <v>0</v>
      </c>
      <c r="AQ144" s="124">
        <v>0.54</v>
      </c>
      <c r="AR144" s="125">
        <v>0.47</v>
      </c>
      <c r="AS144" s="123">
        <v>0.15</v>
      </c>
      <c r="AT144" s="123">
        <v>0</v>
      </c>
      <c r="AU144" s="124">
        <v>0.49</v>
      </c>
      <c r="AV144" s="125">
        <v>0.15</v>
      </c>
      <c r="AW144" s="123">
        <v>0.27</v>
      </c>
      <c r="AX144" s="123">
        <v>0</v>
      </c>
      <c r="AY144" s="124">
        <v>0.43</v>
      </c>
      <c r="AZ144" s="125">
        <v>0.32</v>
      </c>
      <c r="BA144" s="123">
        <v>0.79</v>
      </c>
      <c r="BB144" s="123">
        <v>0</v>
      </c>
      <c r="BC144" s="124">
        <v>1.1100000000000001</v>
      </c>
      <c r="BD144" s="126">
        <v>0.4</v>
      </c>
      <c r="BE144" s="125">
        <v>0.35</v>
      </c>
      <c r="BF144" s="123">
        <v>0</v>
      </c>
      <c r="BG144" s="123">
        <v>0</v>
      </c>
      <c r="BH144" s="124">
        <v>0.35</v>
      </c>
      <c r="BI144" s="125">
        <v>0.34</v>
      </c>
      <c r="BJ144" s="123">
        <v>0.16</v>
      </c>
      <c r="BK144" s="123">
        <v>0</v>
      </c>
      <c r="BL144" s="124">
        <v>0.51</v>
      </c>
      <c r="BM144" s="125">
        <v>2.69</v>
      </c>
      <c r="BN144" s="123">
        <v>2.44</v>
      </c>
      <c r="BO144" s="123">
        <v>2.08</v>
      </c>
      <c r="BP144" s="123">
        <v>2.2599999999999998</v>
      </c>
      <c r="BQ144" s="123">
        <v>2.61</v>
      </c>
      <c r="BR144" s="123">
        <v>1.01</v>
      </c>
      <c r="BS144" s="123">
        <v>2.78</v>
      </c>
      <c r="BT144" s="123">
        <v>3.2</v>
      </c>
      <c r="BU144" s="124">
        <v>2.21</v>
      </c>
      <c r="BV144" s="79">
        <v>1656000</v>
      </c>
      <c r="BW144" s="110">
        <v>150</v>
      </c>
      <c r="BX144" s="110">
        <v>855</v>
      </c>
      <c r="BY144" s="162">
        <v>32.9</v>
      </c>
      <c r="BZ144" s="111">
        <v>9.5</v>
      </c>
      <c r="CA144" s="120">
        <v>1.0300000000000001E-3</v>
      </c>
      <c r="CB144" s="110">
        <v>386</v>
      </c>
      <c r="CC144" s="119">
        <v>7.1000000000000002E-4</v>
      </c>
      <c r="CD144" s="110">
        <v>386</v>
      </c>
      <c r="CE144" s="104">
        <f t="shared" si="8"/>
        <v>2.318840579710145E-2</v>
      </c>
      <c r="CF144" s="105">
        <f t="shared" si="6"/>
        <v>0.56999999999999995</v>
      </c>
    </row>
    <row r="145" spans="1:84" ht="24" x14ac:dyDescent="0.25">
      <c r="A145" s="106">
        <v>144</v>
      </c>
      <c r="B145" s="107"/>
      <c r="C145" s="108" t="s">
        <v>362</v>
      </c>
      <c r="D145" s="109">
        <v>1800</v>
      </c>
      <c r="E145" s="110">
        <v>920</v>
      </c>
      <c r="F145" s="111">
        <f t="shared" si="7"/>
        <v>1656000</v>
      </c>
      <c r="G145" s="110">
        <v>150</v>
      </c>
      <c r="H145" s="110">
        <v>855</v>
      </c>
      <c r="I145" s="112">
        <v>1.96</v>
      </c>
      <c r="J145" s="160">
        <v>24</v>
      </c>
      <c r="K145" s="161">
        <v>32.9</v>
      </c>
      <c r="L145" s="162">
        <v>32.9</v>
      </c>
      <c r="M145" s="163">
        <v>0.96</v>
      </c>
      <c r="N145" s="111">
        <v>15.6</v>
      </c>
      <c r="O145" s="117" t="s">
        <v>206</v>
      </c>
      <c r="P145" s="118" t="s">
        <v>216</v>
      </c>
      <c r="Q145" s="119">
        <v>3.6700000000000001E-3</v>
      </c>
      <c r="R145" s="120">
        <v>1.0300000000000001E-3</v>
      </c>
      <c r="S145" s="120">
        <v>1.0300000000000001E-3</v>
      </c>
      <c r="T145" s="110">
        <v>386</v>
      </c>
      <c r="U145" s="118" t="s">
        <v>217</v>
      </c>
      <c r="V145" s="119">
        <v>7.1000000000000002E-4</v>
      </c>
      <c r="W145" s="110">
        <v>386</v>
      </c>
      <c r="X145" s="118" t="s">
        <v>217</v>
      </c>
      <c r="Y145" s="165">
        <v>0</v>
      </c>
      <c r="Z145" s="115">
        <v>0.5</v>
      </c>
      <c r="AA145" s="128" t="s">
        <v>217</v>
      </c>
      <c r="AB145" s="117" t="s">
        <v>217</v>
      </c>
      <c r="AC145" s="179">
        <v>2</v>
      </c>
      <c r="AD145" s="117" t="s">
        <v>229</v>
      </c>
      <c r="AE145" s="118">
        <v>0.53</v>
      </c>
      <c r="AF145" s="125">
        <v>0.37</v>
      </c>
      <c r="AG145" s="123">
        <v>0.13</v>
      </c>
      <c r="AH145" s="123">
        <v>0</v>
      </c>
      <c r="AI145" s="124">
        <v>0.5</v>
      </c>
      <c r="AJ145" s="125">
        <v>0.21</v>
      </c>
      <c r="AK145" s="123">
        <v>0.25</v>
      </c>
      <c r="AL145" s="123">
        <v>0</v>
      </c>
      <c r="AM145" s="124">
        <v>0.46</v>
      </c>
      <c r="AN145" s="125">
        <v>0.46</v>
      </c>
      <c r="AO145" s="123">
        <v>0.18</v>
      </c>
      <c r="AP145" s="123">
        <v>0</v>
      </c>
      <c r="AQ145" s="124">
        <v>0.64</v>
      </c>
      <c r="AR145" s="125">
        <v>0.6</v>
      </c>
      <c r="AS145" s="123">
        <v>0.15</v>
      </c>
      <c r="AT145" s="123">
        <v>0</v>
      </c>
      <c r="AU145" s="124">
        <v>0.63</v>
      </c>
      <c r="AV145" s="125">
        <v>0.2</v>
      </c>
      <c r="AW145" s="123">
        <v>0.27</v>
      </c>
      <c r="AX145" s="123">
        <v>0</v>
      </c>
      <c r="AY145" s="124">
        <v>0.47</v>
      </c>
      <c r="AZ145" s="125">
        <v>0.35</v>
      </c>
      <c r="BA145" s="123">
        <v>0.79</v>
      </c>
      <c r="BB145" s="123">
        <v>0</v>
      </c>
      <c r="BC145" s="124">
        <v>1.1399999999999999</v>
      </c>
      <c r="BD145" s="126">
        <v>0.51</v>
      </c>
      <c r="BE145" s="125">
        <v>0.49</v>
      </c>
      <c r="BF145" s="123">
        <v>0</v>
      </c>
      <c r="BG145" s="123">
        <v>0</v>
      </c>
      <c r="BH145" s="124">
        <v>0.49</v>
      </c>
      <c r="BI145" s="125">
        <v>0.48</v>
      </c>
      <c r="BJ145" s="123">
        <v>0.16</v>
      </c>
      <c r="BK145" s="123">
        <v>0</v>
      </c>
      <c r="BL145" s="124">
        <v>0.65</v>
      </c>
      <c r="BM145" s="125">
        <v>2.09</v>
      </c>
      <c r="BN145" s="123">
        <v>2.27</v>
      </c>
      <c r="BO145" s="123">
        <v>1.63</v>
      </c>
      <c r="BP145" s="123">
        <v>1.64</v>
      </c>
      <c r="BQ145" s="123">
        <v>2.2000000000000002</v>
      </c>
      <c r="BR145" s="123">
        <v>0.91</v>
      </c>
      <c r="BS145" s="123">
        <v>2.02</v>
      </c>
      <c r="BT145" s="123">
        <v>2.1</v>
      </c>
      <c r="BU145" s="124">
        <v>1.6</v>
      </c>
      <c r="BV145" s="79">
        <v>1656000</v>
      </c>
      <c r="BW145" s="110">
        <v>150</v>
      </c>
      <c r="BX145" s="110">
        <v>855</v>
      </c>
      <c r="BY145" s="162">
        <v>32.9</v>
      </c>
      <c r="BZ145" s="111">
        <v>15.6</v>
      </c>
      <c r="CA145" s="120">
        <v>1.0300000000000001E-3</v>
      </c>
      <c r="CB145" s="110">
        <v>386</v>
      </c>
      <c r="CC145" s="119">
        <v>7.1000000000000002E-4</v>
      </c>
      <c r="CD145" s="110">
        <v>386</v>
      </c>
      <c r="CE145" s="104">
        <f t="shared" si="8"/>
        <v>1.5217391304347827E-2</v>
      </c>
      <c r="CF145" s="105">
        <f t="shared" si="6"/>
        <v>0.53</v>
      </c>
    </row>
    <row r="146" spans="1:84" ht="24" x14ac:dyDescent="0.25">
      <c r="A146" s="106">
        <v>145</v>
      </c>
      <c r="B146" s="107"/>
      <c r="C146" s="108" t="s">
        <v>363</v>
      </c>
      <c r="D146" s="109">
        <v>1800</v>
      </c>
      <c r="E146" s="110">
        <v>1320</v>
      </c>
      <c r="F146" s="111">
        <f t="shared" si="7"/>
        <v>2376000</v>
      </c>
      <c r="G146" s="110">
        <v>150</v>
      </c>
      <c r="H146" s="110">
        <v>1255</v>
      </c>
      <c r="I146" s="112">
        <v>1.36</v>
      </c>
      <c r="J146" s="160">
        <v>24</v>
      </c>
      <c r="K146" s="161">
        <v>32.9</v>
      </c>
      <c r="L146" s="162">
        <v>32.9</v>
      </c>
      <c r="M146" s="163">
        <v>0.68</v>
      </c>
      <c r="N146" s="111">
        <v>9.5</v>
      </c>
      <c r="O146" s="117" t="s">
        <v>206</v>
      </c>
      <c r="P146" s="118" t="s">
        <v>216</v>
      </c>
      <c r="Q146" s="119">
        <v>3.9100000000000003E-3</v>
      </c>
      <c r="R146" s="120">
        <v>7.2000000000000005E-4</v>
      </c>
      <c r="S146" s="120">
        <v>7.2000000000000005E-4</v>
      </c>
      <c r="T146" s="110">
        <v>386</v>
      </c>
      <c r="U146" s="118" t="s">
        <v>217</v>
      </c>
      <c r="V146" s="119">
        <v>0</v>
      </c>
      <c r="W146" s="110">
        <v>386</v>
      </c>
      <c r="X146" s="118" t="s">
        <v>217</v>
      </c>
      <c r="Y146" s="165">
        <v>0</v>
      </c>
      <c r="Z146" s="115">
        <v>0.5</v>
      </c>
      <c r="AA146" s="128" t="s">
        <v>217</v>
      </c>
      <c r="AB146" s="117" t="s">
        <v>217</v>
      </c>
      <c r="AC146" s="179">
        <v>2</v>
      </c>
      <c r="AD146" s="117" t="s">
        <v>229</v>
      </c>
      <c r="AE146" s="118">
        <v>0.3</v>
      </c>
      <c r="AF146" s="125">
        <v>0.35</v>
      </c>
      <c r="AG146" s="123">
        <v>0</v>
      </c>
      <c r="AH146" s="123">
        <v>0</v>
      </c>
      <c r="AI146" s="124">
        <v>0.35</v>
      </c>
      <c r="AJ146" s="125">
        <v>0.21</v>
      </c>
      <c r="AK146" s="123">
        <v>0</v>
      </c>
      <c r="AL146" s="123">
        <v>0</v>
      </c>
      <c r="AM146" s="124">
        <v>0.21</v>
      </c>
      <c r="AN146" s="125">
        <v>0.43</v>
      </c>
      <c r="AO146" s="123">
        <v>0</v>
      </c>
      <c r="AP146" s="123">
        <v>0</v>
      </c>
      <c r="AQ146" s="124">
        <v>0.43</v>
      </c>
      <c r="AR146" s="125">
        <v>0.62</v>
      </c>
      <c r="AS146" s="123">
        <v>0</v>
      </c>
      <c r="AT146" s="123">
        <v>0</v>
      </c>
      <c r="AU146" s="124">
        <v>0.49</v>
      </c>
      <c r="AV146" s="125">
        <v>0.21</v>
      </c>
      <c r="AW146" s="123">
        <v>0</v>
      </c>
      <c r="AX146" s="123">
        <v>0</v>
      </c>
      <c r="AY146" s="124">
        <v>0.21</v>
      </c>
      <c r="AZ146" s="125">
        <v>0.3</v>
      </c>
      <c r="BA146" s="123">
        <v>0.37</v>
      </c>
      <c r="BB146" s="123">
        <v>0</v>
      </c>
      <c r="BC146" s="124">
        <v>0.67</v>
      </c>
      <c r="BD146" s="126">
        <v>0.22</v>
      </c>
      <c r="BE146" s="125">
        <v>0.5</v>
      </c>
      <c r="BF146" s="123">
        <v>0</v>
      </c>
      <c r="BG146" s="123">
        <v>0</v>
      </c>
      <c r="BH146" s="124">
        <v>0.5</v>
      </c>
      <c r="BI146" s="125">
        <v>0.34</v>
      </c>
      <c r="BJ146" s="123">
        <v>0</v>
      </c>
      <c r="BK146" s="123">
        <v>0</v>
      </c>
      <c r="BL146" s="124">
        <v>0.34</v>
      </c>
      <c r="BM146" s="125">
        <v>1.1499999999999999</v>
      </c>
      <c r="BN146" s="123">
        <v>1.92</v>
      </c>
      <c r="BO146" s="123">
        <v>0.93</v>
      </c>
      <c r="BP146" s="123">
        <v>0.82</v>
      </c>
      <c r="BQ146" s="123">
        <v>1.9</v>
      </c>
      <c r="BR146" s="123">
        <v>0.6</v>
      </c>
      <c r="BS146" s="123">
        <v>1.87</v>
      </c>
      <c r="BT146" s="123">
        <v>0.8</v>
      </c>
      <c r="BU146" s="124">
        <v>1.18</v>
      </c>
      <c r="BV146" s="79">
        <v>2376000</v>
      </c>
      <c r="BW146" s="110">
        <v>150</v>
      </c>
      <c r="BX146" s="110">
        <v>1255</v>
      </c>
      <c r="BY146" s="162">
        <v>32.9</v>
      </c>
      <c r="BZ146" s="111">
        <v>9.5</v>
      </c>
      <c r="CA146" s="120">
        <v>7.2000000000000005E-4</v>
      </c>
      <c r="CB146" s="110">
        <v>386</v>
      </c>
      <c r="CC146" s="119">
        <v>0</v>
      </c>
      <c r="CD146" s="110">
        <v>386</v>
      </c>
      <c r="CE146" s="104">
        <f t="shared" si="8"/>
        <v>4.0404040404040404E-3</v>
      </c>
      <c r="CF146" s="105">
        <f t="shared" si="6"/>
        <v>0.3</v>
      </c>
    </row>
    <row r="147" spans="1:84" ht="24" x14ac:dyDescent="0.25">
      <c r="A147" s="106">
        <v>146</v>
      </c>
      <c r="B147" s="107"/>
      <c r="C147" s="108" t="s">
        <v>364</v>
      </c>
      <c r="D147" s="109">
        <v>1800</v>
      </c>
      <c r="E147" s="110">
        <v>1320</v>
      </c>
      <c r="F147" s="111">
        <f t="shared" si="7"/>
        <v>2376000</v>
      </c>
      <c r="G147" s="110">
        <v>150</v>
      </c>
      <c r="H147" s="110">
        <v>1255</v>
      </c>
      <c r="I147" s="112">
        <v>1.36</v>
      </c>
      <c r="J147" s="160">
        <v>24</v>
      </c>
      <c r="K147" s="161">
        <v>32.9</v>
      </c>
      <c r="L147" s="162">
        <v>32.9</v>
      </c>
      <c r="M147" s="163">
        <v>0.68</v>
      </c>
      <c r="N147" s="111">
        <v>9.5</v>
      </c>
      <c r="O147" s="117" t="s">
        <v>206</v>
      </c>
      <c r="P147" s="118" t="s">
        <v>216</v>
      </c>
      <c r="Q147" s="119">
        <v>3.9100000000000003E-3</v>
      </c>
      <c r="R147" s="120">
        <v>7.2000000000000005E-4</v>
      </c>
      <c r="S147" s="120">
        <v>7.2000000000000005E-4</v>
      </c>
      <c r="T147" s="110">
        <v>386</v>
      </c>
      <c r="U147" s="118" t="s">
        <v>217</v>
      </c>
      <c r="V147" s="119">
        <v>0</v>
      </c>
      <c r="W147" s="110">
        <v>386</v>
      </c>
      <c r="X147" s="118" t="s">
        <v>217</v>
      </c>
      <c r="Y147" s="165">
        <v>0</v>
      </c>
      <c r="Z147" s="115">
        <v>0.5</v>
      </c>
      <c r="AA147" s="128" t="s">
        <v>217</v>
      </c>
      <c r="AB147" s="117" t="s">
        <v>217</v>
      </c>
      <c r="AC147" s="179">
        <v>2</v>
      </c>
      <c r="AD147" s="117" t="s">
        <v>229</v>
      </c>
      <c r="AE147" s="118">
        <v>0.37</v>
      </c>
      <c r="AF147" s="125">
        <v>0.35</v>
      </c>
      <c r="AG147" s="123">
        <v>0</v>
      </c>
      <c r="AH147" s="123">
        <v>0</v>
      </c>
      <c r="AI147" s="124">
        <v>0.35</v>
      </c>
      <c r="AJ147" s="125">
        <v>0.21</v>
      </c>
      <c r="AK147" s="123">
        <v>0</v>
      </c>
      <c r="AL147" s="123">
        <v>0</v>
      </c>
      <c r="AM147" s="124">
        <v>0.21</v>
      </c>
      <c r="AN147" s="125">
        <v>0.43</v>
      </c>
      <c r="AO147" s="123">
        <v>0</v>
      </c>
      <c r="AP147" s="123">
        <v>0</v>
      </c>
      <c r="AQ147" s="124">
        <v>0.43</v>
      </c>
      <c r="AR147" s="125">
        <v>0.62</v>
      </c>
      <c r="AS147" s="123">
        <v>0</v>
      </c>
      <c r="AT147" s="123">
        <v>0</v>
      </c>
      <c r="AU147" s="124">
        <v>0.49</v>
      </c>
      <c r="AV147" s="125">
        <v>0.21</v>
      </c>
      <c r="AW147" s="123">
        <v>0</v>
      </c>
      <c r="AX147" s="123">
        <v>0</v>
      </c>
      <c r="AY147" s="124">
        <v>0.21</v>
      </c>
      <c r="AZ147" s="125">
        <v>0.3</v>
      </c>
      <c r="BA147" s="123">
        <v>0.37</v>
      </c>
      <c r="BB147" s="123">
        <v>0</v>
      </c>
      <c r="BC147" s="124">
        <v>0.67</v>
      </c>
      <c r="BD147" s="126">
        <v>0.22</v>
      </c>
      <c r="BE147" s="125">
        <v>0.5</v>
      </c>
      <c r="BF147" s="123">
        <v>0</v>
      </c>
      <c r="BG147" s="123">
        <v>0</v>
      </c>
      <c r="BH147" s="124">
        <v>0.5</v>
      </c>
      <c r="BI147" s="125">
        <v>0.34</v>
      </c>
      <c r="BJ147" s="123">
        <v>0</v>
      </c>
      <c r="BK147" s="123">
        <v>0</v>
      </c>
      <c r="BL147" s="124">
        <v>0.34</v>
      </c>
      <c r="BM147" s="125">
        <v>1.42</v>
      </c>
      <c r="BN147" s="123">
        <v>2.37</v>
      </c>
      <c r="BO147" s="123">
        <v>1.1499999999999999</v>
      </c>
      <c r="BP147" s="123">
        <v>1.01</v>
      </c>
      <c r="BQ147" s="123">
        <v>2.35</v>
      </c>
      <c r="BR147" s="123">
        <v>0.75</v>
      </c>
      <c r="BS147" s="123">
        <v>2.31</v>
      </c>
      <c r="BT147" s="123">
        <v>0.99</v>
      </c>
      <c r="BU147" s="124">
        <v>1.46</v>
      </c>
      <c r="BV147" s="79">
        <v>2376000</v>
      </c>
      <c r="BW147" s="110">
        <v>150</v>
      </c>
      <c r="BX147" s="110">
        <v>1255</v>
      </c>
      <c r="BY147" s="162">
        <v>32.9</v>
      </c>
      <c r="BZ147" s="111">
        <v>9.5</v>
      </c>
      <c r="CA147" s="120">
        <v>7.2000000000000005E-4</v>
      </c>
      <c r="CB147" s="110">
        <v>386</v>
      </c>
      <c r="CC147" s="119">
        <v>0</v>
      </c>
      <c r="CD147" s="110">
        <v>386</v>
      </c>
      <c r="CE147" s="104">
        <f t="shared" si="8"/>
        <v>4.9999999999999992E-3</v>
      </c>
      <c r="CF147" s="105">
        <f t="shared" si="6"/>
        <v>0.37</v>
      </c>
    </row>
    <row r="148" spans="1:84" ht="24" x14ac:dyDescent="0.25">
      <c r="A148" s="106">
        <v>147</v>
      </c>
      <c r="B148" s="107"/>
      <c r="C148" s="108" t="s">
        <v>365</v>
      </c>
      <c r="D148" s="109">
        <v>1800</v>
      </c>
      <c r="E148" s="110">
        <v>1320</v>
      </c>
      <c r="F148" s="111">
        <f t="shared" si="7"/>
        <v>2376000</v>
      </c>
      <c r="G148" s="110">
        <v>150</v>
      </c>
      <c r="H148" s="110">
        <v>1255</v>
      </c>
      <c r="I148" s="112">
        <v>1.36</v>
      </c>
      <c r="J148" s="160">
        <v>24</v>
      </c>
      <c r="K148" s="161">
        <v>32.9</v>
      </c>
      <c r="L148" s="162">
        <v>32.9</v>
      </c>
      <c r="M148" s="163">
        <v>0.68</v>
      </c>
      <c r="N148" s="111">
        <v>9.5</v>
      </c>
      <c r="O148" s="117" t="s">
        <v>206</v>
      </c>
      <c r="P148" s="118" t="s">
        <v>216</v>
      </c>
      <c r="Q148" s="119">
        <v>3.9100000000000003E-3</v>
      </c>
      <c r="R148" s="120">
        <v>7.2000000000000005E-4</v>
      </c>
      <c r="S148" s="120">
        <v>7.2000000000000005E-4</v>
      </c>
      <c r="T148" s="110">
        <v>386</v>
      </c>
      <c r="U148" s="118" t="s">
        <v>217</v>
      </c>
      <c r="V148" s="119">
        <v>7.1000000000000002E-4</v>
      </c>
      <c r="W148" s="110">
        <v>386</v>
      </c>
      <c r="X148" s="118" t="s">
        <v>217</v>
      </c>
      <c r="Y148" s="165">
        <v>0</v>
      </c>
      <c r="Z148" s="115">
        <v>0.5</v>
      </c>
      <c r="AA148" s="128" t="s">
        <v>217</v>
      </c>
      <c r="AB148" s="117" t="s">
        <v>217</v>
      </c>
      <c r="AC148" s="179">
        <v>2</v>
      </c>
      <c r="AD148" s="117" t="s">
        <v>229</v>
      </c>
      <c r="AE148" s="118">
        <v>0.42</v>
      </c>
      <c r="AF148" s="125">
        <v>0.35</v>
      </c>
      <c r="AG148" s="123">
        <v>0.13</v>
      </c>
      <c r="AH148" s="123">
        <v>0</v>
      </c>
      <c r="AI148" s="124">
        <v>0.48</v>
      </c>
      <c r="AJ148" s="125">
        <v>0.21</v>
      </c>
      <c r="AK148" s="123">
        <v>0.25</v>
      </c>
      <c r="AL148" s="123">
        <v>0</v>
      </c>
      <c r="AM148" s="124">
        <v>0.46</v>
      </c>
      <c r="AN148" s="125">
        <v>0.43</v>
      </c>
      <c r="AO148" s="123">
        <v>0.18</v>
      </c>
      <c r="AP148" s="123">
        <v>0</v>
      </c>
      <c r="AQ148" s="124">
        <v>0.61</v>
      </c>
      <c r="AR148" s="125">
        <v>0.62</v>
      </c>
      <c r="AS148" s="123">
        <v>0.16</v>
      </c>
      <c r="AT148" s="123">
        <v>0</v>
      </c>
      <c r="AU148" s="124">
        <v>0.49</v>
      </c>
      <c r="AV148" s="125">
        <v>0.21</v>
      </c>
      <c r="AW148" s="123">
        <v>0.27</v>
      </c>
      <c r="AX148" s="123">
        <v>0</v>
      </c>
      <c r="AY148" s="124">
        <v>0.49</v>
      </c>
      <c r="AZ148" s="125">
        <v>0.3</v>
      </c>
      <c r="BA148" s="123">
        <v>0.74</v>
      </c>
      <c r="BB148" s="123">
        <v>0</v>
      </c>
      <c r="BC148" s="124">
        <v>1.04</v>
      </c>
      <c r="BD148" s="126">
        <v>0.44</v>
      </c>
      <c r="BE148" s="125">
        <v>0.5</v>
      </c>
      <c r="BF148" s="123">
        <v>0</v>
      </c>
      <c r="BG148" s="123">
        <v>0</v>
      </c>
      <c r="BH148" s="124">
        <v>0.5</v>
      </c>
      <c r="BI148" s="125">
        <v>0.34</v>
      </c>
      <c r="BJ148" s="123">
        <v>0.16</v>
      </c>
      <c r="BK148" s="123">
        <v>0</v>
      </c>
      <c r="BL148" s="124">
        <v>0.51</v>
      </c>
      <c r="BM148" s="125">
        <v>1.18</v>
      </c>
      <c r="BN148" s="123">
        <v>1.24</v>
      </c>
      <c r="BO148" s="123">
        <v>0.93</v>
      </c>
      <c r="BP148" s="123">
        <v>1.1499999999999999</v>
      </c>
      <c r="BQ148" s="123">
        <v>1.17</v>
      </c>
      <c r="BR148" s="123">
        <v>0.55000000000000004</v>
      </c>
      <c r="BS148" s="123">
        <v>1.3</v>
      </c>
      <c r="BT148" s="123">
        <v>1.1299999999999999</v>
      </c>
      <c r="BU148" s="124">
        <v>1.1200000000000001</v>
      </c>
      <c r="BV148" s="79">
        <v>2376000</v>
      </c>
      <c r="BW148" s="110">
        <v>150</v>
      </c>
      <c r="BX148" s="110">
        <v>1255</v>
      </c>
      <c r="BY148" s="162">
        <v>32.9</v>
      </c>
      <c r="BZ148" s="111">
        <v>9.5</v>
      </c>
      <c r="CA148" s="120">
        <v>7.2000000000000005E-4</v>
      </c>
      <c r="CB148" s="110">
        <v>386</v>
      </c>
      <c r="CC148" s="119">
        <v>7.1000000000000002E-4</v>
      </c>
      <c r="CD148" s="110">
        <v>386</v>
      </c>
      <c r="CE148" s="104">
        <f t="shared" si="8"/>
        <v>5.7070707070707065E-3</v>
      </c>
      <c r="CF148" s="105">
        <f t="shared" si="6"/>
        <v>0.42</v>
      </c>
    </row>
    <row r="149" spans="1:84" ht="27.75" customHeight="1" x14ac:dyDescent="0.25">
      <c r="A149" s="106">
        <v>148</v>
      </c>
      <c r="B149" s="107"/>
      <c r="C149" s="108" t="s">
        <v>366</v>
      </c>
      <c r="D149" s="109">
        <v>1800</v>
      </c>
      <c r="E149" s="110">
        <v>1320</v>
      </c>
      <c r="F149" s="111">
        <f t="shared" si="7"/>
        <v>2376000</v>
      </c>
      <c r="G149" s="110">
        <v>150</v>
      </c>
      <c r="H149" s="110">
        <v>1255</v>
      </c>
      <c r="I149" s="112">
        <v>1.36</v>
      </c>
      <c r="J149" s="160">
        <v>24</v>
      </c>
      <c r="K149" s="161">
        <v>32.9</v>
      </c>
      <c r="L149" s="162">
        <v>32.9</v>
      </c>
      <c r="M149" s="163">
        <v>0.68</v>
      </c>
      <c r="N149" s="111">
        <v>9.5</v>
      </c>
      <c r="O149" s="117" t="s">
        <v>206</v>
      </c>
      <c r="P149" s="118" t="s">
        <v>216</v>
      </c>
      <c r="Q149" s="119">
        <v>3.9100000000000003E-3</v>
      </c>
      <c r="R149" s="120">
        <v>7.2000000000000005E-4</v>
      </c>
      <c r="S149" s="120">
        <v>7.2000000000000005E-4</v>
      </c>
      <c r="T149" s="110">
        <v>386</v>
      </c>
      <c r="U149" s="118" t="s">
        <v>217</v>
      </c>
      <c r="V149" s="119">
        <v>1.48E-3</v>
      </c>
      <c r="W149" s="110">
        <v>386</v>
      </c>
      <c r="X149" s="118" t="s">
        <v>217</v>
      </c>
      <c r="Y149" s="165">
        <v>0</v>
      </c>
      <c r="Z149" s="115">
        <v>0.5</v>
      </c>
      <c r="AA149" s="128" t="s">
        <v>217</v>
      </c>
      <c r="AB149" s="117" t="s">
        <v>217</v>
      </c>
      <c r="AC149" s="179">
        <v>2</v>
      </c>
      <c r="AD149" s="117" t="s">
        <v>229</v>
      </c>
      <c r="AE149" s="118">
        <v>0.45</v>
      </c>
      <c r="AF149" s="125">
        <v>0.35</v>
      </c>
      <c r="AG149" s="123">
        <v>0.27</v>
      </c>
      <c r="AH149" s="123">
        <v>0</v>
      </c>
      <c r="AI149" s="124">
        <v>0.62</v>
      </c>
      <c r="AJ149" s="125">
        <v>0.21</v>
      </c>
      <c r="AK149" s="123">
        <v>0.51</v>
      </c>
      <c r="AL149" s="123">
        <v>0</v>
      </c>
      <c r="AM149" s="124">
        <v>0.72</v>
      </c>
      <c r="AN149" s="125">
        <v>0.43</v>
      </c>
      <c r="AO149" s="123">
        <v>0.37</v>
      </c>
      <c r="AP149" s="123">
        <v>0</v>
      </c>
      <c r="AQ149" s="124">
        <v>0.8</v>
      </c>
      <c r="AR149" s="125">
        <v>0.62</v>
      </c>
      <c r="AS149" s="123">
        <v>0.33</v>
      </c>
      <c r="AT149" s="123">
        <v>0</v>
      </c>
      <c r="AU149" s="124">
        <v>0.49</v>
      </c>
      <c r="AV149" s="125">
        <v>0.21</v>
      </c>
      <c r="AW149" s="123">
        <v>0.56999999999999995</v>
      </c>
      <c r="AX149" s="123">
        <v>0</v>
      </c>
      <c r="AY149" s="124">
        <v>0.78</v>
      </c>
      <c r="AZ149" s="125">
        <v>0.3</v>
      </c>
      <c r="BA149" s="123">
        <v>0.9</v>
      </c>
      <c r="BB149" s="123">
        <v>0</v>
      </c>
      <c r="BC149" s="124">
        <v>1.2</v>
      </c>
      <c r="BD149" s="126">
        <v>0.44</v>
      </c>
      <c r="BE149" s="125">
        <v>0.5</v>
      </c>
      <c r="BF149" s="123">
        <v>0</v>
      </c>
      <c r="BG149" s="123">
        <v>0</v>
      </c>
      <c r="BH149" s="124">
        <v>0.5</v>
      </c>
      <c r="BI149" s="125">
        <v>0.34</v>
      </c>
      <c r="BJ149" s="123">
        <v>0.34</v>
      </c>
      <c r="BK149" s="123">
        <v>0</v>
      </c>
      <c r="BL149" s="124">
        <v>0.68</v>
      </c>
      <c r="BM149" s="125">
        <v>0.99</v>
      </c>
      <c r="BN149" s="123">
        <v>0.85</v>
      </c>
      <c r="BO149" s="123">
        <v>0.77</v>
      </c>
      <c r="BP149" s="123">
        <v>1.24</v>
      </c>
      <c r="BQ149" s="123">
        <v>0.78</v>
      </c>
      <c r="BR149" s="123">
        <v>0.51</v>
      </c>
      <c r="BS149" s="123">
        <v>1.41</v>
      </c>
      <c r="BT149" s="123">
        <v>1.23</v>
      </c>
      <c r="BU149" s="124">
        <v>0.9</v>
      </c>
      <c r="BV149" s="79">
        <v>2376000</v>
      </c>
      <c r="BW149" s="110">
        <v>150</v>
      </c>
      <c r="BX149" s="110">
        <v>1255</v>
      </c>
      <c r="BY149" s="162">
        <v>32.9</v>
      </c>
      <c r="BZ149" s="111">
        <v>9.5</v>
      </c>
      <c r="CA149" s="120">
        <v>7.2000000000000005E-4</v>
      </c>
      <c r="CB149" s="110">
        <v>386</v>
      </c>
      <c r="CC149" s="119">
        <v>1.48E-3</v>
      </c>
      <c r="CD149" s="110">
        <v>386</v>
      </c>
      <c r="CE149" s="104">
        <f t="shared" si="8"/>
        <v>6.2121212121212114E-3</v>
      </c>
      <c r="CF149" s="105">
        <f t="shared" si="6"/>
        <v>0.45</v>
      </c>
    </row>
    <row r="150" spans="1:84" ht="23.25" customHeight="1" x14ac:dyDescent="0.25">
      <c r="A150" s="106">
        <v>149</v>
      </c>
      <c r="B150" s="107"/>
      <c r="C150" s="108" t="s">
        <v>367</v>
      </c>
      <c r="D150" s="109">
        <v>1800</v>
      </c>
      <c r="E150" s="110">
        <v>1320</v>
      </c>
      <c r="F150" s="111">
        <f t="shared" si="7"/>
        <v>2376000</v>
      </c>
      <c r="G150" s="110">
        <v>150</v>
      </c>
      <c r="H150" s="110">
        <v>1255</v>
      </c>
      <c r="I150" s="112">
        <v>1.36</v>
      </c>
      <c r="J150" s="160">
        <v>24</v>
      </c>
      <c r="K150" s="161">
        <v>32.9</v>
      </c>
      <c r="L150" s="162">
        <v>32.9</v>
      </c>
      <c r="M150" s="163">
        <v>0.68</v>
      </c>
      <c r="N150" s="111">
        <v>9.5</v>
      </c>
      <c r="O150" s="117" t="s">
        <v>206</v>
      </c>
      <c r="P150" s="118" t="s">
        <v>216</v>
      </c>
      <c r="Q150" s="119">
        <v>3.9100000000000003E-3</v>
      </c>
      <c r="R150" s="120">
        <v>7.2000000000000005E-4</v>
      </c>
      <c r="S150" s="120">
        <v>7.2000000000000005E-4</v>
      </c>
      <c r="T150" s="110">
        <v>386</v>
      </c>
      <c r="U150" s="118" t="s">
        <v>217</v>
      </c>
      <c r="V150" s="119">
        <v>2.2200000000000002E-3</v>
      </c>
      <c r="W150" s="110">
        <v>386</v>
      </c>
      <c r="X150" s="118" t="s">
        <v>217</v>
      </c>
      <c r="Y150" s="165">
        <v>0</v>
      </c>
      <c r="Z150" s="115">
        <v>0.5</v>
      </c>
      <c r="AA150" s="128" t="s">
        <v>217</v>
      </c>
      <c r="AB150" s="117" t="s">
        <v>217</v>
      </c>
      <c r="AC150" s="179">
        <v>2</v>
      </c>
      <c r="AD150" s="117" t="s">
        <v>229</v>
      </c>
      <c r="AE150" s="118">
        <v>0.56000000000000005</v>
      </c>
      <c r="AF150" s="125">
        <v>0.35</v>
      </c>
      <c r="AG150" s="123">
        <v>0.41</v>
      </c>
      <c r="AH150" s="123">
        <v>0</v>
      </c>
      <c r="AI150" s="124">
        <v>0.76</v>
      </c>
      <c r="AJ150" s="125">
        <v>0.21</v>
      </c>
      <c r="AK150" s="123">
        <v>0.77</v>
      </c>
      <c r="AL150" s="123">
        <v>0</v>
      </c>
      <c r="AM150" s="124">
        <v>0.98</v>
      </c>
      <c r="AN150" s="125">
        <v>0.43</v>
      </c>
      <c r="AO150" s="123">
        <v>0.55000000000000004</v>
      </c>
      <c r="AP150" s="123">
        <v>0</v>
      </c>
      <c r="AQ150" s="124">
        <v>0.98</v>
      </c>
      <c r="AR150" s="125">
        <v>0.62</v>
      </c>
      <c r="AS150" s="123">
        <v>0.49</v>
      </c>
      <c r="AT150" s="123">
        <v>0</v>
      </c>
      <c r="AU150" s="124">
        <v>0.49</v>
      </c>
      <c r="AV150" s="125">
        <v>0.21</v>
      </c>
      <c r="AW150" s="123">
        <v>0.86</v>
      </c>
      <c r="AX150" s="123">
        <v>0</v>
      </c>
      <c r="AY150" s="124">
        <v>1.07</v>
      </c>
      <c r="AZ150" s="125">
        <v>0.3</v>
      </c>
      <c r="BA150" s="123">
        <v>1.02</v>
      </c>
      <c r="BB150" s="123">
        <v>0</v>
      </c>
      <c r="BC150" s="124">
        <v>1.32</v>
      </c>
      <c r="BD150" s="126">
        <v>0.44</v>
      </c>
      <c r="BE150" s="125">
        <v>0.5</v>
      </c>
      <c r="BF150" s="123">
        <v>0</v>
      </c>
      <c r="BG150" s="123">
        <v>0</v>
      </c>
      <c r="BH150" s="124">
        <v>0.5</v>
      </c>
      <c r="BI150" s="125">
        <v>0.34</v>
      </c>
      <c r="BJ150" s="123">
        <v>0.22</v>
      </c>
      <c r="BK150" s="123">
        <v>0</v>
      </c>
      <c r="BL150" s="124">
        <v>0.56000000000000005</v>
      </c>
      <c r="BM150" s="125">
        <v>1.01</v>
      </c>
      <c r="BN150" s="123">
        <v>0.78</v>
      </c>
      <c r="BO150" s="123">
        <v>0.78</v>
      </c>
      <c r="BP150" s="123">
        <v>1.55</v>
      </c>
      <c r="BQ150" s="123">
        <v>0.72</v>
      </c>
      <c r="BR150" s="123">
        <v>0.57999999999999996</v>
      </c>
      <c r="BS150" s="123">
        <v>1.75</v>
      </c>
      <c r="BT150" s="123">
        <v>1.53</v>
      </c>
      <c r="BU150" s="124">
        <v>1.36</v>
      </c>
      <c r="BV150" s="79">
        <v>2376000</v>
      </c>
      <c r="BW150" s="110">
        <v>150</v>
      </c>
      <c r="BX150" s="110">
        <v>1255</v>
      </c>
      <c r="BY150" s="162">
        <v>32.9</v>
      </c>
      <c r="BZ150" s="111">
        <v>9.5</v>
      </c>
      <c r="CA150" s="120">
        <v>7.2000000000000005E-4</v>
      </c>
      <c r="CB150" s="110">
        <v>386</v>
      </c>
      <c r="CC150" s="119">
        <v>2.2200000000000002E-3</v>
      </c>
      <c r="CD150" s="110">
        <v>386</v>
      </c>
      <c r="CE150" s="104">
        <f t="shared" si="8"/>
        <v>7.7272727272727276E-3</v>
      </c>
      <c r="CF150" s="105">
        <f t="shared" si="6"/>
        <v>0.56000000000000005</v>
      </c>
    </row>
    <row r="151" spans="1:84" ht="24" x14ac:dyDescent="0.25">
      <c r="A151" s="106">
        <v>150</v>
      </c>
      <c r="B151" s="107"/>
      <c r="C151" s="108" t="s">
        <v>368</v>
      </c>
      <c r="D151" s="109">
        <v>1800</v>
      </c>
      <c r="E151" s="110">
        <v>1320</v>
      </c>
      <c r="F151" s="111">
        <f t="shared" si="7"/>
        <v>2376000</v>
      </c>
      <c r="G151" s="110">
        <v>150</v>
      </c>
      <c r="H151" s="110">
        <v>1255</v>
      </c>
      <c r="I151" s="112">
        <v>1.36</v>
      </c>
      <c r="J151" s="160">
        <v>24</v>
      </c>
      <c r="K151" s="161">
        <v>32.9</v>
      </c>
      <c r="L151" s="162">
        <v>32.9</v>
      </c>
      <c r="M151" s="163">
        <v>0.96</v>
      </c>
      <c r="N151" s="111">
        <v>15.6</v>
      </c>
      <c r="O151" s="117" t="s">
        <v>206</v>
      </c>
      <c r="P151" s="118" t="s">
        <v>216</v>
      </c>
      <c r="Q151" s="119">
        <v>3.9100000000000003E-3</v>
      </c>
      <c r="R151" s="120">
        <v>7.2000000000000005E-4</v>
      </c>
      <c r="S151" s="120">
        <v>7.2000000000000005E-4</v>
      </c>
      <c r="T151" s="110">
        <v>386</v>
      </c>
      <c r="U151" s="118" t="s">
        <v>217</v>
      </c>
      <c r="V151" s="119">
        <v>7.1000000000000002E-4</v>
      </c>
      <c r="W151" s="110">
        <v>386</v>
      </c>
      <c r="X151" s="118" t="s">
        <v>217</v>
      </c>
      <c r="Y151" s="165">
        <v>0.49</v>
      </c>
      <c r="Z151" s="115">
        <v>0.5</v>
      </c>
      <c r="AA151" s="128" t="s">
        <v>217</v>
      </c>
      <c r="AB151" s="117" t="s">
        <v>217</v>
      </c>
      <c r="AC151" s="179">
        <v>2</v>
      </c>
      <c r="AD151" s="117" t="s">
        <v>229</v>
      </c>
      <c r="AE151" s="118">
        <v>0.69</v>
      </c>
      <c r="AF151" s="125">
        <v>0.45</v>
      </c>
      <c r="AG151" s="123">
        <v>0.13</v>
      </c>
      <c r="AH151" s="123">
        <v>0.12</v>
      </c>
      <c r="AI151" s="124">
        <v>0.7</v>
      </c>
      <c r="AJ151" s="125">
        <v>0.35</v>
      </c>
      <c r="AK151" s="123">
        <v>0.25</v>
      </c>
      <c r="AL151" s="123">
        <v>0</v>
      </c>
      <c r="AM151" s="124">
        <v>0.59</v>
      </c>
      <c r="AN151" s="125">
        <v>0.56000000000000005</v>
      </c>
      <c r="AO151" s="123">
        <v>0.18</v>
      </c>
      <c r="AP151" s="123">
        <v>0.3</v>
      </c>
      <c r="AQ151" s="124">
        <v>1.03</v>
      </c>
      <c r="AR151" s="125">
        <v>0.79</v>
      </c>
      <c r="AS151" s="123">
        <v>0.16</v>
      </c>
      <c r="AT151" s="123">
        <v>0.12</v>
      </c>
      <c r="AU151" s="124">
        <v>0.63</v>
      </c>
      <c r="AV151" s="125">
        <v>0.27</v>
      </c>
      <c r="AW151" s="123">
        <v>0.27</v>
      </c>
      <c r="AX151" s="123">
        <v>0</v>
      </c>
      <c r="AY151" s="124">
        <v>0.55000000000000004</v>
      </c>
      <c r="AZ151" s="125">
        <v>0.37</v>
      </c>
      <c r="BA151" s="123">
        <v>0.74</v>
      </c>
      <c r="BB151" s="123">
        <v>0.04</v>
      </c>
      <c r="BC151" s="124">
        <v>1.1399999999999999</v>
      </c>
      <c r="BD151" s="126">
        <v>0.56000000000000005</v>
      </c>
      <c r="BE151" s="125">
        <v>0.71</v>
      </c>
      <c r="BF151" s="123">
        <v>0</v>
      </c>
      <c r="BG151" s="123">
        <v>0.11</v>
      </c>
      <c r="BH151" s="124">
        <v>0.82</v>
      </c>
      <c r="BI151" s="125">
        <v>0.48</v>
      </c>
      <c r="BJ151" s="123">
        <v>0.16</v>
      </c>
      <c r="BK151" s="123">
        <v>0.15</v>
      </c>
      <c r="BL151" s="124">
        <v>0.79</v>
      </c>
      <c r="BM151" s="125">
        <v>1.34</v>
      </c>
      <c r="BN151" s="123">
        <v>1.59</v>
      </c>
      <c r="BO151" s="123">
        <v>0.91</v>
      </c>
      <c r="BP151" s="123">
        <v>1.49</v>
      </c>
      <c r="BQ151" s="123">
        <v>1.73</v>
      </c>
      <c r="BR151" s="123">
        <v>0.82</v>
      </c>
      <c r="BS151" s="123">
        <v>1.68</v>
      </c>
      <c r="BT151" s="123">
        <v>1.1499999999999999</v>
      </c>
      <c r="BU151" s="124">
        <v>1.19</v>
      </c>
      <c r="BV151" s="79">
        <v>2376000</v>
      </c>
      <c r="BW151" s="110">
        <v>150</v>
      </c>
      <c r="BX151" s="110">
        <v>1255</v>
      </c>
      <c r="BY151" s="162">
        <v>32.9</v>
      </c>
      <c r="BZ151" s="111">
        <v>15.6</v>
      </c>
      <c r="CA151" s="120">
        <v>7.2000000000000005E-4</v>
      </c>
      <c r="CB151" s="110">
        <v>386</v>
      </c>
      <c r="CC151" s="119">
        <v>7.1000000000000002E-4</v>
      </c>
      <c r="CD151" s="110">
        <v>386</v>
      </c>
      <c r="CE151" s="104">
        <f t="shared" si="8"/>
        <v>5.8080808080808082E-3</v>
      </c>
      <c r="CF151" s="105">
        <f t="shared" si="6"/>
        <v>0.69</v>
      </c>
    </row>
    <row r="152" spans="1:84" ht="24" x14ac:dyDescent="0.25">
      <c r="A152" s="106">
        <v>151</v>
      </c>
      <c r="B152" s="107"/>
      <c r="C152" s="108" t="s">
        <v>369</v>
      </c>
      <c r="D152" s="109">
        <v>1800</v>
      </c>
      <c r="E152" s="110">
        <v>1320</v>
      </c>
      <c r="F152" s="111">
        <f t="shared" si="7"/>
        <v>2376000</v>
      </c>
      <c r="G152" s="110">
        <v>150</v>
      </c>
      <c r="H152" s="110">
        <v>1255</v>
      </c>
      <c r="I152" s="112">
        <v>1.36</v>
      </c>
      <c r="J152" s="160">
        <v>24</v>
      </c>
      <c r="K152" s="161">
        <v>32.9</v>
      </c>
      <c r="L152" s="162">
        <v>32.9</v>
      </c>
      <c r="M152" s="163">
        <v>0.96</v>
      </c>
      <c r="N152" s="111">
        <v>15.6</v>
      </c>
      <c r="O152" s="117" t="s">
        <v>206</v>
      </c>
      <c r="P152" s="118" t="s">
        <v>216</v>
      </c>
      <c r="Q152" s="119">
        <v>3.9100000000000003E-3</v>
      </c>
      <c r="R152" s="120">
        <v>7.2000000000000005E-4</v>
      </c>
      <c r="S152" s="120">
        <v>7.2000000000000005E-4</v>
      </c>
      <c r="T152" s="110">
        <v>386</v>
      </c>
      <c r="U152" s="118" t="s">
        <v>217</v>
      </c>
      <c r="V152" s="119">
        <v>7.1000000000000002E-4</v>
      </c>
      <c r="W152" s="110">
        <v>386</v>
      </c>
      <c r="X152" s="118" t="s">
        <v>217</v>
      </c>
      <c r="Y152" s="165">
        <v>0.98</v>
      </c>
      <c r="Z152" s="115">
        <v>0.5</v>
      </c>
      <c r="AA152" s="128" t="s">
        <v>217</v>
      </c>
      <c r="AB152" s="117" t="s">
        <v>217</v>
      </c>
      <c r="AC152" s="179">
        <v>2</v>
      </c>
      <c r="AD152" s="117" t="s">
        <v>229</v>
      </c>
      <c r="AE152" s="118">
        <v>0.72</v>
      </c>
      <c r="AF152" s="125">
        <v>0.45</v>
      </c>
      <c r="AG152" s="123">
        <v>0.13</v>
      </c>
      <c r="AH152" s="123">
        <v>0.25</v>
      </c>
      <c r="AI152" s="124">
        <v>0.83</v>
      </c>
      <c r="AJ152" s="125">
        <v>0.48</v>
      </c>
      <c r="AK152" s="123">
        <v>0.25</v>
      </c>
      <c r="AL152" s="123">
        <v>0</v>
      </c>
      <c r="AM152" s="124">
        <v>0.73</v>
      </c>
      <c r="AN152" s="125">
        <v>0.56000000000000005</v>
      </c>
      <c r="AO152" s="123">
        <v>0.18</v>
      </c>
      <c r="AP152" s="123">
        <v>0.59</v>
      </c>
      <c r="AQ152" s="124">
        <v>1.32</v>
      </c>
      <c r="AR152" s="125">
        <v>0.79</v>
      </c>
      <c r="AS152" s="123">
        <v>0.16</v>
      </c>
      <c r="AT152" s="123">
        <v>0.25</v>
      </c>
      <c r="AU152" s="124">
        <v>0.63</v>
      </c>
      <c r="AV152" s="125">
        <v>0.27</v>
      </c>
      <c r="AW152" s="123">
        <v>0.27</v>
      </c>
      <c r="AX152" s="123">
        <v>0</v>
      </c>
      <c r="AY152" s="124">
        <v>0.55000000000000004</v>
      </c>
      <c r="AZ152" s="125">
        <v>0.37</v>
      </c>
      <c r="BA152" s="123">
        <v>0.74</v>
      </c>
      <c r="BB152" s="123">
        <v>0.08</v>
      </c>
      <c r="BC152" s="124">
        <v>1.18</v>
      </c>
      <c r="BD152" s="126">
        <v>0.56000000000000005</v>
      </c>
      <c r="BE152" s="125">
        <v>0.71</v>
      </c>
      <c r="BF152" s="123">
        <v>0</v>
      </c>
      <c r="BG152" s="123">
        <v>0.23</v>
      </c>
      <c r="BH152" s="124">
        <v>0.93</v>
      </c>
      <c r="BI152" s="125">
        <v>0.48</v>
      </c>
      <c r="BJ152" s="123">
        <v>0.16</v>
      </c>
      <c r="BK152" s="123">
        <v>0.28999999999999998</v>
      </c>
      <c r="BL152" s="124">
        <v>0.94</v>
      </c>
      <c r="BM152" s="125">
        <v>1.19</v>
      </c>
      <c r="BN152" s="123">
        <v>1.34</v>
      </c>
      <c r="BO152" s="123">
        <v>0.74</v>
      </c>
      <c r="BP152" s="123">
        <v>1.55</v>
      </c>
      <c r="BQ152" s="123">
        <v>1.8</v>
      </c>
      <c r="BR152" s="123">
        <v>0.83</v>
      </c>
      <c r="BS152" s="123">
        <v>1.76</v>
      </c>
      <c r="BT152" s="123">
        <v>1.05</v>
      </c>
      <c r="BU152" s="124">
        <v>1.04</v>
      </c>
      <c r="BV152" s="79">
        <v>2376000</v>
      </c>
      <c r="BW152" s="110">
        <v>150</v>
      </c>
      <c r="BX152" s="110">
        <v>1255</v>
      </c>
      <c r="BY152" s="162">
        <v>32.9</v>
      </c>
      <c r="BZ152" s="111">
        <v>15.6</v>
      </c>
      <c r="CA152" s="120">
        <v>7.2000000000000005E-4</v>
      </c>
      <c r="CB152" s="110">
        <v>386</v>
      </c>
      <c r="CC152" s="119">
        <v>7.1000000000000002E-4</v>
      </c>
      <c r="CD152" s="110">
        <v>386</v>
      </c>
      <c r="CE152" s="104">
        <f t="shared" si="8"/>
        <v>5.3030303030303034E-3</v>
      </c>
      <c r="CF152" s="105">
        <f t="shared" si="6"/>
        <v>0.72</v>
      </c>
    </row>
    <row r="153" spans="1:84" ht="24" x14ac:dyDescent="0.25">
      <c r="A153" s="106">
        <v>152</v>
      </c>
      <c r="B153" s="107"/>
      <c r="C153" s="108" t="s">
        <v>370</v>
      </c>
      <c r="D153" s="109">
        <v>1800</v>
      </c>
      <c r="E153" s="110">
        <v>1320</v>
      </c>
      <c r="F153" s="111">
        <f t="shared" si="7"/>
        <v>2376000</v>
      </c>
      <c r="G153" s="110">
        <v>150</v>
      </c>
      <c r="H153" s="110">
        <v>1255</v>
      </c>
      <c r="I153" s="112">
        <v>1.36</v>
      </c>
      <c r="J153" s="160">
        <v>24</v>
      </c>
      <c r="K153" s="161">
        <v>32.9</v>
      </c>
      <c r="L153" s="162">
        <v>32.9</v>
      </c>
      <c r="M153" s="163">
        <v>0.96</v>
      </c>
      <c r="N153" s="111">
        <v>15.6</v>
      </c>
      <c r="O153" s="117" t="s">
        <v>206</v>
      </c>
      <c r="P153" s="118" t="s">
        <v>216</v>
      </c>
      <c r="Q153" s="119">
        <v>3.9100000000000003E-3</v>
      </c>
      <c r="R153" s="120">
        <v>7.2000000000000005E-4</v>
      </c>
      <c r="S153" s="120">
        <v>7.2000000000000005E-4</v>
      </c>
      <c r="T153" s="110">
        <v>386</v>
      </c>
      <c r="U153" s="118" t="s">
        <v>217</v>
      </c>
      <c r="V153" s="119">
        <v>7.1000000000000002E-4</v>
      </c>
      <c r="W153" s="110">
        <v>386</v>
      </c>
      <c r="X153" s="118" t="s">
        <v>217</v>
      </c>
      <c r="Y153" s="165">
        <v>1.47</v>
      </c>
      <c r="Z153" s="115">
        <v>0.5</v>
      </c>
      <c r="AA153" s="128" t="s">
        <v>217</v>
      </c>
      <c r="AB153" s="117" t="s">
        <v>217</v>
      </c>
      <c r="AC153" s="179">
        <v>2</v>
      </c>
      <c r="AD153" s="117" t="s">
        <v>229</v>
      </c>
      <c r="AE153" s="118">
        <v>0.91</v>
      </c>
      <c r="AF153" s="125">
        <v>0.45</v>
      </c>
      <c r="AG153" s="123">
        <v>0.13</v>
      </c>
      <c r="AH153" s="123">
        <v>0.37</v>
      </c>
      <c r="AI153" s="124">
        <v>0.95</v>
      </c>
      <c r="AJ153" s="125">
        <v>0.62</v>
      </c>
      <c r="AK153" s="123">
        <v>0.25</v>
      </c>
      <c r="AL153" s="123">
        <v>0</v>
      </c>
      <c r="AM153" s="124">
        <v>0.87</v>
      </c>
      <c r="AN153" s="125">
        <v>0.56000000000000005</v>
      </c>
      <c r="AO153" s="123">
        <v>0.18</v>
      </c>
      <c r="AP153" s="123">
        <v>0.86</v>
      </c>
      <c r="AQ153" s="124">
        <v>1.6</v>
      </c>
      <c r="AR153" s="125">
        <v>0.79</v>
      </c>
      <c r="AS153" s="123">
        <v>0.16</v>
      </c>
      <c r="AT153" s="123">
        <v>0.37</v>
      </c>
      <c r="AU153" s="124">
        <v>0.63</v>
      </c>
      <c r="AV153" s="125">
        <v>0.27</v>
      </c>
      <c r="AW153" s="123">
        <v>0.27</v>
      </c>
      <c r="AX153" s="123">
        <v>0</v>
      </c>
      <c r="AY153" s="124">
        <v>0.55000000000000004</v>
      </c>
      <c r="AZ153" s="125">
        <v>0.37</v>
      </c>
      <c r="BA153" s="123">
        <v>0.74</v>
      </c>
      <c r="BB153" s="123">
        <v>0.12</v>
      </c>
      <c r="BC153" s="124">
        <v>1.22</v>
      </c>
      <c r="BD153" s="126">
        <v>0.56000000000000005</v>
      </c>
      <c r="BE153" s="125">
        <v>0.71</v>
      </c>
      <c r="BF153" s="123">
        <v>0</v>
      </c>
      <c r="BG153" s="123">
        <v>0.34</v>
      </c>
      <c r="BH153" s="124">
        <v>1.05</v>
      </c>
      <c r="BI153" s="125">
        <v>0.48</v>
      </c>
      <c r="BJ153" s="123">
        <v>0.16</v>
      </c>
      <c r="BK153" s="123">
        <v>0.44</v>
      </c>
      <c r="BL153" s="124">
        <v>1.0900000000000001</v>
      </c>
      <c r="BM153" s="125">
        <v>1.3</v>
      </c>
      <c r="BN153" s="123">
        <v>1.42</v>
      </c>
      <c r="BO153" s="123">
        <v>0.77</v>
      </c>
      <c r="BP153" s="123">
        <v>1.95</v>
      </c>
      <c r="BQ153" s="123">
        <v>2.2599999999999998</v>
      </c>
      <c r="BR153" s="123">
        <v>1.01</v>
      </c>
      <c r="BS153" s="123">
        <v>2.21</v>
      </c>
      <c r="BT153" s="123">
        <v>1.18</v>
      </c>
      <c r="BU153" s="124">
        <v>1.1299999999999999</v>
      </c>
      <c r="BV153" s="79">
        <v>2376000</v>
      </c>
      <c r="BW153" s="110">
        <v>150</v>
      </c>
      <c r="BX153" s="110">
        <v>1255</v>
      </c>
      <c r="BY153" s="162">
        <v>32.9</v>
      </c>
      <c r="BZ153" s="111">
        <v>15.6</v>
      </c>
      <c r="CA153" s="120">
        <v>7.2000000000000005E-4</v>
      </c>
      <c r="CB153" s="110">
        <v>386</v>
      </c>
      <c r="CC153" s="119">
        <v>7.1000000000000002E-4</v>
      </c>
      <c r="CD153" s="110">
        <v>386</v>
      </c>
      <c r="CE153" s="104">
        <f t="shared" si="8"/>
        <v>5.9595959595959598E-3</v>
      </c>
      <c r="CF153" s="105">
        <f t="shared" si="6"/>
        <v>0.91</v>
      </c>
    </row>
    <row r="154" spans="1:84" ht="24" x14ac:dyDescent="0.25">
      <c r="A154" s="106">
        <v>153</v>
      </c>
      <c r="B154" s="107"/>
      <c r="C154" s="108" t="s">
        <v>371</v>
      </c>
      <c r="D154" s="109">
        <v>1800</v>
      </c>
      <c r="E154" s="110">
        <v>1370</v>
      </c>
      <c r="F154" s="111">
        <f t="shared" si="7"/>
        <v>2466000</v>
      </c>
      <c r="G154" s="110">
        <v>150</v>
      </c>
      <c r="H154" s="110">
        <v>1293</v>
      </c>
      <c r="I154" s="112">
        <v>1.31</v>
      </c>
      <c r="J154" s="160">
        <v>24</v>
      </c>
      <c r="K154" s="161">
        <v>32.9</v>
      </c>
      <c r="L154" s="162">
        <v>32.9</v>
      </c>
      <c r="M154" s="163">
        <v>0.59</v>
      </c>
      <c r="N154" s="111">
        <v>8.1</v>
      </c>
      <c r="O154" s="117" t="s">
        <v>206</v>
      </c>
      <c r="P154" s="118" t="s">
        <v>216</v>
      </c>
      <c r="Q154" s="119">
        <v>3.7699999999999999E-3</v>
      </c>
      <c r="R154" s="120">
        <v>6.8999999999999997E-4</v>
      </c>
      <c r="S154" s="120">
        <v>6.8999999999999997E-4</v>
      </c>
      <c r="T154" s="110">
        <v>386</v>
      </c>
      <c r="U154" s="118" t="s">
        <v>217</v>
      </c>
      <c r="V154" s="119">
        <v>0</v>
      </c>
      <c r="W154" s="110">
        <v>386</v>
      </c>
      <c r="X154" s="118" t="s">
        <v>217</v>
      </c>
      <c r="Y154" s="165">
        <v>0.49</v>
      </c>
      <c r="Z154" s="115">
        <v>0.5</v>
      </c>
      <c r="AA154" s="128" t="s">
        <v>217</v>
      </c>
      <c r="AB154" s="117" t="s">
        <v>217</v>
      </c>
      <c r="AC154" s="179">
        <v>2</v>
      </c>
      <c r="AD154" s="117" t="s">
        <v>229</v>
      </c>
      <c r="AE154" s="118">
        <v>0.47</v>
      </c>
      <c r="AF154" s="125">
        <v>0.33</v>
      </c>
      <c r="AG154" s="123">
        <v>0</v>
      </c>
      <c r="AH154" s="123">
        <v>0.12</v>
      </c>
      <c r="AI154" s="124">
        <v>0.45</v>
      </c>
      <c r="AJ154" s="125">
        <v>0.35</v>
      </c>
      <c r="AK154" s="123">
        <v>0</v>
      </c>
      <c r="AL154" s="123">
        <v>0</v>
      </c>
      <c r="AM154" s="124">
        <v>0.35</v>
      </c>
      <c r="AN154" s="125">
        <v>0.41</v>
      </c>
      <c r="AO154" s="123">
        <v>0</v>
      </c>
      <c r="AP154" s="123">
        <v>0.3</v>
      </c>
      <c r="AQ154" s="124">
        <v>0.71</v>
      </c>
      <c r="AR154" s="125">
        <v>0.57999999999999996</v>
      </c>
      <c r="AS154" s="123">
        <v>0</v>
      </c>
      <c r="AT154" s="123">
        <v>0.12</v>
      </c>
      <c r="AU154" s="124">
        <v>0.46</v>
      </c>
      <c r="AV154" s="125">
        <v>0.2</v>
      </c>
      <c r="AW154" s="123">
        <v>0</v>
      </c>
      <c r="AX154" s="123">
        <v>0</v>
      </c>
      <c r="AY154" s="124">
        <v>0.2</v>
      </c>
      <c r="AZ154" s="125">
        <v>0.28000000000000003</v>
      </c>
      <c r="BA154" s="123">
        <v>0.36</v>
      </c>
      <c r="BB154" s="123">
        <v>0.04</v>
      </c>
      <c r="BC154" s="124">
        <v>0.68</v>
      </c>
      <c r="BD154" s="126">
        <v>0.22</v>
      </c>
      <c r="BE154" s="125">
        <v>0.45</v>
      </c>
      <c r="BF154" s="123">
        <v>0</v>
      </c>
      <c r="BG154" s="123">
        <v>0.11</v>
      </c>
      <c r="BH154" s="124">
        <v>0.56000000000000005</v>
      </c>
      <c r="BI154" s="125">
        <v>0.3</v>
      </c>
      <c r="BJ154" s="123">
        <v>0</v>
      </c>
      <c r="BK154" s="123">
        <v>0.15</v>
      </c>
      <c r="BL154" s="124">
        <v>0.44</v>
      </c>
      <c r="BM154" s="125">
        <v>1.37</v>
      </c>
      <c r="BN154" s="123">
        <v>1.78</v>
      </c>
      <c r="BO154" s="123">
        <v>0.87</v>
      </c>
      <c r="BP154" s="123">
        <v>1.36</v>
      </c>
      <c r="BQ154" s="123">
        <v>3.1</v>
      </c>
      <c r="BR154" s="123">
        <v>0.91</v>
      </c>
      <c r="BS154" s="123">
        <v>2.84</v>
      </c>
      <c r="BT154" s="123">
        <v>1.1000000000000001</v>
      </c>
      <c r="BU154" s="124">
        <v>1.39</v>
      </c>
      <c r="BV154" s="79">
        <v>2466000</v>
      </c>
      <c r="BW154" s="110">
        <v>150</v>
      </c>
      <c r="BX154" s="110">
        <v>1293</v>
      </c>
      <c r="BY154" s="162">
        <v>32.9</v>
      </c>
      <c r="BZ154" s="111">
        <v>8.1</v>
      </c>
      <c r="CA154" s="120">
        <v>6.8999999999999997E-4</v>
      </c>
      <c r="CB154" s="110">
        <v>386</v>
      </c>
      <c r="CC154" s="119">
        <v>0</v>
      </c>
      <c r="CD154" s="110">
        <v>386</v>
      </c>
      <c r="CE154" s="104">
        <f t="shared" si="8"/>
        <v>5.3527980535279813E-3</v>
      </c>
      <c r="CF154" s="105">
        <f t="shared" si="6"/>
        <v>0.47</v>
      </c>
    </row>
    <row r="155" spans="1:84" ht="24" x14ac:dyDescent="0.25">
      <c r="A155" s="106">
        <v>154</v>
      </c>
      <c r="B155" s="107"/>
      <c r="C155" s="108" t="s">
        <v>372</v>
      </c>
      <c r="D155" s="109">
        <v>1800</v>
      </c>
      <c r="E155" s="110">
        <v>1370</v>
      </c>
      <c r="F155" s="111">
        <f t="shared" si="7"/>
        <v>2466000</v>
      </c>
      <c r="G155" s="110">
        <v>150</v>
      </c>
      <c r="H155" s="110">
        <v>1293</v>
      </c>
      <c r="I155" s="112">
        <v>1.31</v>
      </c>
      <c r="J155" s="160">
        <v>24</v>
      </c>
      <c r="K155" s="161">
        <v>32.9</v>
      </c>
      <c r="L155" s="162">
        <v>32.9</v>
      </c>
      <c r="M155" s="163">
        <v>0.59</v>
      </c>
      <c r="N155" s="111">
        <v>8.1</v>
      </c>
      <c r="O155" s="117" t="s">
        <v>206</v>
      </c>
      <c r="P155" s="118" t="s">
        <v>216</v>
      </c>
      <c r="Q155" s="119">
        <v>3.7699999999999999E-3</v>
      </c>
      <c r="R155" s="120">
        <v>6.8999999999999997E-4</v>
      </c>
      <c r="S155" s="120">
        <v>6.8999999999999997E-4</v>
      </c>
      <c r="T155" s="110">
        <v>386</v>
      </c>
      <c r="U155" s="118" t="s">
        <v>217</v>
      </c>
      <c r="V155" s="119">
        <v>1.48E-3</v>
      </c>
      <c r="W155" s="110">
        <v>386</v>
      </c>
      <c r="X155" s="118" t="s">
        <v>217</v>
      </c>
      <c r="Y155" s="165">
        <v>0.49</v>
      </c>
      <c r="Z155" s="115">
        <v>0.5</v>
      </c>
      <c r="AA155" s="128" t="s">
        <v>217</v>
      </c>
      <c r="AB155" s="117" t="s">
        <v>217</v>
      </c>
      <c r="AC155" s="179">
        <v>2</v>
      </c>
      <c r="AD155" s="117" t="s">
        <v>229</v>
      </c>
      <c r="AE155" s="118">
        <v>0.74</v>
      </c>
      <c r="AF155" s="125">
        <v>0.33</v>
      </c>
      <c r="AG155" s="123">
        <v>0.27</v>
      </c>
      <c r="AH155" s="123">
        <v>0.12</v>
      </c>
      <c r="AI155" s="124">
        <v>0.72</v>
      </c>
      <c r="AJ155" s="125">
        <v>0.35</v>
      </c>
      <c r="AK155" s="123">
        <v>0.51</v>
      </c>
      <c r="AL155" s="123">
        <v>0</v>
      </c>
      <c r="AM155" s="124">
        <v>0.86</v>
      </c>
      <c r="AN155" s="125">
        <v>0.41</v>
      </c>
      <c r="AO155" s="123">
        <v>0.37</v>
      </c>
      <c r="AP155" s="123">
        <v>0.3</v>
      </c>
      <c r="AQ155" s="124">
        <v>1.07</v>
      </c>
      <c r="AR155" s="125">
        <v>0.57999999999999996</v>
      </c>
      <c r="AS155" s="123">
        <v>0.32</v>
      </c>
      <c r="AT155" s="123">
        <v>0.12</v>
      </c>
      <c r="AU155" s="124">
        <v>0.46</v>
      </c>
      <c r="AV155" s="125">
        <v>0.2</v>
      </c>
      <c r="AW155" s="123">
        <v>0.56999999999999995</v>
      </c>
      <c r="AX155" s="123">
        <v>0</v>
      </c>
      <c r="AY155" s="124">
        <v>0.77</v>
      </c>
      <c r="AZ155" s="125">
        <v>0.28000000000000003</v>
      </c>
      <c r="BA155" s="123">
        <v>0.89</v>
      </c>
      <c r="BB155" s="123">
        <v>0.04</v>
      </c>
      <c r="BC155" s="124">
        <v>1.21</v>
      </c>
      <c r="BD155" s="126">
        <v>0.4</v>
      </c>
      <c r="BE155" s="125">
        <v>0.45</v>
      </c>
      <c r="BF155" s="123">
        <v>0</v>
      </c>
      <c r="BG155" s="123">
        <v>0.11</v>
      </c>
      <c r="BH155" s="124">
        <v>0.56000000000000005</v>
      </c>
      <c r="BI155" s="125">
        <v>0.3</v>
      </c>
      <c r="BJ155" s="123">
        <v>0.34</v>
      </c>
      <c r="BK155" s="123">
        <v>0.15</v>
      </c>
      <c r="BL155" s="124">
        <v>0.79</v>
      </c>
      <c r="BM155" s="125">
        <v>1.35</v>
      </c>
      <c r="BN155" s="123">
        <v>1.1299999999999999</v>
      </c>
      <c r="BO155" s="123">
        <v>0.91</v>
      </c>
      <c r="BP155" s="123">
        <v>2.13</v>
      </c>
      <c r="BQ155" s="123">
        <v>1.26</v>
      </c>
      <c r="BR155" s="123">
        <v>0.81</v>
      </c>
      <c r="BS155" s="123">
        <v>2.4</v>
      </c>
      <c r="BT155" s="123">
        <v>1.73</v>
      </c>
      <c r="BU155" s="124">
        <v>1.24</v>
      </c>
      <c r="BV155" s="79">
        <v>2466000</v>
      </c>
      <c r="BW155" s="110">
        <v>150</v>
      </c>
      <c r="BX155" s="110">
        <v>1293</v>
      </c>
      <c r="BY155" s="162">
        <v>32.9</v>
      </c>
      <c r="BZ155" s="111">
        <v>8.1</v>
      </c>
      <c r="CA155" s="120">
        <v>6.8999999999999997E-4</v>
      </c>
      <c r="CB155" s="110">
        <v>386</v>
      </c>
      <c r="CC155" s="119">
        <v>1.48E-3</v>
      </c>
      <c r="CD155" s="110">
        <v>386</v>
      </c>
      <c r="CE155" s="104">
        <f t="shared" si="8"/>
        <v>8.4184914841849146E-3</v>
      </c>
      <c r="CF155" s="105">
        <f t="shared" si="6"/>
        <v>0.74</v>
      </c>
    </row>
    <row r="156" spans="1:84" ht="24" x14ac:dyDescent="0.25">
      <c r="A156" s="106">
        <v>155</v>
      </c>
      <c r="B156" s="107"/>
      <c r="C156" s="108" t="s">
        <v>373</v>
      </c>
      <c r="D156" s="109">
        <v>1800</v>
      </c>
      <c r="E156" s="110">
        <v>1370</v>
      </c>
      <c r="F156" s="111">
        <f t="shared" si="7"/>
        <v>2466000</v>
      </c>
      <c r="G156" s="110">
        <v>150</v>
      </c>
      <c r="H156" s="110">
        <v>1293</v>
      </c>
      <c r="I156" s="112">
        <v>1.31</v>
      </c>
      <c r="J156" s="160">
        <v>24</v>
      </c>
      <c r="K156" s="161">
        <v>32.9</v>
      </c>
      <c r="L156" s="162">
        <v>32.9</v>
      </c>
      <c r="M156" s="163">
        <v>0.59</v>
      </c>
      <c r="N156" s="111">
        <v>8.1</v>
      </c>
      <c r="O156" s="117" t="s">
        <v>206</v>
      </c>
      <c r="P156" s="118" t="s">
        <v>216</v>
      </c>
      <c r="Q156" s="119">
        <v>3.7699999999999999E-3</v>
      </c>
      <c r="R156" s="120">
        <v>6.8999999999999997E-4</v>
      </c>
      <c r="S156" s="120">
        <v>6.8999999999999997E-4</v>
      </c>
      <c r="T156" s="110">
        <v>386</v>
      </c>
      <c r="U156" s="118" t="s">
        <v>217</v>
      </c>
      <c r="V156" s="119">
        <v>2.2200000000000002E-3</v>
      </c>
      <c r="W156" s="110">
        <v>386</v>
      </c>
      <c r="X156" s="118" t="s">
        <v>217</v>
      </c>
      <c r="Y156" s="165">
        <v>0.49</v>
      </c>
      <c r="Z156" s="115">
        <v>0.5</v>
      </c>
      <c r="AA156" s="128" t="s">
        <v>217</v>
      </c>
      <c r="AB156" s="117" t="s">
        <v>217</v>
      </c>
      <c r="AC156" s="179">
        <v>2</v>
      </c>
      <c r="AD156" s="117" t="s">
        <v>229</v>
      </c>
      <c r="AE156" s="118">
        <v>0.84</v>
      </c>
      <c r="AF156" s="125">
        <v>0.33</v>
      </c>
      <c r="AG156" s="123">
        <v>0.4</v>
      </c>
      <c r="AH156" s="123">
        <v>0.12</v>
      </c>
      <c r="AI156" s="124">
        <v>0.86</v>
      </c>
      <c r="AJ156" s="125">
        <v>0.35</v>
      </c>
      <c r="AK156" s="123">
        <v>0.77</v>
      </c>
      <c r="AL156" s="123">
        <v>0</v>
      </c>
      <c r="AM156" s="124">
        <v>1.1200000000000001</v>
      </c>
      <c r="AN156" s="125">
        <v>0.41</v>
      </c>
      <c r="AO156" s="123">
        <v>0.55000000000000004</v>
      </c>
      <c r="AP156" s="123">
        <v>0.3</v>
      </c>
      <c r="AQ156" s="124">
        <v>1.26</v>
      </c>
      <c r="AR156" s="125">
        <v>0.57999999999999996</v>
      </c>
      <c r="AS156" s="123">
        <v>0.48</v>
      </c>
      <c r="AT156" s="123">
        <v>0.12</v>
      </c>
      <c r="AU156" s="124">
        <v>0.46</v>
      </c>
      <c r="AV156" s="125">
        <v>0.2</v>
      </c>
      <c r="AW156" s="123">
        <v>0.86</v>
      </c>
      <c r="AX156" s="123">
        <v>0</v>
      </c>
      <c r="AY156" s="124">
        <v>1.06</v>
      </c>
      <c r="AZ156" s="125">
        <v>0.28000000000000003</v>
      </c>
      <c r="BA156" s="123">
        <v>1.01</v>
      </c>
      <c r="BB156" s="123">
        <v>0.04</v>
      </c>
      <c r="BC156" s="124">
        <v>1.32</v>
      </c>
      <c r="BD156" s="126">
        <v>0.4</v>
      </c>
      <c r="BE156" s="125">
        <v>0.45</v>
      </c>
      <c r="BF156" s="123">
        <v>0</v>
      </c>
      <c r="BG156" s="123">
        <v>0.11</v>
      </c>
      <c r="BH156" s="124">
        <v>0.56000000000000005</v>
      </c>
      <c r="BI156" s="125">
        <v>0.3</v>
      </c>
      <c r="BJ156" s="123">
        <v>0.22</v>
      </c>
      <c r="BK156" s="123">
        <v>0.15</v>
      </c>
      <c r="BL156" s="124">
        <v>0.66</v>
      </c>
      <c r="BM156" s="125">
        <v>1.29</v>
      </c>
      <c r="BN156" s="123">
        <v>0.99</v>
      </c>
      <c r="BO156" s="123">
        <v>0.88</v>
      </c>
      <c r="BP156" s="123">
        <v>2.42</v>
      </c>
      <c r="BQ156" s="123">
        <v>1.05</v>
      </c>
      <c r="BR156" s="123">
        <v>0.83</v>
      </c>
      <c r="BS156" s="123">
        <v>2.73</v>
      </c>
      <c r="BT156" s="123">
        <v>1.96</v>
      </c>
      <c r="BU156" s="124">
        <v>1.66</v>
      </c>
      <c r="BV156" s="79">
        <v>2466000</v>
      </c>
      <c r="BW156" s="110">
        <v>150</v>
      </c>
      <c r="BX156" s="110">
        <v>1293</v>
      </c>
      <c r="BY156" s="162">
        <v>32.9</v>
      </c>
      <c r="BZ156" s="111">
        <v>8.1</v>
      </c>
      <c r="CA156" s="120">
        <v>6.8999999999999997E-4</v>
      </c>
      <c r="CB156" s="110">
        <v>386</v>
      </c>
      <c r="CC156" s="119">
        <v>2.2200000000000002E-3</v>
      </c>
      <c r="CD156" s="110">
        <v>386</v>
      </c>
      <c r="CE156" s="104">
        <f t="shared" si="8"/>
        <v>9.5377128953771286E-3</v>
      </c>
      <c r="CF156" s="105">
        <f t="shared" si="6"/>
        <v>0.84</v>
      </c>
    </row>
    <row r="157" spans="1:84" ht="24" x14ac:dyDescent="0.25">
      <c r="A157" s="106">
        <v>156</v>
      </c>
      <c r="B157" s="107"/>
      <c r="C157" s="108" t="s">
        <v>374</v>
      </c>
      <c r="D157" s="109">
        <v>1800</v>
      </c>
      <c r="E157" s="110">
        <v>1370</v>
      </c>
      <c r="F157" s="111">
        <f t="shared" si="7"/>
        <v>2466000</v>
      </c>
      <c r="G157" s="110">
        <v>150</v>
      </c>
      <c r="H157" s="110">
        <v>1293</v>
      </c>
      <c r="I157" s="112">
        <v>1.31</v>
      </c>
      <c r="J157" s="160">
        <v>24</v>
      </c>
      <c r="K157" s="161">
        <v>32.9</v>
      </c>
      <c r="L157" s="162">
        <v>32.9</v>
      </c>
      <c r="M157" s="163">
        <v>0.59</v>
      </c>
      <c r="N157" s="111">
        <v>8.1</v>
      </c>
      <c r="O157" s="117" t="s">
        <v>206</v>
      </c>
      <c r="P157" s="118" t="s">
        <v>216</v>
      </c>
      <c r="Q157" s="119">
        <v>3.7699999999999999E-3</v>
      </c>
      <c r="R157" s="120">
        <v>6.8999999999999997E-4</v>
      </c>
      <c r="S157" s="120">
        <v>6.8999999999999997E-4</v>
      </c>
      <c r="T157" s="110">
        <v>386</v>
      </c>
      <c r="U157" s="118" t="s">
        <v>217</v>
      </c>
      <c r="V157" s="119">
        <v>3.3500000000000001E-3</v>
      </c>
      <c r="W157" s="110">
        <v>386</v>
      </c>
      <c r="X157" s="118" t="s">
        <v>217</v>
      </c>
      <c r="Y157" s="165">
        <v>0.49</v>
      </c>
      <c r="Z157" s="115">
        <v>0.5</v>
      </c>
      <c r="AA157" s="128" t="s">
        <v>217</v>
      </c>
      <c r="AB157" s="117" t="s">
        <v>217</v>
      </c>
      <c r="AC157" s="179">
        <v>2</v>
      </c>
      <c r="AD157" s="117" t="s">
        <v>229</v>
      </c>
      <c r="AE157" s="118">
        <v>0.95</v>
      </c>
      <c r="AF157" s="125">
        <v>0.33</v>
      </c>
      <c r="AG157" s="123">
        <v>0.61</v>
      </c>
      <c r="AH157" s="123">
        <v>0.12</v>
      </c>
      <c r="AI157" s="124">
        <v>1.06</v>
      </c>
      <c r="AJ157" s="125">
        <v>0.35</v>
      </c>
      <c r="AK157" s="123">
        <v>1.1599999999999999</v>
      </c>
      <c r="AL157" s="123">
        <v>0</v>
      </c>
      <c r="AM157" s="124">
        <v>1.51</v>
      </c>
      <c r="AN157" s="125">
        <v>0.41</v>
      </c>
      <c r="AO157" s="123">
        <v>0.83</v>
      </c>
      <c r="AP157" s="123">
        <v>0.3</v>
      </c>
      <c r="AQ157" s="124">
        <v>1.28</v>
      </c>
      <c r="AR157" s="125">
        <v>0.57999999999999996</v>
      </c>
      <c r="AS157" s="123">
        <v>0.73</v>
      </c>
      <c r="AT157" s="123">
        <v>0.12</v>
      </c>
      <c r="AU157" s="124">
        <v>0.46</v>
      </c>
      <c r="AV157" s="125">
        <v>0.2</v>
      </c>
      <c r="AW157" s="123">
        <v>1.29</v>
      </c>
      <c r="AX157" s="123">
        <v>0</v>
      </c>
      <c r="AY157" s="124">
        <v>1.49</v>
      </c>
      <c r="AZ157" s="125">
        <v>0.28000000000000003</v>
      </c>
      <c r="BA157" s="123">
        <v>1.1499999999999999</v>
      </c>
      <c r="BB157" s="123">
        <v>0.04</v>
      </c>
      <c r="BC157" s="124">
        <v>1.47</v>
      </c>
      <c r="BD157" s="126">
        <v>0.4</v>
      </c>
      <c r="BE157" s="125">
        <v>0.45</v>
      </c>
      <c r="BF157" s="123">
        <v>0</v>
      </c>
      <c r="BG157" s="123">
        <v>0.11</v>
      </c>
      <c r="BH157" s="124">
        <v>0.56000000000000005</v>
      </c>
      <c r="BI157" s="125">
        <v>0.3</v>
      </c>
      <c r="BJ157" s="123">
        <v>0.26</v>
      </c>
      <c r="BK157" s="123">
        <v>0.15</v>
      </c>
      <c r="BL157" s="124">
        <v>0.7</v>
      </c>
      <c r="BM157" s="125">
        <v>1.18</v>
      </c>
      <c r="BN157" s="123">
        <v>0.83</v>
      </c>
      <c r="BO157" s="123">
        <v>0.97</v>
      </c>
      <c r="BP157" s="123">
        <v>2.74</v>
      </c>
      <c r="BQ157" s="123">
        <v>0.84</v>
      </c>
      <c r="BR157" s="123">
        <v>0.85</v>
      </c>
      <c r="BS157" s="123">
        <v>3.08</v>
      </c>
      <c r="BT157" s="123">
        <v>2.2200000000000002</v>
      </c>
      <c r="BU157" s="124">
        <v>1.78</v>
      </c>
      <c r="BV157" s="79">
        <v>2466000</v>
      </c>
      <c r="BW157" s="110">
        <v>150</v>
      </c>
      <c r="BX157" s="110">
        <v>1293</v>
      </c>
      <c r="BY157" s="162">
        <v>32.9</v>
      </c>
      <c r="BZ157" s="111">
        <v>8.1</v>
      </c>
      <c r="CA157" s="120">
        <v>6.8999999999999997E-4</v>
      </c>
      <c r="CB157" s="110">
        <v>386</v>
      </c>
      <c r="CC157" s="119">
        <v>3.3500000000000001E-3</v>
      </c>
      <c r="CD157" s="110">
        <v>386</v>
      </c>
      <c r="CE157" s="104">
        <f t="shared" si="8"/>
        <v>1.0802919708029197E-2</v>
      </c>
      <c r="CF157" s="105">
        <f t="shared" si="6"/>
        <v>0.95</v>
      </c>
    </row>
    <row r="158" spans="1:84" ht="24" x14ac:dyDescent="0.25">
      <c r="A158" s="106">
        <v>157</v>
      </c>
      <c r="B158" s="107"/>
      <c r="C158" s="108" t="s">
        <v>375</v>
      </c>
      <c r="D158" s="109">
        <v>1800</v>
      </c>
      <c r="E158" s="110">
        <v>1370</v>
      </c>
      <c r="F158" s="111">
        <f t="shared" si="7"/>
        <v>2466000</v>
      </c>
      <c r="G158" s="110">
        <v>150</v>
      </c>
      <c r="H158" s="110">
        <v>1293</v>
      </c>
      <c r="I158" s="112">
        <v>1.31</v>
      </c>
      <c r="J158" s="160">
        <v>24</v>
      </c>
      <c r="K158" s="161">
        <v>32.9</v>
      </c>
      <c r="L158" s="162">
        <v>32.9</v>
      </c>
      <c r="M158" s="163">
        <v>0.59</v>
      </c>
      <c r="N158" s="111">
        <v>8.1</v>
      </c>
      <c r="O158" s="117" t="s">
        <v>206</v>
      </c>
      <c r="P158" s="118" t="s">
        <v>216</v>
      </c>
      <c r="Q158" s="119">
        <v>1.4E-3</v>
      </c>
      <c r="R158" s="120">
        <v>6.8999999999999997E-4</v>
      </c>
      <c r="S158" s="120">
        <v>6.8999999999999997E-4</v>
      </c>
      <c r="T158" s="110">
        <v>386</v>
      </c>
      <c r="U158" s="118" t="s">
        <v>217</v>
      </c>
      <c r="V158" s="119">
        <v>7.1000000000000002E-4</v>
      </c>
      <c r="W158" s="110">
        <v>386</v>
      </c>
      <c r="X158" s="118" t="s">
        <v>217</v>
      </c>
      <c r="Y158" s="165">
        <v>0.49</v>
      </c>
      <c r="Z158" s="115">
        <v>0.5</v>
      </c>
      <c r="AA158" s="128" t="s">
        <v>217</v>
      </c>
      <c r="AB158" s="117" t="s">
        <v>217</v>
      </c>
      <c r="AC158" s="179">
        <v>2</v>
      </c>
      <c r="AD158" s="117" t="s">
        <v>229</v>
      </c>
      <c r="AE158" s="118">
        <v>0.68</v>
      </c>
      <c r="AF158" s="125">
        <v>0.33</v>
      </c>
      <c r="AG158" s="123">
        <v>0.13</v>
      </c>
      <c r="AH158" s="123">
        <v>0.12</v>
      </c>
      <c r="AI158" s="124">
        <v>0.57999999999999996</v>
      </c>
      <c r="AJ158" s="125">
        <v>0.35</v>
      </c>
      <c r="AK158" s="123">
        <v>0.25</v>
      </c>
      <c r="AL158" s="123">
        <v>0</v>
      </c>
      <c r="AM158" s="124">
        <v>0.59</v>
      </c>
      <c r="AN158" s="125">
        <v>0.41</v>
      </c>
      <c r="AO158" s="123">
        <v>0.18</v>
      </c>
      <c r="AP158" s="123">
        <v>0.3</v>
      </c>
      <c r="AQ158" s="124">
        <v>0.88</v>
      </c>
      <c r="AR158" s="125">
        <v>0.57999999999999996</v>
      </c>
      <c r="AS158" s="123">
        <v>0.16</v>
      </c>
      <c r="AT158" s="123">
        <v>0.12</v>
      </c>
      <c r="AU158" s="124">
        <v>0.46</v>
      </c>
      <c r="AV158" s="125">
        <v>0.2</v>
      </c>
      <c r="AW158" s="123">
        <v>0.27</v>
      </c>
      <c r="AX158" s="123">
        <v>0</v>
      </c>
      <c r="AY158" s="124">
        <v>0.47</v>
      </c>
      <c r="AZ158" s="125">
        <v>0.22</v>
      </c>
      <c r="BA158" s="123">
        <v>0.72</v>
      </c>
      <c r="BB158" s="123">
        <v>0.04</v>
      </c>
      <c r="BC158" s="124">
        <v>0.99</v>
      </c>
      <c r="BD158" s="126">
        <v>0.4</v>
      </c>
      <c r="BE158" s="125">
        <v>0.45</v>
      </c>
      <c r="BF158" s="123">
        <v>0</v>
      </c>
      <c r="BG158" s="123">
        <v>0.11</v>
      </c>
      <c r="BH158" s="124">
        <v>0.56000000000000005</v>
      </c>
      <c r="BI158" s="125">
        <v>0.3</v>
      </c>
      <c r="BJ158" s="123">
        <v>0.16</v>
      </c>
      <c r="BK158" s="123">
        <v>0.15</v>
      </c>
      <c r="BL158" s="124">
        <v>0.61</v>
      </c>
      <c r="BM158" s="125">
        <v>1.53</v>
      </c>
      <c r="BN158" s="123">
        <v>1.49</v>
      </c>
      <c r="BO158" s="123">
        <v>1</v>
      </c>
      <c r="BP158" s="123">
        <v>1.95</v>
      </c>
      <c r="BQ158" s="123">
        <v>1.87</v>
      </c>
      <c r="BR158" s="123">
        <v>0.9</v>
      </c>
      <c r="BS158" s="123">
        <v>2.19</v>
      </c>
      <c r="BT158" s="123">
        <v>1.57</v>
      </c>
      <c r="BU158" s="124">
        <v>1.46</v>
      </c>
      <c r="BV158" s="79">
        <v>2466000</v>
      </c>
      <c r="BW158" s="110">
        <v>150</v>
      </c>
      <c r="BX158" s="110">
        <v>1293</v>
      </c>
      <c r="BY158" s="162">
        <v>32.9</v>
      </c>
      <c r="BZ158" s="111">
        <v>8.1</v>
      </c>
      <c r="CA158" s="120">
        <v>6.8999999999999997E-4</v>
      </c>
      <c r="CB158" s="110">
        <v>386</v>
      </c>
      <c r="CC158" s="119">
        <v>7.1000000000000002E-4</v>
      </c>
      <c r="CD158" s="110">
        <v>386</v>
      </c>
      <c r="CE158" s="104">
        <f t="shared" si="8"/>
        <v>7.6399026763990276E-3</v>
      </c>
      <c r="CF158" s="105">
        <f t="shared" si="6"/>
        <v>0.68</v>
      </c>
    </row>
    <row r="159" spans="1:84" ht="24" x14ac:dyDescent="0.25">
      <c r="A159" s="106">
        <v>158</v>
      </c>
      <c r="B159" s="107"/>
      <c r="C159" s="108" t="s">
        <v>376</v>
      </c>
      <c r="D159" s="109">
        <v>1800</v>
      </c>
      <c r="E159" s="110">
        <v>1320</v>
      </c>
      <c r="F159" s="111">
        <f t="shared" si="7"/>
        <v>2376000</v>
      </c>
      <c r="G159" s="110">
        <v>150</v>
      </c>
      <c r="H159" s="110">
        <v>1255</v>
      </c>
      <c r="I159" s="112">
        <v>1.36</v>
      </c>
      <c r="J159" s="160">
        <v>24</v>
      </c>
      <c r="K159" s="161">
        <v>32.9</v>
      </c>
      <c r="L159" s="162">
        <v>32.9</v>
      </c>
      <c r="M159" s="163">
        <v>0.96</v>
      </c>
      <c r="N159" s="111">
        <v>15.6</v>
      </c>
      <c r="O159" s="117" t="s">
        <v>206</v>
      </c>
      <c r="P159" s="118" t="s">
        <v>216</v>
      </c>
      <c r="Q159" s="119">
        <v>3.9100000000000003E-3</v>
      </c>
      <c r="R159" s="120">
        <v>7.2000000000000005E-4</v>
      </c>
      <c r="S159" s="120">
        <v>7.2000000000000005E-4</v>
      </c>
      <c r="T159" s="110">
        <v>386</v>
      </c>
      <c r="U159" s="118" t="s">
        <v>217</v>
      </c>
      <c r="V159" s="119">
        <v>0</v>
      </c>
      <c r="W159" s="110">
        <v>386</v>
      </c>
      <c r="X159" s="118" t="s">
        <v>217</v>
      </c>
      <c r="Y159" s="165">
        <v>0.98</v>
      </c>
      <c r="Z159" s="115">
        <v>0.5</v>
      </c>
      <c r="AA159" s="128" t="s">
        <v>217</v>
      </c>
      <c r="AB159" s="117" t="s">
        <v>217</v>
      </c>
      <c r="AC159" s="179">
        <v>2</v>
      </c>
      <c r="AD159" s="117" t="s">
        <v>229</v>
      </c>
      <c r="AE159" s="118">
        <v>0.8</v>
      </c>
      <c r="AF159" s="125">
        <v>0.45</v>
      </c>
      <c r="AG159" s="123">
        <v>0</v>
      </c>
      <c r="AH159" s="123">
        <v>0.25</v>
      </c>
      <c r="AI159" s="124">
        <v>0.7</v>
      </c>
      <c r="AJ159" s="125">
        <v>0.48</v>
      </c>
      <c r="AK159" s="123">
        <v>0</v>
      </c>
      <c r="AL159" s="123">
        <v>0</v>
      </c>
      <c r="AM159" s="124">
        <v>0.48</v>
      </c>
      <c r="AN159" s="125">
        <v>0.56000000000000005</v>
      </c>
      <c r="AO159" s="123">
        <v>0</v>
      </c>
      <c r="AP159" s="123">
        <v>0.59</v>
      </c>
      <c r="AQ159" s="124">
        <v>1.1399999999999999</v>
      </c>
      <c r="AR159" s="125">
        <v>0.79</v>
      </c>
      <c r="AS159" s="123">
        <v>0</v>
      </c>
      <c r="AT159" s="123">
        <v>0.25</v>
      </c>
      <c r="AU159" s="124">
        <v>0.63</v>
      </c>
      <c r="AV159" s="125">
        <v>0.27</v>
      </c>
      <c r="AW159" s="123">
        <v>0</v>
      </c>
      <c r="AX159" s="123">
        <v>0</v>
      </c>
      <c r="AY159" s="124">
        <v>0.27</v>
      </c>
      <c r="AZ159" s="125">
        <v>0.37</v>
      </c>
      <c r="BA159" s="123">
        <v>0.37</v>
      </c>
      <c r="BB159" s="123">
        <v>0.08</v>
      </c>
      <c r="BC159" s="124">
        <v>0.82</v>
      </c>
      <c r="BD159" s="126">
        <v>0.22</v>
      </c>
      <c r="BE159" s="125">
        <v>0.71</v>
      </c>
      <c r="BF159" s="123">
        <v>0</v>
      </c>
      <c r="BG159" s="123">
        <v>0.23</v>
      </c>
      <c r="BH159" s="124">
        <v>0.93</v>
      </c>
      <c r="BI159" s="125">
        <v>0.48</v>
      </c>
      <c r="BJ159" s="123">
        <v>0</v>
      </c>
      <c r="BK159" s="123">
        <v>0.28999999999999998</v>
      </c>
      <c r="BL159" s="124">
        <v>0.78</v>
      </c>
      <c r="BM159" s="125">
        <v>1.57</v>
      </c>
      <c r="BN159" s="123">
        <v>2.25</v>
      </c>
      <c r="BO159" s="123">
        <v>0.95</v>
      </c>
      <c r="BP159" s="123">
        <v>1.73</v>
      </c>
      <c r="BQ159" s="123">
        <v>4.0199999999999996</v>
      </c>
      <c r="BR159" s="123">
        <v>1.34</v>
      </c>
      <c r="BS159" s="123">
        <v>5.0599999999999996</v>
      </c>
      <c r="BT159" s="123">
        <v>1.17</v>
      </c>
      <c r="BU159" s="124">
        <v>1.41</v>
      </c>
      <c r="BV159" s="79">
        <v>2376000</v>
      </c>
      <c r="BW159" s="110">
        <v>150</v>
      </c>
      <c r="BX159" s="110">
        <v>1255</v>
      </c>
      <c r="BY159" s="162">
        <v>32.9</v>
      </c>
      <c r="BZ159" s="111">
        <v>15.6</v>
      </c>
      <c r="CA159" s="120">
        <v>7.2000000000000005E-4</v>
      </c>
      <c r="CB159" s="110">
        <v>386</v>
      </c>
      <c r="CC159" s="119">
        <v>0</v>
      </c>
      <c r="CD159" s="110">
        <v>386</v>
      </c>
      <c r="CE159" s="104">
        <f t="shared" si="8"/>
        <v>5.9090909090909081E-3</v>
      </c>
      <c r="CF159" s="105">
        <f t="shared" si="6"/>
        <v>0.8</v>
      </c>
    </row>
    <row r="160" spans="1:84" ht="24" x14ac:dyDescent="0.25">
      <c r="A160" s="106">
        <v>159</v>
      </c>
      <c r="B160" s="107"/>
      <c r="C160" s="108" t="s">
        <v>377</v>
      </c>
      <c r="D160" s="109">
        <v>1800</v>
      </c>
      <c r="E160" s="110">
        <v>1320</v>
      </c>
      <c r="F160" s="111">
        <f t="shared" si="7"/>
        <v>2376000</v>
      </c>
      <c r="G160" s="110">
        <v>150</v>
      </c>
      <c r="H160" s="110">
        <v>1255</v>
      </c>
      <c r="I160" s="112">
        <v>1.36</v>
      </c>
      <c r="J160" s="160">
        <v>24</v>
      </c>
      <c r="K160" s="161">
        <v>32.9</v>
      </c>
      <c r="L160" s="162">
        <v>32.9</v>
      </c>
      <c r="M160" s="163">
        <v>0.59</v>
      </c>
      <c r="N160" s="111">
        <v>8.1</v>
      </c>
      <c r="O160" s="117" t="s">
        <v>206</v>
      </c>
      <c r="P160" s="118" t="s">
        <v>216</v>
      </c>
      <c r="Q160" s="119">
        <v>3.9100000000000003E-3</v>
      </c>
      <c r="R160" s="120">
        <v>7.2000000000000005E-4</v>
      </c>
      <c r="S160" s="120">
        <v>7.2000000000000005E-4</v>
      </c>
      <c r="T160" s="110">
        <v>386</v>
      </c>
      <c r="U160" s="118" t="s">
        <v>217</v>
      </c>
      <c r="V160" s="119">
        <v>0</v>
      </c>
      <c r="W160" s="110">
        <v>386</v>
      </c>
      <c r="X160" s="118" t="s">
        <v>217</v>
      </c>
      <c r="Y160" s="165">
        <v>0.98</v>
      </c>
      <c r="Z160" s="115">
        <v>0.5</v>
      </c>
      <c r="AA160" s="128" t="s">
        <v>217</v>
      </c>
      <c r="AB160" s="117" t="s">
        <v>217</v>
      </c>
      <c r="AC160" s="179">
        <v>2</v>
      </c>
      <c r="AD160" s="117" t="s">
        <v>229</v>
      </c>
      <c r="AE160" s="118">
        <v>0.44</v>
      </c>
      <c r="AF160" s="125">
        <v>0.32</v>
      </c>
      <c r="AG160" s="123">
        <v>0</v>
      </c>
      <c r="AH160" s="123">
        <v>0.25</v>
      </c>
      <c r="AI160" s="124">
        <v>0.56999999999999995</v>
      </c>
      <c r="AJ160" s="125">
        <v>0.48</v>
      </c>
      <c r="AK160" s="123">
        <v>0</v>
      </c>
      <c r="AL160" s="123">
        <v>0</v>
      </c>
      <c r="AM160" s="124">
        <v>0.48</v>
      </c>
      <c r="AN160" s="125">
        <v>0.4</v>
      </c>
      <c r="AO160" s="123">
        <v>0</v>
      </c>
      <c r="AP160" s="123">
        <v>0.56000000000000005</v>
      </c>
      <c r="AQ160" s="124">
        <v>0.96</v>
      </c>
      <c r="AR160" s="125">
        <v>0.56999999999999995</v>
      </c>
      <c r="AS160" s="123">
        <v>0</v>
      </c>
      <c r="AT160" s="123">
        <v>0.25</v>
      </c>
      <c r="AU160" s="124">
        <v>0.46</v>
      </c>
      <c r="AV160" s="125">
        <v>0.2</v>
      </c>
      <c r="AW160" s="123">
        <v>0</v>
      </c>
      <c r="AX160" s="123">
        <v>0</v>
      </c>
      <c r="AY160" s="124">
        <v>0.2</v>
      </c>
      <c r="AZ160" s="125">
        <v>0.28000000000000003</v>
      </c>
      <c r="BA160" s="123">
        <v>0.37</v>
      </c>
      <c r="BB160" s="123">
        <v>0.08</v>
      </c>
      <c r="BC160" s="124">
        <v>0.73</v>
      </c>
      <c r="BD160" s="126">
        <v>0.22</v>
      </c>
      <c r="BE160" s="125">
        <v>0.43</v>
      </c>
      <c r="BF160" s="123">
        <v>0</v>
      </c>
      <c r="BG160" s="123">
        <v>0.23</v>
      </c>
      <c r="BH160" s="124">
        <v>0.66</v>
      </c>
      <c r="BI160" s="125">
        <v>0.3</v>
      </c>
      <c r="BJ160" s="123">
        <v>0</v>
      </c>
      <c r="BK160" s="123">
        <v>0.28999999999999998</v>
      </c>
      <c r="BL160" s="124">
        <v>0.59</v>
      </c>
      <c r="BM160" s="125">
        <v>1.05</v>
      </c>
      <c r="BN160" s="123">
        <v>1.24</v>
      </c>
      <c r="BO160" s="123">
        <v>0.62</v>
      </c>
      <c r="BP160" s="123">
        <v>1.32</v>
      </c>
      <c r="BQ160" s="123">
        <v>3.07</v>
      </c>
      <c r="BR160" s="123">
        <v>0.82</v>
      </c>
      <c r="BS160" s="123">
        <v>2.78</v>
      </c>
      <c r="BT160" s="123">
        <v>0.91</v>
      </c>
      <c r="BU160" s="124">
        <v>1.02</v>
      </c>
      <c r="BV160" s="79">
        <v>2376000</v>
      </c>
      <c r="BW160" s="110">
        <v>150</v>
      </c>
      <c r="BX160" s="110">
        <v>1255</v>
      </c>
      <c r="BY160" s="162">
        <v>32.9</v>
      </c>
      <c r="BZ160" s="111">
        <v>8.1</v>
      </c>
      <c r="CA160" s="120">
        <v>7.2000000000000005E-4</v>
      </c>
      <c r="CB160" s="110">
        <v>386</v>
      </c>
      <c r="CC160" s="119">
        <v>0</v>
      </c>
      <c r="CD160" s="110">
        <v>386</v>
      </c>
      <c r="CE160" s="104">
        <f t="shared" si="8"/>
        <v>4.5959595959595961E-3</v>
      </c>
      <c r="CF160" s="105">
        <f t="shared" si="6"/>
        <v>0.44</v>
      </c>
    </row>
    <row r="161" spans="1:84" ht="24" x14ac:dyDescent="0.25">
      <c r="A161" s="106">
        <v>160</v>
      </c>
      <c r="B161" s="107"/>
      <c r="C161" s="108" t="s">
        <v>378</v>
      </c>
      <c r="D161" s="109">
        <v>1800</v>
      </c>
      <c r="E161" s="110">
        <v>1320</v>
      </c>
      <c r="F161" s="111">
        <f t="shared" si="7"/>
        <v>2376000</v>
      </c>
      <c r="G161" s="110">
        <v>150</v>
      </c>
      <c r="H161" s="110">
        <v>1255</v>
      </c>
      <c r="I161" s="112">
        <v>1.36</v>
      </c>
      <c r="J161" s="160">
        <v>24</v>
      </c>
      <c r="K161" s="161">
        <v>32.9</v>
      </c>
      <c r="L161" s="162">
        <v>32.9</v>
      </c>
      <c r="M161" s="163">
        <v>0.96</v>
      </c>
      <c r="N161" s="111">
        <v>15.6</v>
      </c>
      <c r="O161" s="117" t="s">
        <v>206</v>
      </c>
      <c r="P161" s="118" t="s">
        <v>216</v>
      </c>
      <c r="Q161" s="119">
        <v>3.9100000000000003E-3</v>
      </c>
      <c r="R161" s="120">
        <v>7.2000000000000005E-4</v>
      </c>
      <c r="S161" s="120">
        <v>7.2000000000000005E-4</v>
      </c>
      <c r="T161" s="110">
        <v>386</v>
      </c>
      <c r="U161" s="118" t="s">
        <v>217</v>
      </c>
      <c r="V161" s="119">
        <v>1.48E-3</v>
      </c>
      <c r="W161" s="110">
        <v>386</v>
      </c>
      <c r="X161" s="118" t="s">
        <v>217</v>
      </c>
      <c r="Y161" s="165">
        <v>0.98</v>
      </c>
      <c r="Z161" s="115">
        <v>0.5</v>
      </c>
      <c r="AA161" s="128" t="s">
        <v>217</v>
      </c>
      <c r="AB161" s="117" t="s">
        <v>217</v>
      </c>
      <c r="AC161" s="179">
        <v>2</v>
      </c>
      <c r="AD161" s="117" t="s">
        <v>229</v>
      </c>
      <c r="AE161" s="118">
        <v>0.85</v>
      </c>
      <c r="AF161" s="125">
        <v>0.45</v>
      </c>
      <c r="AG161" s="123">
        <v>0.27</v>
      </c>
      <c r="AH161" s="123">
        <v>0.25</v>
      </c>
      <c r="AI161" s="124">
        <v>0.97</v>
      </c>
      <c r="AJ161" s="125">
        <v>0.48</v>
      </c>
      <c r="AK161" s="123">
        <v>0.51</v>
      </c>
      <c r="AL161" s="123">
        <v>0</v>
      </c>
      <c r="AM161" s="124">
        <v>1</v>
      </c>
      <c r="AN161" s="125">
        <v>0.56000000000000005</v>
      </c>
      <c r="AO161" s="123">
        <v>0.37</v>
      </c>
      <c r="AP161" s="123">
        <v>0.59</v>
      </c>
      <c r="AQ161" s="124">
        <v>1.51</v>
      </c>
      <c r="AR161" s="125">
        <v>0.79</v>
      </c>
      <c r="AS161" s="123">
        <v>0.33</v>
      </c>
      <c r="AT161" s="123">
        <v>0.25</v>
      </c>
      <c r="AU161" s="124">
        <v>0.63</v>
      </c>
      <c r="AV161" s="125">
        <v>0.27</v>
      </c>
      <c r="AW161" s="123">
        <v>0.56999999999999995</v>
      </c>
      <c r="AX161" s="123">
        <v>0</v>
      </c>
      <c r="AY161" s="124">
        <v>0.84</v>
      </c>
      <c r="AZ161" s="125">
        <v>0.37</v>
      </c>
      <c r="BA161" s="123">
        <v>0.9</v>
      </c>
      <c r="BB161" s="123">
        <v>0.08</v>
      </c>
      <c r="BC161" s="124">
        <v>1.35</v>
      </c>
      <c r="BD161" s="126">
        <v>0.56000000000000005</v>
      </c>
      <c r="BE161" s="125">
        <v>0.71</v>
      </c>
      <c r="BF161" s="123">
        <v>0</v>
      </c>
      <c r="BG161" s="123">
        <v>0.23</v>
      </c>
      <c r="BH161" s="124">
        <v>0.93</v>
      </c>
      <c r="BI161" s="125">
        <v>0.48</v>
      </c>
      <c r="BJ161" s="123">
        <v>0.34</v>
      </c>
      <c r="BK161" s="123">
        <v>0.28999999999999998</v>
      </c>
      <c r="BL161" s="124">
        <v>1.1200000000000001</v>
      </c>
      <c r="BM161" s="125">
        <v>1.19</v>
      </c>
      <c r="BN161" s="123">
        <v>1.1499999999999999</v>
      </c>
      <c r="BO161" s="123">
        <v>0.76</v>
      </c>
      <c r="BP161" s="123">
        <v>1.82</v>
      </c>
      <c r="BQ161" s="123">
        <v>1.37</v>
      </c>
      <c r="BR161" s="123">
        <v>0.86</v>
      </c>
      <c r="BS161" s="123">
        <v>2.06</v>
      </c>
      <c r="BT161" s="123">
        <v>1.24</v>
      </c>
      <c r="BU161" s="124">
        <v>1.03</v>
      </c>
      <c r="BV161" s="79">
        <v>2376000</v>
      </c>
      <c r="BW161" s="110">
        <v>150</v>
      </c>
      <c r="BX161" s="110">
        <v>1255</v>
      </c>
      <c r="BY161" s="162">
        <v>32.9</v>
      </c>
      <c r="BZ161" s="111">
        <v>15.6</v>
      </c>
      <c r="CA161" s="120">
        <v>7.2000000000000005E-4</v>
      </c>
      <c r="CB161" s="110">
        <v>386</v>
      </c>
      <c r="CC161" s="119">
        <v>1.48E-3</v>
      </c>
      <c r="CD161" s="110">
        <v>386</v>
      </c>
      <c r="CE161" s="104">
        <f t="shared" si="8"/>
        <v>6.2626262626262631E-3</v>
      </c>
      <c r="CF161" s="105">
        <f t="shared" si="6"/>
        <v>0.85</v>
      </c>
    </row>
    <row r="162" spans="1:84" ht="24" x14ac:dyDescent="0.25">
      <c r="A162" s="106">
        <v>161</v>
      </c>
      <c r="B162" s="107"/>
      <c r="C162" s="108" t="s">
        <v>379</v>
      </c>
      <c r="D162" s="109">
        <v>1800</v>
      </c>
      <c r="E162" s="110">
        <v>1320</v>
      </c>
      <c r="F162" s="111">
        <f t="shared" si="7"/>
        <v>2376000</v>
      </c>
      <c r="G162" s="110">
        <v>150</v>
      </c>
      <c r="H162" s="110">
        <v>1255</v>
      </c>
      <c r="I162" s="112">
        <v>1.36</v>
      </c>
      <c r="J162" s="160">
        <v>24</v>
      </c>
      <c r="K162" s="161">
        <v>32.9</v>
      </c>
      <c r="L162" s="162">
        <v>32.9</v>
      </c>
      <c r="M162" s="163">
        <v>0.96</v>
      </c>
      <c r="N162" s="111">
        <v>15.6</v>
      </c>
      <c r="O162" s="117" t="s">
        <v>206</v>
      </c>
      <c r="P162" s="118" t="s">
        <v>216</v>
      </c>
      <c r="Q162" s="119">
        <v>3.9100000000000003E-3</v>
      </c>
      <c r="R162" s="120">
        <v>7.2000000000000005E-4</v>
      </c>
      <c r="S162" s="120">
        <v>7.2000000000000005E-4</v>
      </c>
      <c r="T162" s="110">
        <v>386</v>
      </c>
      <c r="U162" s="118" t="s">
        <v>217</v>
      </c>
      <c r="V162" s="119">
        <v>2.2200000000000002E-3</v>
      </c>
      <c r="W162" s="110">
        <v>386</v>
      </c>
      <c r="X162" s="118" t="s">
        <v>217</v>
      </c>
      <c r="Y162" s="165">
        <v>0.98</v>
      </c>
      <c r="Z162" s="115">
        <v>0.5</v>
      </c>
      <c r="AA162" s="128" t="s">
        <v>217</v>
      </c>
      <c r="AB162" s="117" t="s">
        <v>217</v>
      </c>
      <c r="AC162" s="179">
        <v>2</v>
      </c>
      <c r="AD162" s="117" t="s">
        <v>229</v>
      </c>
      <c r="AE162" s="118">
        <v>0.93</v>
      </c>
      <c r="AF162" s="125">
        <v>0.45</v>
      </c>
      <c r="AG162" s="123">
        <v>0.41</v>
      </c>
      <c r="AH162" s="123">
        <v>0.25</v>
      </c>
      <c r="AI162" s="124">
        <v>1.1000000000000001</v>
      </c>
      <c r="AJ162" s="125">
        <v>0.48</v>
      </c>
      <c r="AK162" s="123">
        <v>0.77</v>
      </c>
      <c r="AL162" s="123">
        <v>0</v>
      </c>
      <c r="AM162" s="124">
        <v>1.25</v>
      </c>
      <c r="AN162" s="125">
        <v>0.56000000000000005</v>
      </c>
      <c r="AO162" s="123">
        <v>0.55000000000000004</v>
      </c>
      <c r="AP162" s="123">
        <v>0.59</v>
      </c>
      <c r="AQ162" s="124">
        <v>1.69</v>
      </c>
      <c r="AR162" s="125">
        <v>0.79</v>
      </c>
      <c r="AS162" s="123">
        <v>0.49</v>
      </c>
      <c r="AT162" s="123">
        <v>0.25</v>
      </c>
      <c r="AU162" s="124">
        <v>0.63</v>
      </c>
      <c r="AV162" s="125">
        <v>0.27</v>
      </c>
      <c r="AW162" s="123">
        <v>0.86</v>
      </c>
      <c r="AX162" s="123">
        <v>0</v>
      </c>
      <c r="AY162" s="124">
        <v>1.1299999999999999</v>
      </c>
      <c r="AZ162" s="125">
        <v>0.37</v>
      </c>
      <c r="BA162" s="123">
        <v>1.02</v>
      </c>
      <c r="BB162" s="123">
        <v>0.08</v>
      </c>
      <c r="BC162" s="124">
        <v>1.47</v>
      </c>
      <c r="BD162" s="126">
        <v>0.56000000000000005</v>
      </c>
      <c r="BE162" s="125">
        <v>0.71</v>
      </c>
      <c r="BF162" s="123">
        <v>0</v>
      </c>
      <c r="BG162" s="123">
        <v>0.23</v>
      </c>
      <c r="BH162" s="124">
        <v>0.93</v>
      </c>
      <c r="BI162" s="125">
        <v>0.48</v>
      </c>
      <c r="BJ162" s="123">
        <v>0.22</v>
      </c>
      <c r="BK162" s="123">
        <v>0.28999999999999998</v>
      </c>
      <c r="BL162" s="124">
        <v>1</v>
      </c>
      <c r="BM162" s="125">
        <v>1.1499999999999999</v>
      </c>
      <c r="BN162" s="123">
        <v>1.01</v>
      </c>
      <c r="BO162" s="123">
        <v>0.75</v>
      </c>
      <c r="BP162" s="123">
        <v>2.0099999999999998</v>
      </c>
      <c r="BQ162" s="123">
        <v>1.1200000000000001</v>
      </c>
      <c r="BR162" s="123">
        <v>0.86</v>
      </c>
      <c r="BS162" s="123">
        <v>2.27</v>
      </c>
      <c r="BT162" s="123">
        <v>1.36</v>
      </c>
      <c r="BU162" s="124">
        <v>1.27</v>
      </c>
      <c r="BV162" s="79">
        <v>2376000</v>
      </c>
      <c r="BW162" s="110">
        <v>150</v>
      </c>
      <c r="BX162" s="110">
        <v>1255</v>
      </c>
      <c r="BY162" s="162">
        <v>32.9</v>
      </c>
      <c r="BZ162" s="111">
        <v>15.6</v>
      </c>
      <c r="CA162" s="120">
        <v>7.2000000000000005E-4</v>
      </c>
      <c r="CB162" s="110">
        <v>386</v>
      </c>
      <c r="CC162" s="119">
        <v>2.2200000000000002E-3</v>
      </c>
      <c r="CD162" s="110">
        <v>386</v>
      </c>
      <c r="CE162" s="104">
        <f t="shared" si="8"/>
        <v>6.8686868686868695E-3</v>
      </c>
      <c r="CF162" s="105">
        <f t="shared" si="6"/>
        <v>0.93</v>
      </c>
    </row>
    <row r="163" spans="1:84" ht="24" x14ac:dyDescent="0.25">
      <c r="A163" s="106">
        <v>162</v>
      </c>
      <c r="B163" s="107"/>
      <c r="C163" s="108" t="s">
        <v>380</v>
      </c>
      <c r="D163" s="109">
        <v>1800</v>
      </c>
      <c r="E163" s="110">
        <v>1970</v>
      </c>
      <c r="F163" s="111">
        <f t="shared" si="7"/>
        <v>3546000</v>
      </c>
      <c r="G163" s="110">
        <v>150</v>
      </c>
      <c r="H163" s="110">
        <v>1880</v>
      </c>
      <c r="I163" s="112">
        <v>0.91</v>
      </c>
      <c r="J163" s="160">
        <v>24</v>
      </c>
      <c r="K163" s="161">
        <v>32.9</v>
      </c>
      <c r="L163" s="162">
        <v>32.9</v>
      </c>
      <c r="M163" s="163">
        <v>0.64</v>
      </c>
      <c r="N163" s="111">
        <v>8.8000000000000007</v>
      </c>
      <c r="O163" s="117" t="s">
        <v>206</v>
      </c>
      <c r="P163" s="118" t="s">
        <v>216</v>
      </c>
      <c r="Q163" s="119">
        <v>2.6099999999999999E-3</v>
      </c>
      <c r="R163" s="120">
        <v>9.6000000000000002E-4</v>
      </c>
      <c r="S163" s="120">
        <v>9.6000000000000002E-4</v>
      </c>
      <c r="T163" s="110">
        <v>386</v>
      </c>
      <c r="U163" s="118" t="s">
        <v>217</v>
      </c>
      <c r="V163" s="119">
        <v>1.48E-3</v>
      </c>
      <c r="W163" s="110">
        <v>386</v>
      </c>
      <c r="X163" s="118" t="s">
        <v>217</v>
      </c>
      <c r="Y163" s="165">
        <v>0.49</v>
      </c>
      <c r="Z163" s="115">
        <v>0.5</v>
      </c>
      <c r="AA163" s="128" t="s">
        <v>217</v>
      </c>
      <c r="AB163" s="117" t="s">
        <v>217</v>
      </c>
      <c r="AC163" s="179">
        <v>2</v>
      </c>
      <c r="AD163" s="117" t="s">
        <v>229</v>
      </c>
      <c r="AE163" s="118">
        <v>0.79</v>
      </c>
      <c r="AF163" s="125">
        <v>0.39</v>
      </c>
      <c r="AG163" s="123">
        <v>0.27</v>
      </c>
      <c r="AH163" s="123">
        <v>0.12</v>
      </c>
      <c r="AI163" s="124">
        <v>0.78</v>
      </c>
      <c r="AJ163" s="125">
        <v>0.35</v>
      </c>
      <c r="AK163" s="123">
        <v>0.51</v>
      </c>
      <c r="AL163" s="123">
        <v>0</v>
      </c>
      <c r="AM163" s="124">
        <v>0.86</v>
      </c>
      <c r="AN163" s="125">
        <v>0.48</v>
      </c>
      <c r="AO163" s="123">
        <v>0.37</v>
      </c>
      <c r="AP163" s="123">
        <v>0.44</v>
      </c>
      <c r="AQ163" s="124">
        <v>1.28</v>
      </c>
      <c r="AR163" s="125">
        <v>0.7</v>
      </c>
      <c r="AS163" s="123">
        <v>0.33</v>
      </c>
      <c r="AT163" s="123">
        <v>0.12</v>
      </c>
      <c r="AU163" s="124">
        <v>0.47</v>
      </c>
      <c r="AV163" s="125">
        <v>0.25</v>
      </c>
      <c r="AW163" s="123">
        <v>0.56999999999999995</v>
      </c>
      <c r="AX163" s="123">
        <v>0</v>
      </c>
      <c r="AY163" s="124">
        <v>0.82</v>
      </c>
      <c r="AZ163" s="125">
        <v>0.27</v>
      </c>
      <c r="BA163" s="123">
        <v>0.96</v>
      </c>
      <c r="BB163" s="123">
        <v>0.04</v>
      </c>
      <c r="BC163" s="124">
        <v>1.27</v>
      </c>
      <c r="BD163" s="126">
        <v>0.45</v>
      </c>
      <c r="BE163" s="125">
        <v>0.7</v>
      </c>
      <c r="BF163" s="123">
        <v>0</v>
      </c>
      <c r="BG163" s="123">
        <v>0.11</v>
      </c>
      <c r="BH163" s="124">
        <v>0.81</v>
      </c>
      <c r="BI163" s="125">
        <v>0.32</v>
      </c>
      <c r="BJ163" s="123">
        <v>0.34</v>
      </c>
      <c r="BK163" s="123">
        <v>0.15</v>
      </c>
      <c r="BL163" s="124">
        <v>0.81</v>
      </c>
      <c r="BM163" s="125">
        <v>0.91</v>
      </c>
      <c r="BN163" s="123">
        <v>0.83</v>
      </c>
      <c r="BO163" s="123">
        <v>0.56000000000000005</v>
      </c>
      <c r="BP163" s="123">
        <v>1.51</v>
      </c>
      <c r="BQ163" s="123">
        <v>0.87</v>
      </c>
      <c r="BR163" s="123">
        <v>0.56999999999999995</v>
      </c>
      <c r="BS163" s="123">
        <v>1.6</v>
      </c>
      <c r="BT163" s="123">
        <v>0.88</v>
      </c>
      <c r="BU163" s="124">
        <v>0.89</v>
      </c>
      <c r="BV163" s="79">
        <v>3546000</v>
      </c>
      <c r="BW163" s="110">
        <v>150</v>
      </c>
      <c r="BX163" s="110">
        <v>1880</v>
      </c>
      <c r="BY163" s="162">
        <v>32.9</v>
      </c>
      <c r="BZ163" s="111">
        <v>8.8000000000000007</v>
      </c>
      <c r="CA163" s="120">
        <v>9.6000000000000002E-4</v>
      </c>
      <c r="CB163" s="110">
        <v>386</v>
      </c>
      <c r="CC163" s="119">
        <v>1.48E-3</v>
      </c>
      <c r="CD163" s="110">
        <v>386</v>
      </c>
      <c r="CE163" s="104">
        <f t="shared" si="8"/>
        <v>2.9780033840947546E-3</v>
      </c>
      <c r="CF163" s="105">
        <f t="shared" si="6"/>
        <v>0.79</v>
      </c>
    </row>
    <row r="164" spans="1:84" ht="24" x14ac:dyDescent="0.25">
      <c r="A164" s="106">
        <v>163</v>
      </c>
      <c r="B164" s="107"/>
      <c r="C164" s="108" t="s">
        <v>381</v>
      </c>
      <c r="D164" s="109">
        <v>1800</v>
      </c>
      <c r="E164" s="110">
        <v>1970</v>
      </c>
      <c r="F164" s="111">
        <f t="shared" si="7"/>
        <v>3546000</v>
      </c>
      <c r="G164" s="110">
        <v>150</v>
      </c>
      <c r="H164" s="110">
        <v>1880</v>
      </c>
      <c r="I164" s="112">
        <v>0.91</v>
      </c>
      <c r="J164" s="160">
        <v>24</v>
      </c>
      <c r="K164" s="161">
        <v>32.9</v>
      </c>
      <c r="L164" s="162">
        <v>32.9</v>
      </c>
      <c r="M164" s="163">
        <v>0.64</v>
      </c>
      <c r="N164" s="111">
        <v>8.8000000000000007</v>
      </c>
      <c r="O164" s="117" t="s">
        <v>206</v>
      </c>
      <c r="P164" s="118" t="s">
        <v>216</v>
      </c>
      <c r="Q164" s="119">
        <v>2.6099999999999999E-3</v>
      </c>
      <c r="R164" s="120">
        <v>9.6000000000000002E-4</v>
      </c>
      <c r="S164" s="120">
        <v>9.6000000000000002E-4</v>
      </c>
      <c r="T164" s="110">
        <v>386</v>
      </c>
      <c r="U164" s="118" t="s">
        <v>217</v>
      </c>
      <c r="V164" s="119">
        <v>1.48E-3</v>
      </c>
      <c r="W164" s="110">
        <v>386</v>
      </c>
      <c r="X164" s="118" t="s">
        <v>217</v>
      </c>
      <c r="Y164" s="165">
        <v>0.49</v>
      </c>
      <c r="Z164" s="115">
        <v>0.5</v>
      </c>
      <c r="AA164" s="128" t="s">
        <v>217</v>
      </c>
      <c r="AB164" s="117" t="s">
        <v>217</v>
      </c>
      <c r="AC164" s="179">
        <v>2</v>
      </c>
      <c r="AD164" s="117" t="s">
        <v>229</v>
      </c>
      <c r="AE164" s="118">
        <v>0.76</v>
      </c>
      <c r="AF164" s="125">
        <v>0.39</v>
      </c>
      <c r="AG164" s="123">
        <v>0.27</v>
      </c>
      <c r="AH164" s="123">
        <v>0.12</v>
      </c>
      <c r="AI164" s="124">
        <v>0.78</v>
      </c>
      <c r="AJ164" s="125">
        <v>0.35</v>
      </c>
      <c r="AK164" s="123">
        <v>0.51</v>
      </c>
      <c r="AL164" s="123">
        <v>0</v>
      </c>
      <c r="AM164" s="124">
        <v>0.86</v>
      </c>
      <c r="AN164" s="125">
        <v>0.48</v>
      </c>
      <c r="AO164" s="123">
        <v>0.37</v>
      </c>
      <c r="AP164" s="123">
        <v>0.44</v>
      </c>
      <c r="AQ164" s="124">
        <v>1.28</v>
      </c>
      <c r="AR164" s="125">
        <v>0.7</v>
      </c>
      <c r="AS164" s="123">
        <v>0.33</v>
      </c>
      <c r="AT164" s="123">
        <v>0.12</v>
      </c>
      <c r="AU164" s="124">
        <v>0.47</v>
      </c>
      <c r="AV164" s="125">
        <v>0.25</v>
      </c>
      <c r="AW164" s="123">
        <v>0.56999999999999995</v>
      </c>
      <c r="AX164" s="123">
        <v>0</v>
      </c>
      <c r="AY164" s="124">
        <v>0.82</v>
      </c>
      <c r="AZ164" s="125">
        <v>0.27</v>
      </c>
      <c r="BA164" s="123">
        <v>0.96</v>
      </c>
      <c r="BB164" s="123">
        <v>0.04</v>
      </c>
      <c r="BC164" s="124">
        <v>1.27</v>
      </c>
      <c r="BD164" s="126">
        <v>0.45</v>
      </c>
      <c r="BE164" s="125">
        <v>0.7</v>
      </c>
      <c r="BF164" s="123">
        <v>0</v>
      </c>
      <c r="BG164" s="123">
        <v>0.11</v>
      </c>
      <c r="BH164" s="124">
        <v>0.81</v>
      </c>
      <c r="BI164" s="125">
        <v>0.32</v>
      </c>
      <c r="BJ164" s="123">
        <v>0.34</v>
      </c>
      <c r="BK164" s="123">
        <v>0.15</v>
      </c>
      <c r="BL164" s="124">
        <v>0.81</v>
      </c>
      <c r="BM164" s="125">
        <v>0.89</v>
      </c>
      <c r="BN164" s="123">
        <v>0.81</v>
      </c>
      <c r="BO164" s="123">
        <v>0.54</v>
      </c>
      <c r="BP164" s="123">
        <v>1.46</v>
      </c>
      <c r="BQ164" s="123">
        <v>0.85</v>
      </c>
      <c r="BR164" s="123">
        <v>0.55000000000000004</v>
      </c>
      <c r="BS164" s="123">
        <v>1.55</v>
      </c>
      <c r="BT164" s="123">
        <v>0.85</v>
      </c>
      <c r="BU164" s="124">
        <v>0.86</v>
      </c>
      <c r="BV164" s="79">
        <v>3546000</v>
      </c>
      <c r="BW164" s="110">
        <v>150</v>
      </c>
      <c r="BX164" s="110">
        <v>1880</v>
      </c>
      <c r="BY164" s="162">
        <v>32.9</v>
      </c>
      <c r="BZ164" s="111">
        <v>8.8000000000000007</v>
      </c>
      <c r="CA164" s="120">
        <v>9.6000000000000002E-4</v>
      </c>
      <c r="CB164" s="110">
        <v>386</v>
      </c>
      <c r="CC164" s="119">
        <v>1.48E-3</v>
      </c>
      <c r="CD164" s="110">
        <v>386</v>
      </c>
      <c r="CE164" s="104">
        <f t="shared" si="8"/>
        <v>2.8764805414551609E-3</v>
      </c>
      <c r="CF164" s="105">
        <f t="shared" si="6"/>
        <v>0.76</v>
      </c>
    </row>
    <row r="165" spans="1:84" ht="24" x14ac:dyDescent="0.25">
      <c r="A165" s="106">
        <v>164</v>
      </c>
      <c r="B165" s="107"/>
      <c r="C165" s="108" t="s">
        <v>382</v>
      </c>
      <c r="D165" s="109">
        <v>1800</v>
      </c>
      <c r="E165" s="110">
        <v>1770</v>
      </c>
      <c r="F165" s="111">
        <f t="shared" si="7"/>
        <v>3186000</v>
      </c>
      <c r="G165" s="110">
        <v>150</v>
      </c>
      <c r="H165" s="110">
        <v>1680</v>
      </c>
      <c r="I165" s="112">
        <v>1.02</v>
      </c>
      <c r="J165" s="160">
        <v>24</v>
      </c>
      <c r="K165" s="161">
        <v>32.9</v>
      </c>
      <c r="L165" s="162">
        <v>32.9</v>
      </c>
      <c r="M165" s="163">
        <v>0.64</v>
      </c>
      <c r="N165" s="111">
        <v>8.8000000000000007</v>
      </c>
      <c r="O165" s="117" t="s">
        <v>206</v>
      </c>
      <c r="P165" s="118" t="s">
        <v>216</v>
      </c>
      <c r="Q165" s="119">
        <v>2.4199999999999998E-3</v>
      </c>
      <c r="R165" s="120">
        <v>8.0000000000000004E-4</v>
      </c>
      <c r="S165" s="120">
        <v>8.0000000000000004E-4</v>
      </c>
      <c r="T165" s="110">
        <v>386</v>
      </c>
      <c r="U165" s="118" t="s">
        <v>217</v>
      </c>
      <c r="V165" s="119">
        <v>1.48E-3</v>
      </c>
      <c r="W165" s="110">
        <v>386</v>
      </c>
      <c r="X165" s="118" t="s">
        <v>217</v>
      </c>
      <c r="Y165" s="165">
        <v>0.49</v>
      </c>
      <c r="Z165" s="115">
        <v>0.5</v>
      </c>
      <c r="AA165" s="128" t="s">
        <v>217</v>
      </c>
      <c r="AB165" s="117" t="s">
        <v>217</v>
      </c>
      <c r="AC165" s="179">
        <v>2</v>
      </c>
      <c r="AD165" s="117" t="s">
        <v>229</v>
      </c>
      <c r="AE165" s="118">
        <v>0.74</v>
      </c>
      <c r="AF165" s="125">
        <v>0.38</v>
      </c>
      <c r="AG165" s="123">
        <v>0.27</v>
      </c>
      <c r="AH165" s="123">
        <v>0.12</v>
      </c>
      <c r="AI165" s="124">
        <v>0.77</v>
      </c>
      <c r="AJ165" s="125">
        <v>0.35</v>
      </c>
      <c r="AK165" s="123">
        <v>0.51</v>
      </c>
      <c r="AL165" s="123">
        <v>0</v>
      </c>
      <c r="AM165" s="124">
        <v>0.86</v>
      </c>
      <c r="AN165" s="125">
        <v>0.46</v>
      </c>
      <c r="AO165" s="123">
        <v>0.37</v>
      </c>
      <c r="AP165" s="123">
        <v>0.39</v>
      </c>
      <c r="AQ165" s="124">
        <v>1.22</v>
      </c>
      <c r="AR165" s="125">
        <v>0.67</v>
      </c>
      <c r="AS165" s="123">
        <v>0.32</v>
      </c>
      <c r="AT165" s="123">
        <v>0.12</v>
      </c>
      <c r="AU165" s="124">
        <v>0.47</v>
      </c>
      <c r="AV165" s="125">
        <v>0.24</v>
      </c>
      <c r="AW165" s="123">
        <v>0.56999999999999995</v>
      </c>
      <c r="AX165" s="123">
        <v>0</v>
      </c>
      <c r="AY165" s="124">
        <v>0.81</v>
      </c>
      <c r="AZ165" s="125">
        <v>0.26</v>
      </c>
      <c r="BA165" s="123">
        <v>0.92</v>
      </c>
      <c r="BB165" s="123">
        <v>0.04</v>
      </c>
      <c r="BC165" s="124">
        <v>1.22</v>
      </c>
      <c r="BD165" s="126">
        <v>0.44</v>
      </c>
      <c r="BE165" s="125">
        <v>0.63</v>
      </c>
      <c r="BF165" s="123">
        <v>0</v>
      </c>
      <c r="BG165" s="123">
        <v>0.11</v>
      </c>
      <c r="BH165" s="124">
        <v>0.74</v>
      </c>
      <c r="BI165" s="125">
        <v>0.32</v>
      </c>
      <c r="BJ165" s="123">
        <v>0.34</v>
      </c>
      <c r="BK165" s="123">
        <v>0.15</v>
      </c>
      <c r="BL165" s="124">
        <v>0.81</v>
      </c>
      <c r="BM165" s="125">
        <v>0.98</v>
      </c>
      <c r="BN165" s="123">
        <v>0.87</v>
      </c>
      <c r="BO165" s="123">
        <v>0.62</v>
      </c>
      <c r="BP165" s="123">
        <v>1.58</v>
      </c>
      <c r="BQ165" s="123">
        <v>0.93</v>
      </c>
      <c r="BR165" s="123">
        <v>0.62</v>
      </c>
      <c r="BS165" s="123">
        <v>1.71</v>
      </c>
      <c r="BT165" s="123">
        <v>1.02</v>
      </c>
      <c r="BU165" s="124">
        <v>0.93</v>
      </c>
      <c r="BV165" s="79">
        <v>3186000</v>
      </c>
      <c r="BW165" s="110">
        <v>150</v>
      </c>
      <c r="BX165" s="110">
        <v>1680</v>
      </c>
      <c r="BY165" s="162">
        <v>32.9</v>
      </c>
      <c r="BZ165" s="111">
        <v>8.8000000000000007</v>
      </c>
      <c r="CA165" s="120">
        <v>8.0000000000000004E-4</v>
      </c>
      <c r="CB165" s="110">
        <v>386</v>
      </c>
      <c r="CC165" s="119">
        <v>1.48E-3</v>
      </c>
      <c r="CD165" s="110">
        <v>386</v>
      </c>
      <c r="CE165" s="104">
        <f t="shared" si="8"/>
        <v>3.8418079096045198E-3</v>
      </c>
      <c r="CF165" s="105">
        <f t="shared" si="6"/>
        <v>0.74</v>
      </c>
    </row>
    <row r="166" spans="1:84" ht="24" x14ac:dyDescent="0.25">
      <c r="A166" s="106">
        <v>165</v>
      </c>
      <c r="B166" s="107"/>
      <c r="C166" s="108" t="s">
        <v>383</v>
      </c>
      <c r="D166" s="109">
        <v>1800</v>
      </c>
      <c r="E166" s="110">
        <v>1370</v>
      </c>
      <c r="F166" s="111">
        <f t="shared" si="7"/>
        <v>2466000</v>
      </c>
      <c r="G166" s="110">
        <v>150</v>
      </c>
      <c r="H166" s="110">
        <v>1280</v>
      </c>
      <c r="I166" s="112">
        <v>1.31</v>
      </c>
      <c r="J166" s="160">
        <v>24</v>
      </c>
      <c r="K166" s="161">
        <v>32.9</v>
      </c>
      <c r="L166" s="162">
        <v>32.9</v>
      </c>
      <c r="M166" s="163">
        <v>0.64</v>
      </c>
      <c r="N166" s="111">
        <v>8.8000000000000007</v>
      </c>
      <c r="O166" s="117" t="s">
        <v>206</v>
      </c>
      <c r="P166" s="118" t="s">
        <v>216</v>
      </c>
      <c r="Q166" s="119">
        <v>2.47E-3</v>
      </c>
      <c r="R166" s="120">
        <v>6.8999999999999997E-4</v>
      </c>
      <c r="S166" s="120">
        <v>6.8999999999999997E-4</v>
      </c>
      <c r="T166" s="110">
        <v>386</v>
      </c>
      <c r="U166" s="118" t="s">
        <v>217</v>
      </c>
      <c r="V166" s="119">
        <v>1.48E-3</v>
      </c>
      <c r="W166" s="110">
        <v>386</v>
      </c>
      <c r="X166" s="118" t="s">
        <v>217</v>
      </c>
      <c r="Y166" s="165">
        <v>0.49</v>
      </c>
      <c r="Z166" s="115">
        <v>0.5</v>
      </c>
      <c r="AA166" s="128" t="s">
        <v>217</v>
      </c>
      <c r="AB166" s="117" t="s">
        <v>217</v>
      </c>
      <c r="AC166" s="179">
        <v>2</v>
      </c>
      <c r="AD166" s="117" t="s">
        <v>229</v>
      </c>
      <c r="AE166" s="118">
        <v>0.71</v>
      </c>
      <c r="AF166" s="125">
        <v>0.34</v>
      </c>
      <c r="AG166" s="123">
        <v>0.27</v>
      </c>
      <c r="AH166" s="123">
        <v>0.12</v>
      </c>
      <c r="AI166" s="124">
        <v>0.73</v>
      </c>
      <c r="AJ166" s="125">
        <v>0.35</v>
      </c>
      <c r="AK166" s="123">
        <v>0.51</v>
      </c>
      <c r="AL166" s="123">
        <v>0</v>
      </c>
      <c r="AM166" s="124">
        <v>0.86</v>
      </c>
      <c r="AN166" s="125">
        <v>0.42</v>
      </c>
      <c r="AO166" s="123">
        <v>0.37</v>
      </c>
      <c r="AP166" s="123">
        <v>0.3</v>
      </c>
      <c r="AQ166" s="124">
        <v>1.0900000000000001</v>
      </c>
      <c r="AR166" s="125">
        <v>0.6</v>
      </c>
      <c r="AS166" s="123">
        <v>0.32</v>
      </c>
      <c r="AT166" s="123">
        <v>0.12</v>
      </c>
      <c r="AU166" s="124">
        <v>0.47</v>
      </c>
      <c r="AV166" s="125">
        <v>0.21</v>
      </c>
      <c r="AW166" s="123">
        <v>0.56999999999999995</v>
      </c>
      <c r="AX166" s="123">
        <v>0</v>
      </c>
      <c r="AY166" s="124">
        <v>0.78</v>
      </c>
      <c r="AZ166" s="125">
        <v>0.26</v>
      </c>
      <c r="BA166" s="123">
        <v>0.88</v>
      </c>
      <c r="BB166" s="123">
        <v>0.04</v>
      </c>
      <c r="BC166" s="124">
        <v>1.17</v>
      </c>
      <c r="BD166" s="126">
        <v>0.42</v>
      </c>
      <c r="BE166" s="125">
        <v>0.49</v>
      </c>
      <c r="BF166" s="123">
        <v>0</v>
      </c>
      <c r="BG166" s="123">
        <v>0.11</v>
      </c>
      <c r="BH166" s="124">
        <v>0.6</v>
      </c>
      <c r="BI166" s="125">
        <v>0.32</v>
      </c>
      <c r="BJ166" s="123">
        <v>0.34</v>
      </c>
      <c r="BK166" s="123">
        <v>0.15</v>
      </c>
      <c r="BL166" s="124">
        <v>0.81</v>
      </c>
      <c r="BM166" s="125">
        <v>1.28</v>
      </c>
      <c r="BN166" s="123">
        <v>1.08</v>
      </c>
      <c r="BO166" s="123">
        <v>0.86</v>
      </c>
      <c r="BP166" s="123">
        <v>1.96</v>
      </c>
      <c r="BQ166" s="123">
        <v>1.2</v>
      </c>
      <c r="BR166" s="123">
        <v>0.79</v>
      </c>
      <c r="BS166" s="123">
        <v>2.2200000000000002</v>
      </c>
      <c r="BT166" s="123">
        <v>1.56</v>
      </c>
      <c r="BU166" s="124">
        <v>1.1499999999999999</v>
      </c>
      <c r="BV166" s="79">
        <v>2466000</v>
      </c>
      <c r="BW166" s="110">
        <v>150</v>
      </c>
      <c r="BX166" s="110">
        <v>1280</v>
      </c>
      <c r="BY166" s="162">
        <v>32.9</v>
      </c>
      <c r="BZ166" s="111">
        <v>8.8000000000000007</v>
      </c>
      <c r="CA166" s="120">
        <v>6.8999999999999997E-4</v>
      </c>
      <c r="CB166" s="110">
        <v>386</v>
      </c>
      <c r="CC166" s="119">
        <v>1.48E-3</v>
      </c>
      <c r="CD166" s="110">
        <v>386</v>
      </c>
      <c r="CE166" s="104">
        <f t="shared" si="8"/>
        <v>7.5912408759124094E-3</v>
      </c>
      <c r="CF166" s="105">
        <f t="shared" si="6"/>
        <v>0.71</v>
      </c>
    </row>
    <row r="167" spans="1:84" ht="24" x14ac:dyDescent="0.25">
      <c r="A167" s="106">
        <v>166</v>
      </c>
      <c r="B167" s="107"/>
      <c r="C167" s="108" t="s">
        <v>384</v>
      </c>
      <c r="D167" s="109">
        <v>1800</v>
      </c>
      <c r="E167" s="110">
        <v>970</v>
      </c>
      <c r="F167" s="111">
        <f t="shared" si="7"/>
        <v>1746000</v>
      </c>
      <c r="G167" s="110">
        <v>150</v>
      </c>
      <c r="H167" s="110">
        <v>880</v>
      </c>
      <c r="I167" s="112">
        <v>1.86</v>
      </c>
      <c r="J167" s="160">
        <v>24</v>
      </c>
      <c r="K167" s="161">
        <v>32.9</v>
      </c>
      <c r="L167" s="162">
        <v>32.9</v>
      </c>
      <c r="M167" s="163">
        <v>0.64</v>
      </c>
      <c r="N167" s="111">
        <v>8.8000000000000007</v>
      </c>
      <c r="O167" s="117" t="s">
        <v>206</v>
      </c>
      <c r="P167" s="118" t="s">
        <v>216</v>
      </c>
      <c r="Q167" s="119">
        <v>2.66E-3</v>
      </c>
      <c r="R167" s="120">
        <v>4.8999999999999998E-4</v>
      </c>
      <c r="S167" s="120">
        <v>4.8999999999999998E-4</v>
      </c>
      <c r="T167" s="110">
        <v>386</v>
      </c>
      <c r="U167" s="118" t="s">
        <v>217</v>
      </c>
      <c r="V167" s="119">
        <v>1.48E-3</v>
      </c>
      <c r="W167" s="110">
        <v>386</v>
      </c>
      <c r="X167" s="118" t="s">
        <v>217</v>
      </c>
      <c r="Y167" s="165">
        <v>0.49</v>
      </c>
      <c r="Z167" s="115">
        <v>0.5</v>
      </c>
      <c r="AA167" s="128" t="s">
        <v>217</v>
      </c>
      <c r="AB167" s="117" t="s">
        <v>217</v>
      </c>
      <c r="AC167" s="179">
        <v>2</v>
      </c>
      <c r="AD167" s="117" t="s">
        <v>229</v>
      </c>
      <c r="AE167" s="118">
        <v>0.54</v>
      </c>
      <c r="AF167" s="125">
        <v>0.28000000000000003</v>
      </c>
      <c r="AG167" s="123">
        <v>0.26</v>
      </c>
      <c r="AH167" s="123">
        <v>0.12</v>
      </c>
      <c r="AI167" s="124">
        <v>0.66</v>
      </c>
      <c r="AJ167" s="125">
        <v>0.35</v>
      </c>
      <c r="AK167" s="123">
        <v>0.51</v>
      </c>
      <c r="AL167" s="123">
        <v>0</v>
      </c>
      <c r="AM167" s="124">
        <v>0.86</v>
      </c>
      <c r="AN167" s="125">
        <v>0.35</v>
      </c>
      <c r="AO167" s="123">
        <v>0.37</v>
      </c>
      <c r="AP167" s="123">
        <v>0.21</v>
      </c>
      <c r="AQ167" s="124">
        <v>0.92</v>
      </c>
      <c r="AR167" s="125">
        <v>0.46</v>
      </c>
      <c r="AS167" s="123">
        <v>0.31</v>
      </c>
      <c r="AT167" s="123">
        <v>0.12</v>
      </c>
      <c r="AU167" s="124">
        <v>0.47</v>
      </c>
      <c r="AV167" s="125">
        <v>0.15</v>
      </c>
      <c r="AW167" s="123">
        <v>0.56999999999999995</v>
      </c>
      <c r="AX167" s="123">
        <v>0</v>
      </c>
      <c r="AY167" s="124">
        <v>0.72</v>
      </c>
      <c r="AZ167" s="125">
        <v>0.25</v>
      </c>
      <c r="BA167" s="123">
        <v>0.8</v>
      </c>
      <c r="BB167" s="123">
        <v>0.04</v>
      </c>
      <c r="BC167" s="124">
        <v>1.0900000000000001</v>
      </c>
      <c r="BD167" s="126">
        <v>0.39</v>
      </c>
      <c r="BE167" s="125">
        <v>0.34</v>
      </c>
      <c r="BF167" s="123">
        <v>0</v>
      </c>
      <c r="BG167" s="123">
        <v>0.11</v>
      </c>
      <c r="BH167" s="124">
        <v>0.46</v>
      </c>
      <c r="BI167" s="125">
        <v>0.32</v>
      </c>
      <c r="BJ167" s="123">
        <v>0.34</v>
      </c>
      <c r="BK167" s="123">
        <v>0.15</v>
      </c>
      <c r="BL167" s="124">
        <v>0.81</v>
      </c>
      <c r="BM167" s="125">
        <v>1.52</v>
      </c>
      <c r="BN167" s="123">
        <v>1.1599999999999999</v>
      </c>
      <c r="BO167" s="123">
        <v>1.0900000000000001</v>
      </c>
      <c r="BP167" s="123">
        <v>2.11</v>
      </c>
      <c r="BQ167" s="123">
        <v>1.39</v>
      </c>
      <c r="BR167" s="123">
        <v>0.92</v>
      </c>
      <c r="BS167" s="123">
        <v>2.6</v>
      </c>
      <c r="BT167" s="123">
        <v>2.19</v>
      </c>
      <c r="BU167" s="124">
        <v>1.24</v>
      </c>
      <c r="BV167" s="79">
        <v>1746000</v>
      </c>
      <c r="BW167" s="110">
        <v>150</v>
      </c>
      <c r="BX167" s="110">
        <v>880</v>
      </c>
      <c r="BY167" s="162">
        <v>32.9</v>
      </c>
      <c r="BZ167" s="111">
        <v>8.8000000000000007</v>
      </c>
      <c r="CA167" s="120">
        <v>4.8999999999999998E-4</v>
      </c>
      <c r="CB167" s="110">
        <v>386</v>
      </c>
      <c r="CC167" s="119">
        <v>1.48E-3</v>
      </c>
      <c r="CD167" s="110">
        <v>386</v>
      </c>
      <c r="CE167" s="104">
        <f t="shared" si="8"/>
        <v>1.5051546391752576E-2</v>
      </c>
      <c r="CF167" s="105">
        <f t="shared" si="6"/>
        <v>0.54</v>
      </c>
    </row>
    <row r="168" spans="1:84" ht="24" x14ac:dyDescent="0.25">
      <c r="A168" s="106">
        <v>167</v>
      </c>
      <c r="B168" s="107"/>
      <c r="C168" s="108" t="s">
        <v>385</v>
      </c>
      <c r="D168" s="109">
        <v>1800</v>
      </c>
      <c r="E168" s="110">
        <v>970</v>
      </c>
      <c r="F168" s="111">
        <f t="shared" si="7"/>
        <v>1746000</v>
      </c>
      <c r="G168" s="110">
        <v>150</v>
      </c>
      <c r="H168" s="110">
        <v>880</v>
      </c>
      <c r="I168" s="112">
        <v>1.86</v>
      </c>
      <c r="J168" s="160">
        <v>24</v>
      </c>
      <c r="K168" s="161">
        <v>32.9</v>
      </c>
      <c r="L168" s="162">
        <v>32.9</v>
      </c>
      <c r="M168" s="163">
        <v>0.64</v>
      </c>
      <c r="N168" s="111">
        <v>8.8000000000000007</v>
      </c>
      <c r="O168" s="117" t="s">
        <v>206</v>
      </c>
      <c r="P168" s="118" t="s">
        <v>216</v>
      </c>
      <c r="Q168" s="119">
        <v>2.66E-3</v>
      </c>
      <c r="R168" s="120">
        <v>4.8999999999999998E-4</v>
      </c>
      <c r="S168" s="120">
        <v>4.8999999999999998E-4</v>
      </c>
      <c r="T168" s="110">
        <v>386</v>
      </c>
      <c r="U168" s="118" t="s">
        <v>217</v>
      </c>
      <c r="V168" s="119">
        <v>1.48E-3</v>
      </c>
      <c r="W168" s="110">
        <v>386</v>
      </c>
      <c r="X168" s="118" t="s">
        <v>217</v>
      </c>
      <c r="Y168" s="165">
        <v>0.49</v>
      </c>
      <c r="Z168" s="115">
        <v>0.5</v>
      </c>
      <c r="AA168" s="128" t="s">
        <v>217</v>
      </c>
      <c r="AB168" s="117" t="s">
        <v>217</v>
      </c>
      <c r="AC168" s="179">
        <v>2</v>
      </c>
      <c r="AD168" s="117" t="s">
        <v>229</v>
      </c>
      <c r="AE168" s="118">
        <v>0.55000000000000004</v>
      </c>
      <c r="AF168" s="125">
        <v>0.28000000000000003</v>
      </c>
      <c r="AG168" s="123">
        <v>0.26</v>
      </c>
      <c r="AH168" s="123">
        <v>0.12</v>
      </c>
      <c r="AI168" s="124">
        <v>0.66</v>
      </c>
      <c r="AJ168" s="125">
        <v>0.35</v>
      </c>
      <c r="AK168" s="123">
        <v>0.51</v>
      </c>
      <c r="AL168" s="123">
        <v>0</v>
      </c>
      <c r="AM168" s="124">
        <v>0.86</v>
      </c>
      <c r="AN168" s="125">
        <v>0.35</v>
      </c>
      <c r="AO168" s="123">
        <v>0.37</v>
      </c>
      <c r="AP168" s="123">
        <v>0.21</v>
      </c>
      <c r="AQ168" s="124">
        <v>0.92</v>
      </c>
      <c r="AR168" s="125">
        <v>0.46</v>
      </c>
      <c r="AS168" s="123">
        <v>0.31</v>
      </c>
      <c r="AT168" s="123">
        <v>0.12</v>
      </c>
      <c r="AU168" s="124">
        <v>0.47</v>
      </c>
      <c r="AV168" s="125">
        <v>0.15</v>
      </c>
      <c r="AW168" s="123">
        <v>0.56999999999999995</v>
      </c>
      <c r="AX168" s="123">
        <v>0</v>
      </c>
      <c r="AY168" s="124">
        <v>0.72</v>
      </c>
      <c r="AZ168" s="125">
        <v>0.25</v>
      </c>
      <c r="BA168" s="123">
        <v>0.8</v>
      </c>
      <c r="BB168" s="123">
        <v>0.04</v>
      </c>
      <c r="BC168" s="124">
        <v>1.0900000000000001</v>
      </c>
      <c r="BD168" s="126">
        <v>0.39</v>
      </c>
      <c r="BE168" s="125">
        <v>0.34</v>
      </c>
      <c r="BF168" s="123">
        <v>0</v>
      </c>
      <c r="BG168" s="123">
        <v>0.11</v>
      </c>
      <c r="BH168" s="124">
        <v>0.46</v>
      </c>
      <c r="BI168" s="125">
        <v>0.32</v>
      </c>
      <c r="BJ168" s="123">
        <v>0.34</v>
      </c>
      <c r="BK168" s="123">
        <v>0.15</v>
      </c>
      <c r="BL168" s="124">
        <v>0.81</v>
      </c>
      <c r="BM168" s="125">
        <v>1.54</v>
      </c>
      <c r="BN168" s="123">
        <v>1.17</v>
      </c>
      <c r="BO168" s="123">
        <v>1.1000000000000001</v>
      </c>
      <c r="BP168" s="123">
        <v>2.13</v>
      </c>
      <c r="BQ168" s="123">
        <v>1.41</v>
      </c>
      <c r="BR168" s="123">
        <v>0.93</v>
      </c>
      <c r="BS168" s="123">
        <v>2.62</v>
      </c>
      <c r="BT168" s="123">
        <v>2.21</v>
      </c>
      <c r="BU168" s="124">
        <v>1.25</v>
      </c>
      <c r="BV168" s="79">
        <v>1746000</v>
      </c>
      <c r="BW168" s="110">
        <v>150</v>
      </c>
      <c r="BX168" s="110">
        <v>880</v>
      </c>
      <c r="BY168" s="162">
        <v>32.9</v>
      </c>
      <c r="BZ168" s="111">
        <v>8.8000000000000007</v>
      </c>
      <c r="CA168" s="120">
        <v>4.8999999999999998E-4</v>
      </c>
      <c r="CB168" s="110">
        <v>386</v>
      </c>
      <c r="CC168" s="119">
        <v>1.48E-3</v>
      </c>
      <c r="CD168" s="110">
        <v>386</v>
      </c>
      <c r="CE168" s="184">
        <f t="shared" si="8"/>
        <v>1.5189003436426115E-2</v>
      </c>
      <c r="CF168" s="185">
        <f t="shared" si="6"/>
        <v>0.55000000000000004</v>
      </c>
    </row>
    <row r="169" spans="1:84" hidden="1" x14ac:dyDescent="0.25">
      <c r="A169" s="106">
        <v>168</v>
      </c>
      <c r="B169" s="107"/>
      <c r="C169" s="108" t="s">
        <v>234</v>
      </c>
      <c r="D169" s="109">
        <v>1600</v>
      </c>
      <c r="E169" s="110">
        <v>1320</v>
      </c>
      <c r="F169" s="111">
        <f t="shared" si="7"/>
        <v>2112000</v>
      </c>
      <c r="G169" s="110">
        <v>150</v>
      </c>
      <c r="H169" s="110">
        <v>1255</v>
      </c>
      <c r="I169" s="112">
        <v>1.21</v>
      </c>
      <c r="J169" s="160">
        <v>24</v>
      </c>
      <c r="K169" s="161">
        <v>32.9</v>
      </c>
      <c r="L169" s="162">
        <v>32.9</v>
      </c>
      <c r="M169" s="163">
        <v>0.99</v>
      </c>
      <c r="N169" s="111">
        <v>16.2</v>
      </c>
      <c r="O169" s="117" t="s">
        <v>206</v>
      </c>
      <c r="P169" s="118" t="s">
        <v>207</v>
      </c>
      <c r="Q169" s="119">
        <v>3.9100000000000003E-3</v>
      </c>
      <c r="R169" s="120">
        <v>7.2000000000000005E-4</v>
      </c>
      <c r="S169" s="120">
        <v>7.2000000000000005E-4</v>
      </c>
      <c r="T169" s="110">
        <v>386</v>
      </c>
      <c r="U169" s="118" t="s">
        <v>217</v>
      </c>
      <c r="V169" s="119">
        <v>1.07E-3</v>
      </c>
      <c r="W169" s="110">
        <v>386</v>
      </c>
      <c r="X169" s="118" t="s">
        <v>217</v>
      </c>
      <c r="Y169" s="165">
        <v>0</v>
      </c>
      <c r="Z169" s="115">
        <v>0.5</v>
      </c>
      <c r="AA169" s="128" t="s">
        <v>217</v>
      </c>
      <c r="AB169" s="117" t="s">
        <v>217</v>
      </c>
      <c r="AC169" s="179">
        <v>2</v>
      </c>
      <c r="AD169" s="117" t="s">
        <v>229</v>
      </c>
      <c r="AE169" s="118">
        <v>1.01</v>
      </c>
      <c r="AF169" s="125">
        <v>0.48</v>
      </c>
      <c r="AG169" s="123">
        <v>0.2</v>
      </c>
      <c r="AH169" s="123">
        <v>0</v>
      </c>
      <c r="AI169" s="124">
        <v>0.68</v>
      </c>
      <c r="AJ169" s="125">
        <v>0.21</v>
      </c>
      <c r="AK169" s="123">
        <v>0.37</v>
      </c>
      <c r="AL169" s="123">
        <v>0</v>
      </c>
      <c r="AM169" s="124">
        <v>0.57999999999999996</v>
      </c>
      <c r="AN169" s="125">
        <v>0.59</v>
      </c>
      <c r="AO169" s="123">
        <v>0.26</v>
      </c>
      <c r="AP169" s="123">
        <v>0</v>
      </c>
      <c r="AQ169" s="124">
        <v>0.86</v>
      </c>
      <c r="AR169" s="125">
        <v>0.85</v>
      </c>
      <c r="AS169" s="123">
        <v>0.24</v>
      </c>
      <c r="AT169" s="123">
        <v>0</v>
      </c>
      <c r="AU169" s="124">
        <v>0.64</v>
      </c>
      <c r="AV169" s="125">
        <v>0.3</v>
      </c>
      <c r="AW169" s="123">
        <v>0.41</v>
      </c>
      <c r="AX169" s="123">
        <v>0</v>
      </c>
      <c r="AY169" s="124">
        <v>0.71</v>
      </c>
      <c r="AZ169" s="125">
        <v>0.37</v>
      </c>
      <c r="BA169" s="123">
        <v>0.82</v>
      </c>
      <c r="BB169" s="123">
        <v>0</v>
      </c>
      <c r="BC169" s="124">
        <v>1.19</v>
      </c>
      <c r="BD169" s="126">
        <v>0.57999999999999996</v>
      </c>
      <c r="BE169" s="125">
        <v>0.81</v>
      </c>
      <c r="BF169" s="123">
        <v>0</v>
      </c>
      <c r="BG169" s="123">
        <v>0</v>
      </c>
      <c r="BH169" s="124">
        <v>0.81</v>
      </c>
      <c r="BI169" s="125">
        <v>0.49</v>
      </c>
      <c r="BJ169" s="123">
        <v>0.25</v>
      </c>
      <c r="BK169" s="123">
        <v>0</v>
      </c>
      <c r="BL169" s="124">
        <v>0.74</v>
      </c>
      <c r="BM169" s="125">
        <v>1.8</v>
      </c>
      <c r="BN169" s="123">
        <v>2.1</v>
      </c>
      <c r="BO169" s="123">
        <v>1.42</v>
      </c>
      <c r="BP169" s="123">
        <v>1.89</v>
      </c>
      <c r="BQ169" s="123">
        <v>1.71</v>
      </c>
      <c r="BR169" s="123">
        <v>1.02</v>
      </c>
      <c r="BS169" s="123">
        <v>2.09</v>
      </c>
      <c r="BT169" s="123">
        <v>1.5</v>
      </c>
      <c r="BU169" s="124">
        <v>1.65</v>
      </c>
      <c r="BV169" s="79">
        <v>2112000</v>
      </c>
      <c r="BW169" s="110">
        <v>150</v>
      </c>
      <c r="BX169" s="110">
        <v>1255</v>
      </c>
      <c r="BY169" s="162">
        <v>32.9</v>
      </c>
      <c r="BZ169" s="111">
        <v>16.2</v>
      </c>
      <c r="CA169" s="120">
        <v>7.2000000000000005E-4</v>
      </c>
      <c r="CB169" s="110">
        <v>386</v>
      </c>
      <c r="CC169" s="119">
        <v>1.07E-3</v>
      </c>
      <c r="CD169" s="110">
        <v>386</v>
      </c>
      <c r="CE169" s="104">
        <f t="shared" si="8"/>
        <v>7.575757575757576E-3</v>
      </c>
      <c r="CF169" s="105">
        <f t="shared" si="6"/>
        <v>1.01</v>
      </c>
    </row>
    <row r="170" spans="1:84" hidden="1" x14ac:dyDescent="0.25">
      <c r="A170" s="106">
        <v>169</v>
      </c>
      <c r="B170" s="107"/>
      <c r="C170" s="108" t="s">
        <v>386</v>
      </c>
      <c r="D170" s="109">
        <v>1600</v>
      </c>
      <c r="E170" s="110">
        <v>1320</v>
      </c>
      <c r="F170" s="111">
        <f t="shared" si="7"/>
        <v>2112000</v>
      </c>
      <c r="G170" s="110">
        <v>150</v>
      </c>
      <c r="H170" s="110">
        <v>1255</v>
      </c>
      <c r="I170" s="112">
        <v>1.21</v>
      </c>
      <c r="J170" s="160">
        <v>24</v>
      </c>
      <c r="K170" s="161">
        <v>32.9</v>
      </c>
      <c r="L170" s="162">
        <v>32.9</v>
      </c>
      <c r="M170" s="163">
        <v>1.03</v>
      </c>
      <c r="N170" s="111">
        <v>17.600000000000001</v>
      </c>
      <c r="O170" s="117" t="s">
        <v>206</v>
      </c>
      <c r="P170" s="118" t="s">
        <v>207</v>
      </c>
      <c r="Q170" s="119">
        <v>3.9100000000000003E-3</v>
      </c>
      <c r="R170" s="120">
        <v>7.2000000000000005E-4</v>
      </c>
      <c r="S170" s="120">
        <v>7.2000000000000005E-4</v>
      </c>
      <c r="T170" s="110">
        <v>386</v>
      </c>
      <c r="U170" s="118" t="s">
        <v>217</v>
      </c>
      <c r="V170" s="119">
        <v>1.07E-3</v>
      </c>
      <c r="W170" s="110">
        <v>386</v>
      </c>
      <c r="X170" s="118" t="s">
        <v>217</v>
      </c>
      <c r="Y170" s="165">
        <v>0</v>
      </c>
      <c r="Z170" s="115">
        <v>0.5</v>
      </c>
      <c r="AA170" s="198" t="s">
        <v>217</v>
      </c>
      <c r="AB170" s="144" t="s">
        <v>217</v>
      </c>
      <c r="AC170" s="179">
        <v>2</v>
      </c>
      <c r="AD170" s="117" t="s">
        <v>229</v>
      </c>
      <c r="AE170" s="118">
        <v>0.94</v>
      </c>
      <c r="AF170" s="152">
        <v>0.5</v>
      </c>
      <c r="AG170" s="150">
        <v>0.2</v>
      </c>
      <c r="AH170" s="150">
        <v>0</v>
      </c>
      <c r="AI170" s="151">
        <v>0.7</v>
      </c>
      <c r="AJ170" s="152">
        <v>0.21</v>
      </c>
      <c r="AK170" s="150">
        <v>0.37</v>
      </c>
      <c r="AL170" s="150">
        <v>0</v>
      </c>
      <c r="AM170" s="151">
        <v>0.57999999999999996</v>
      </c>
      <c r="AN170" s="152">
        <v>0.62</v>
      </c>
      <c r="AO170" s="150">
        <v>0.26</v>
      </c>
      <c r="AP170" s="150">
        <v>0</v>
      </c>
      <c r="AQ170" s="151">
        <v>0.88</v>
      </c>
      <c r="AR170" s="152">
        <v>0.89</v>
      </c>
      <c r="AS170" s="150">
        <v>0.24</v>
      </c>
      <c r="AT170" s="150">
        <v>0</v>
      </c>
      <c r="AU170" s="151">
        <v>0.67</v>
      </c>
      <c r="AV170" s="152">
        <v>0.31</v>
      </c>
      <c r="AW170" s="150">
        <v>0.41</v>
      </c>
      <c r="AX170" s="150">
        <v>0</v>
      </c>
      <c r="AY170" s="151">
        <v>0.72</v>
      </c>
      <c r="AZ170" s="152">
        <v>0.39</v>
      </c>
      <c r="BA170" s="150">
        <v>0.82</v>
      </c>
      <c r="BB170" s="150">
        <v>0</v>
      </c>
      <c r="BC170" s="151">
        <v>1.21</v>
      </c>
      <c r="BD170" s="153">
        <v>0.61</v>
      </c>
      <c r="BE170" s="152">
        <v>0.85</v>
      </c>
      <c r="BF170" s="150">
        <v>0</v>
      </c>
      <c r="BG170" s="150">
        <v>0</v>
      </c>
      <c r="BH170" s="151">
        <v>0.85</v>
      </c>
      <c r="BI170" s="152">
        <v>0.52</v>
      </c>
      <c r="BJ170" s="150">
        <v>0.25</v>
      </c>
      <c r="BK170" s="150">
        <v>0</v>
      </c>
      <c r="BL170" s="151">
        <v>0.76</v>
      </c>
      <c r="BM170" s="152">
        <v>1.63</v>
      </c>
      <c r="BN170" s="150">
        <v>1.96</v>
      </c>
      <c r="BO170" s="150">
        <v>1.29</v>
      </c>
      <c r="BP170" s="150">
        <v>1.7</v>
      </c>
      <c r="BQ170" s="150">
        <v>1.58</v>
      </c>
      <c r="BR170" s="150">
        <v>0.94</v>
      </c>
      <c r="BS170" s="150">
        <v>1.88</v>
      </c>
      <c r="BT170" s="150">
        <v>1.34</v>
      </c>
      <c r="BU170" s="151">
        <v>1.49</v>
      </c>
      <c r="BV170" s="79">
        <v>2112000</v>
      </c>
      <c r="BW170" s="110">
        <v>150</v>
      </c>
      <c r="BX170" s="110">
        <v>1255</v>
      </c>
      <c r="BY170" s="162">
        <v>32.9</v>
      </c>
      <c r="BZ170" s="111">
        <v>17.600000000000001</v>
      </c>
      <c r="CA170" s="120">
        <v>7.2000000000000005E-4</v>
      </c>
      <c r="CB170" s="110">
        <v>386</v>
      </c>
      <c r="CC170" s="119">
        <v>1.07E-3</v>
      </c>
      <c r="CD170" s="110">
        <v>386</v>
      </c>
      <c r="CE170" s="104">
        <f t="shared" si="8"/>
        <v>6.7676767676767679E-3</v>
      </c>
      <c r="CF170" s="105">
        <f t="shared" si="6"/>
        <v>0.94</v>
      </c>
    </row>
    <row r="171" spans="1:84" ht="14.25" customHeight="1" x14ac:dyDescent="0.25">
      <c r="A171" s="204">
        <v>170</v>
      </c>
      <c r="B171" s="202" t="s">
        <v>387</v>
      </c>
      <c r="C171" s="203" t="s">
        <v>388</v>
      </c>
      <c r="D171" s="239">
        <v>1422.4</v>
      </c>
      <c r="E171" s="206">
        <v>1219.2</v>
      </c>
      <c r="F171" s="206">
        <f t="shared" si="7"/>
        <v>1734190.0800000001</v>
      </c>
      <c r="G171" s="240">
        <v>193.67500000000001</v>
      </c>
      <c r="H171" s="206">
        <v>1066.8</v>
      </c>
      <c r="I171" s="207">
        <v>1.17</v>
      </c>
      <c r="J171" s="208">
        <v>24</v>
      </c>
      <c r="K171" s="209">
        <v>19.2</v>
      </c>
      <c r="L171" s="210">
        <v>22</v>
      </c>
      <c r="M171" s="211">
        <v>0.66</v>
      </c>
      <c r="N171" s="206">
        <v>9.1999999999999993</v>
      </c>
      <c r="O171" s="212" t="s">
        <v>206</v>
      </c>
      <c r="P171" s="213" t="s">
        <v>216</v>
      </c>
      <c r="Q171" s="214">
        <v>0</v>
      </c>
      <c r="R171" s="215">
        <v>0</v>
      </c>
      <c r="S171" s="215">
        <v>0</v>
      </c>
      <c r="T171" s="205">
        <v>0</v>
      </c>
      <c r="U171" s="213" t="s">
        <v>217</v>
      </c>
      <c r="V171" s="214">
        <v>0</v>
      </c>
      <c r="W171" s="205">
        <v>0</v>
      </c>
      <c r="X171" s="213" t="s">
        <v>217</v>
      </c>
      <c r="Y171" s="217">
        <v>0.79</v>
      </c>
      <c r="Z171" s="238">
        <v>0.5</v>
      </c>
      <c r="AA171" s="128" t="s">
        <v>217</v>
      </c>
      <c r="AB171" s="117" t="s">
        <v>217</v>
      </c>
      <c r="AC171" s="219">
        <v>2</v>
      </c>
      <c r="AD171" s="212" t="s">
        <v>229</v>
      </c>
      <c r="AE171" s="213">
        <v>0.48</v>
      </c>
      <c r="AF171" s="102">
        <v>0.36</v>
      </c>
      <c r="AG171" s="100">
        <v>0</v>
      </c>
      <c r="AH171" s="100">
        <v>0.2</v>
      </c>
      <c r="AI171" s="101">
        <v>0.55000000000000004</v>
      </c>
      <c r="AJ171" s="102">
        <v>0.43</v>
      </c>
      <c r="AK171" s="100">
        <v>0</v>
      </c>
      <c r="AL171" s="100">
        <v>0</v>
      </c>
      <c r="AM171" s="101">
        <v>0.43</v>
      </c>
      <c r="AN171" s="102">
        <v>0.44</v>
      </c>
      <c r="AO171" s="100">
        <v>0</v>
      </c>
      <c r="AP171" s="100">
        <v>0.51</v>
      </c>
      <c r="AQ171" s="101">
        <v>0.95</v>
      </c>
      <c r="AR171" s="102">
        <v>0.6</v>
      </c>
      <c r="AS171" s="100">
        <v>0</v>
      </c>
      <c r="AT171" s="100">
        <v>0.2</v>
      </c>
      <c r="AU171" s="101">
        <v>0.48</v>
      </c>
      <c r="AV171" s="102">
        <v>0.22</v>
      </c>
      <c r="AW171" s="100">
        <v>0</v>
      </c>
      <c r="AX171" s="100">
        <v>0</v>
      </c>
      <c r="AY171" s="101">
        <v>0.22</v>
      </c>
      <c r="AZ171" s="102">
        <v>0</v>
      </c>
      <c r="BA171" s="100">
        <v>0</v>
      </c>
      <c r="BB171" s="100">
        <v>0.06</v>
      </c>
      <c r="BC171" s="101">
        <v>0.06</v>
      </c>
      <c r="BD171" s="103">
        <v>0.22</v>
      </c>
      <c r="BE171" s="102">
        <v>0.56999999999999995</v>
      </c>
      <c r="BF171" s="100">
        <v>0</v>
      </c>
      <c r="BG171" s="100">
        <v>0.18</v>
      </c>
      <c r="BH171" s="101">
        <v>0.75</v>
      </c>
      <c r="BI171" s="102">
        <v>0.33</v>
      </c>
      <c r="BJ171" s="100">
        <v>0</v>
      </c>
      <c r="BK171" s="100">
        <v>0.24</v>
      </c>
      <c r="BL171" s="101">
        <v>0.56999999999999995</v>
      </c>
      <c r="BM171" s="102">
        <v>1</v>
      </c>
      <c r="BN171" s="100">
        <v>1.29</v>
      </c>
      <c r="BO171" s="100">
        <v>0.57999999999999996</v>
      </c>
      <c r="BP171" s="100">
        <v>1.1399999999999999</v>
      </c>
      <c r="BQ171" s="100">
        <v>2.54</v>
      </c>
      <c r="BR171" s="100">
        <v>9.16</v>
      </c>
      <c r="BS171" s="100">
        <v>2.52</v>
      </c>
      <c r="BT171" s="100">
        <v>0.74</v>
      </c>
      <c r="BU171" s="101">
        <v>0.98</v>
      </c>
      <c r="BV171" s="79">
        <v>1734190.0800000001</v>
      </c>
      <c r="BW171" s="240">
        <v>193.67500000000001</v>
      </c>
      <c r="BX171" s="206">
        <v>1066.8</v>
      </c>
      <c r="BY171" s="210">
        <v>22</v>
      </c>
      <c r="BZ171" s="206">
        <v>9.1999999999999993</v>
      </c>
      <c r="CA171" s="215">
        <v>0</v>
      </c>
      <c r="CB171" s="205">
        <v>0</v>
      </c>
      <c r="CC171" s="214">
        <v>0</v>
      </c>
      <c r="CD171" s="205">
        <v>0</v>
      </c>
      <c r="CE171" s="104">
        <f t="shared" si="8"/>
        <v>3.1338860491928631E-3</v>
      </c>
      <c r="CF171" s="105">
        <f t="shared" si="6"/>
        <v>0.48</v>
      </c>
    </row>
    <row r="172" spans="1:84" x14ac:dyDescent="0.25">
      <c r="A172" s="109">
        <v>171</v>
      </c>
      <c r="B172" s="107"/>
      <c r="C172" s="108" t="s">
        <v>389</v>
      </c>
      <c r="D172" s="113">
        <v>1422.4</v>
      </c>
      <c r="E172" s="111">
        <v>1219.2</v>
      </c>
      <c r="F172" s="111">
        <f t="shared" si="7"/>
        <v>1734190.0800000001</v>
      </c>
      <c r="G172" s="241">
        <v>193.67500000000001</v>
      </c>
      <c r="H172" s="111">
        <v>1066.8</v>
      </c>
      <c r="I172" s="112">
        <v>1.17</v>
      </c>
      <c r="J172" s="160">
        <v>24</v>
      </c>
      <c r="K172" s="242">
        <v>19.2</v>
      </c>
      <c r="L172" s="162">
        <v>22</v>
      </c>
      <c r="M172" s="163">
        <v>0.84</v>
      </c>
      <c r="N172" s="111">
        <v>12.7</v>
      </c>
      <c r="O172" s="117" t="s">
        <v>206</v>
      </c>
      <c r="P172" s="118" t="s">
        <v>216</v>
      </c>
      <c r="Q172" s="119">
        <v>8.4999999999999995E-4</v>
      </c>
      <c r="R172" s="120">
        <v>0</v>
      </c>
      <c r="S172" s="120">
        <v>1.6999999999999999E-3</v>
      </c>
      <c r="T172" s="110">
        <v>489</v>
      </c>
      <c r="U172" s="118" t="s">
        <v>217</v>
      </c>
      <c r="V172" s="119">
        <v>7.2999999999999996E-4</v>
      </c>
      <c r="W172" s="110">
        <v>331</v>
      </c>
      <c r="X172" s="121">
        <v>1422</v>
      </c>
      <c r="Y172" s="165">
        <v>0.56999999999999995</v>
      </c>
      <c r="Z172" s="115">
        <v>0.5</v>
      </c>
      <c r="AA172" s="128" t="s">
        <v>217</v>
      </c>
      <c r="AB172" s="117" t="s">
        <v>217</v>
      </c>
      <c r="AC172" s="179">
        <v>2</v>
      </c>
      <c r="AD172" s="117" t="s">
        <v>229</v>
      </c>
      <c r="AE172" s="118">
        <v>0.88</v>
      </c>
      <c r="AF172" s="125">
        <v>0.42</v>
      </c>
      <c r="AG172" s="123">
        <v>0.1</v>
      </c>
      <c r="AH172" s="123">
        <v>0.14000000000000001</v>
      </c>
      <c r="AI172" s="124">
        <v>0.67</v>
      </c>
      <c r="AJ172" s="125">
        <v>0.37</v>
      </c>
      <c r="AK172" s="123">
        <v>0.43</v>
      </c>
      <c r="AL172" s="123">
        <v>0</v>
      </c>
      <c r="AM172" s="124">
        <v>0.8</v>
      </c>
      <c r="AN172" s="125">
        <v>0.56000000000000005</v>
      </c>
      <c r="AO172" s="123">
        <v>0.15</v>
      </c>
      <c r="AP172" s="123">
        <v>0.36</v>
      </c>
      <c r="AQ172" s="124">
        <v>1.07</v>
      </c>
      <c r="AR172" s="125">
        <v>0.71</v>
      </c>
      <c r="AS172" s="123">
        <v>0.13</v>
      </c>
      <c r="AT172" s="123">
        <v>0.14000000000000001</v>
      </c>
      <c r="AU172" s="124">
        <v>0.56999999999999995</v>
      </c>
      <c r="AV172" s="125">
        <v>0.26</v>
      </c>
      <c r="AW172" s="123">
        <v>0.24</v>
      </c>
      <c r="AX172" s="123">
        <v>0</v>
      </c>
      <c r="AY172" s="124">
        <v>0.5</v>
      </c>
      <c r="AZ172" s="125">
        <v>0.22</v>
      </c>
      <c r="BA172" s="123">
        <v>0.32</v>
      </c>
      <c r="BB172" s="123">
        <v>0.04</v>
      </c>
      <c r="BC172" s="124">
        <v>0.57999999999999996</v>
      </c>
      <c r="BD172" s="126">
        <v>0.51</v>
      </c>
      <c r="BE172" s="125">
        <v>0.72</v>
      </c>
      <c r="BF172" s="123">
        <v>0</v>
      </c>
      <c r="BG172" s="123">
        <v>0.13</v>
      </c>
      <c r="BH172" s="124">
        <v>0.86</v>
      </c>
      <c r="BI172" s="125">
        <v>0.42</v>
      </c>
      <c r="BJ172" s="123">
        <v>0.14000000000000001</v>
      </c>
      <c r="BK172" s="123">
        <v>0.17</v>
      </c>
      <c r="BL172" s="124">
        <v>0.74</v>
      </c>
      <c r="BM172" s="125">
        <v>1.55</v>
      </c>
      <c r="BN172" s="123">
        <v>1.28</v>
      </c>
      <c r="BO172" s="123">
        <v>0.96</v>
      </c>
      <c r="BP172" s="123">
        <v>1.81</v>
      </c>
      <c r="BQ172" s="123">
        <v>2.0699999999999998</v>
      </c>
      <c r="BR172" s="123">
        <v>1.79</v>
      </c>
      <c r="BS172" s="123">
        <v>2.02</v>
      </c>
      <c r="BT172" s="123">
        <v>1.2</v>
      </c>
      <c r="BU172" s="124">
        <v>1.4</v>
      </c>
      <c r="BV172" s="79">
        <v>1734190.0800000001</v>
      </c>
      <c r="BW172" s="241">
        <v>193.67500000000001</v>
      </c>
      <c r="BX172" s="111">
        <v>1066.8</v>
      </c>
      <c r="BY172" s="162">
        <v>22</v>
      </c>
      <c r="BZ172" s="111">
        <v>12.7</v>
      </c>
      <c r="CA172" s="120">
        <v>1.6999999999999999E-3</v>
      </c>
      <c r="CB172" s="110">
        <v>489</v>
      </c>
      <c r="CC172" s="119">
        <v>7.2999999999999996E-4</v>
      </c>
      <c r="CD172" s="110">
        <v>331</v>
      </c>
      <c r="CE172" s="104">
        <f t="shared" si="8"/>
        <v>5.0819773770695081E-3</v>
      </c>
      <c r="CF172" s="105">
        <f t="shared" si="6"/>
        <v>0.88</v>
      </c>
    </row>
    <row r="173" spans="1:84" x14ac:dyDescent="0.25">
      <c r="A173" s="109">
        <v>172</v>
      </c>
      <c r="B173" s="107"/>
      <c r="C173" s="108" t="s">
        <v>390</v>
      </c>
      <c r="D173" s="113">
        <v>1422.4</v>
      </c>
      <c r="E173" s="111">
        <v>1219.2</v>
      </c>
      <c r="F173" s="111">
        <f t="shared" si="7"/>
        <v>1734190.0800000001</v>
      </c>
      <c r="G173" s="241">
        <v>193.67500000000001</v>
      </c>
      <c r="H173" s="111">
        <v>1066.8</v>
      </c>
      <c r="I173" s="112">
        <v>1.17</v>
      </c>
      <c r="J173" s="160">
        <v>24</v>
      </c>
      <c r="K173" s="242">
        <v>19.2</v>
      </c>
      <c r="L173" s="162">
        <v>22</v>
      </c>
      <c r="M173" s="163">
        <v>0.87</v>
      </c>
      <c r="N173" s="111">
        <v>13.1</v>
      </c>
      <c r="O173" s="117" t="s">
        <v>206</v>
      </c>
      <c r="P173" s="118" t="s">
        <v>216</v>
      </c>
      <c r="Q173" s="119">
        <v>2.16E-3</v>
      </c>
      <c r="R173" s="120">
        <v>0</v>
      </c>
      <c r="S173" s="120">
        <v>4.3200000000000001E-3</v>
      </c>
      <c r="T173" s="110">
        <v>0</v>
      </c>
      <c r="U173" s="118" t="s">
        <v>217</v>
      </c>
      <c r="V173" s="119">
        <v>0</v>
      </c>
      <c r="W173" s="110">
        <v>0</v>
      </c>
      <c r="X173" s="118" t="s">
        <v>217</v>
      </c>
      <c r="Y173" s="165">
        <v>0.55000000000000004</v>
      </c>
      <c r="Z173" s="115">
        <v>0.5</v>
      </c>
      <c r="AA173" s="128" t="s">
        <v>217</v>
      </c>
      <c r="AB173" s="117" t="s">
        <v>217</v>
      </c>
      <c r="AC173" s="179">
        <v>2</v>
      </c>
      <c r="AD173" s="117" t="s">
        <v>229</v>
      </c>
      <c r="AE173" s="118">
        <v>0.7</v>
      </c>
      <c r="AF173" s="125">
        <v>0.43</v>
      </c>
      <c r="AG173" s="123">
        <v>0</v>
      </c>
      <c r="AH173" s="123">
        <v>0.14000000000000001</v>
      </c>
      <c r="AI173" s="124">
        <v>0.56000000000000005</v>
      </c>
      <c r="AJ173" s="125">
        <v>0.36</v>
      </c>
      <c r="AK173" s="123">
        <v>0</v>
      </c>
      <c r="AL173" s="123">
        <v>0</v>
      </c>
      <c r="AM173" s="124">
        <v>0.36</v>
      </c>
      <c r="AN173" s="125">
        <v>0.53</v>
      </c>
      <c r="AO173" s="123">
        <v>0</v>
      </c>
      <c r="AP173" s="123">
        <v>0.36</v>
      </c>
      <c r="AQ173" s="124">
        <v>0.89</v>
      </c>
      <c r="AR173" s="125">
        <v>0.72</v>
      </c>
      <c r="AS173" s="123">
        <v>0</v>
      </c>
      <c r="AT173" s="123">
        <v>0.14000000000000001</v>
      </c>
      <c r="AU173" s="124">
        <v>0.57999999999999996</v>
      </c>
      <c r="AV173" s="125">
        <v>0.26</v>
      </c>
      <c r="AW173" s="123">
        <v>0</v>
      </c>
      <c r="AX173" s="123">
        <v>0</v>
      </c>
      <c r="AY173" s="124">
        <v>0.26</v>
      </c>
      <c r="AZ173" s="125">
        <v>0.27</v>
      </c>
      <c r="BA173" s="123">
        <v>0</v>
      </c>
      <c r="BB173" s="123">
        <v>0.04</v>
      </c>
      <c r="BC173" s="124">
        <v>0.31</v>
      </c>
      <c r="BD173" s="126">
        <v>0.22</v>
      </c>
      <c r="BE173" s="125">
        <v>0.74</v>
      </c>
      <c r="BF173" s="123">
        <v>0</v>
      </c>
      <c r="BG173" s="123">
        <v>0.13</v>
      </c>
      <c r="BH173" s="124">
        <v>0.87</v>
      </c>
      <c r="BI173" s="125">
        <v>0.43</v>
      </c>
      <c r="BJ173" s="123">
        <v>0</v>
      </c>
      <c r="BK173" s="123">
        <v>0.17</v>
      </c>
      <c r="BL173" s="124">
        <v>0.6</v>
      </c>
      <c r="BM173" s="125">
        <v>1.44</v>
      </c>
      <c r="BN173" s="123">
        <v>2.23</v>
      </c>
      <c r="BO173" s="123">
        <v>0.91</v>
      </c>
      <c r="BP173" s="123">
        <v>1.4</v>
      </c>
      <c r="BQ173" s="123">
        <v>3.11</v>
      </c>
      <c r="BR173" s="123">
        <v>2.59</v>
      </c>
      <c r="BS173" s="123">
        <v>3.69</v>
      </c>
      <c r="BT173" s="123">
        <v>0.93</v>
      </c>
      <c r="BU173" s="124">
        <v>1.36</v>
      </c>
      <c r="BV173" s="79">
        <v>1734190.0800000001</v>
      </c>
      <c r="BW173" s="241">
        <v>193.67500000000001</v>
      </c>
      <c r="BX173" s="111">
        <v>1066.8</v>
      </c>
      <c r="BY173" s="162">
        <v>22</v>
      </c>
      <c r="BZ173" s="111">
        <v>13.1</v>
      </c>
      <c r="CA173" s="120">
        <v>4.3200000000000001E-3</v>
      </c>
      <c r="CB173" s="110">
        <v>0</v>
      </c>
      <c r="CC173" s="119">
        <v>0</v>
      </c>
      <c r="CD173" s="110">
        <v>0</v>
      </c>
      <c r="CE173" s="104">
        <f t="shared" si="8"/>
        <v>3.9385324672288691E-3</v>
      </c>
      <c r="CF173" s="105">
        <f t="shared" si="6"/>
        <v>0.7</v>
      </c>
    </row>
    <row r="174" spans="1:84" x14ac:dyDescent="0.25">
      <c r="A174" s="109">
        <v>173</v>
      </c>
      <c r="B174" s="107"/>
      <c r="C174" s="108" t="s">
        <v>391</v>
      </c>
      <c r="D174" s="113">
        <v>1422.4</v>
      </c>
      <c r="E174" s="111">
        <v>1219.2</v>
      </c>
      <c r="F174" s="111">
        <f t="shared" si="7"/>
        <v>1734190.0800000001</v>
      </c>
      <c r="G174" s="241">
        <v>193.67500000000001</v>
      </c>
      <c r="H174" s="111">
        <v>1066.8</v>
      </c>
      <c r="I174" s="112">
        <v>1.17</v>
      </c>
      <c r="J174" s="160">
        <v>24</v>
      </c>
      <c r="K174" s="242">
        <v>19.2</v>
      </c>
      <c r="L174" s="162">
        <v>22</v>
      </c>
      <c r="M174" s="163">
        <v>0.87</v>
      </c>
      <c r="N174" s="111">
        <v>13.1</v>
      </c>
      <c r="O174" s="117" t="s">
        <v>206</v>
      </c>
      <c r="P174" s="118" t="s">
        <v>216</v>
      </c>
      <c r="Q174" s="119">
        <v>2.16E-3</v>
      </c>
      <c r="R174" s="120">
        <v>0</v>
      </c>
      <c r="S174" s="120">
        <v>4.3200000000000001E-3</v>
      </c>
      <c r="T174" s="110">
        <v>477</v>
      </c>
      <c r="U174" s="118" t="s">
        <v>217</v>
      </c>
      <c r="V174" s="119">
        <v>1.4499999999999999E-3</v>
      </c>
      <c r="W174" s="110">
        <v>331</v>
      </c>
      <c r="X174" s="121">
        <v>711</v>
      </c>
      <c r="Y174" s="165">
        <v>0.59</v>
      </c>
      <c r="Z174" s="115">
        <v>0.5</v>
      </c>
      <c r="AA174" s="128" t="s">
        <v>217</v>
      </c>
      <c r="AB174" s="117" t="s">
        <v>217</v>
      </c>
      <c r="AC174" s="179">
        <v>2</v>
      </c>
      <c r="AD174" s="117" t="s">
        <v>229</v>
      </c>
      <c r="AE174" s="118">
        <v>0.92</v>
      </c>
      <c r="AF174" s="125">
        <v>0.43</v>
      </c>
      <c r="AG174" s="123">
        <v>0.21</v>
      </c>
      <c r="AH174" s="123">
        <v>0.15</v>
      </c>
      <c r="AI174" s="124">
        <v>0.78</v>
      </c>
      <c r="AJ174" s="125">
        <v>0.38</v>
      </c>
      <c r="AK174" s="123">
        <v>0.65</v>
      </c>
      <c r="AL174" s="123">
        <v>0</v>
      </c>
      <c r="AM174" s="124">
        <v>1.02</v>
      </c>
      <c r="AN174" s="125">
        <v>0.62</v>
      </c>
      <c r="AO174" s="123">
        <v>0.31</v>
      </c>
      <c r="AP174" s="123">
        <v>0.37</v>
      </c>
      <c r="AQ174" s="124">
        <v>1.3</v>
      </c>
      <c r="AR174" s="125">
        <v>0.72</v>
      </c>
      <c r="AS174" s="123">
        <v>0.25</v>
      </c>
      <c r="AT174" s="123">
        <v>0.15</v>
      </c>
      <c r="AU174" s="124">
        <v>0.57999999999999996</v>
      </c>
      <c r="AV174" s="125">
        <v>0.26</v>
      </c>
      <c r="AW174" s="123">
        <v>0.48</v>
      </c>
      <c r="AX174" s="123">
        <v>0</v>
      </c>
      <c r="AY174" s="124">
        <v>0.74</v>
      </c>
      <c r="AZ174" s="125">
        <v>0.27</v>
      </c>
      <c r="BA174" s="123">
        <v>0.45</v>
      </c>
      <c r="BB174" s="123">
        <v>0.05</v>
      </c>
      <c r="BC174" s="124">
        <v>0.76</v>
      </c>
      <c r="BD174" s="126">
        <v>0.52</v>
      </c>
      <c r="BE174" s="125">
        <v>0.74</v>
      </c>
      <c r="BF174" s="123">
        <v>0</v>
      </c>
      <c r="BG174" s="123">
        <v>0.14000000000000001</v>
      </c>
      <c r="BH174" s="124">
        <v>0.88</v>
      </c>
      <c r="BI174" s="125">
        <v>0.43</v>
      </c>
      <c r="BJ174" s="123">
        <v>0.28999999999999998</v>
      </c>
      <c r="BK174" s="123">
        <v>0.18</v>
      </c>
      <c r="BL174" s="124">
        <v>0.9</v>
      </c>
      <c r="BM174" s="125">
        <v>1.36</v>
      </c>
      <c r="BN174" s="123">
        <v>1.04</v>
      </c>
      <c r="BO174" s="123">
        <v>0.82</v>
      </c>
      <c r="BP174" s="123">
        <v>1.84</v>
      </c>
      <c r="BQ174" s="123">
        <v>1.44</v>
      </c>
      <c r="BR174" s="123">
        <v>1.4</v>
      </c>
      <c r="BS174" s="123">
        <v>2.06</v>
      </c>
      <c r="BT174" s="123">
        <v>1.22</v>
      </c>
      <c r="BU174" s="124">
        <v>1.19</v>
      </c>
      <c r="BV174" s="79">
        <v>1734190.0800000001</v>
      </c>
      <c r="BW174" s="241">
        <v>193.67500000000001</v>
      </c>
      <c r="BX174" s="111">
        <v>1066.8</v>
      </c>
      <c r="BY174" s="162">
        <v>22</v>
      </c>
      <c r="BZ174" s="111">
        <v>13.1</v>
      </c>
      <c r="CA174" s="120">
        <v>4.3200000000000001E-3</v>
      </c>
      <c r="CB174" s="110">
        <v>477</v>
      </c>
      <c r="CC174" s="119">
        <v>1.4499999999999999E-3</v>
      </c>
      <c r="CD174" s="110">
        <v>331</v>
      </c>
      <c r="CE174" s="184">
        <f t="shared" si="8"/>
        <v>5.1666770000206664E-3</v>
      </c>
      <c r="CF174" s="185">
        <f t="shared" si="6"/>
        <v>0.92</v>
      </c>
    </row>
    <row r="175" spans="1:84" hidden="1" x14ac:dyDescent="0.25">
      <c r="A175" s="109">
        <v>174</v>
      </c>
      <c r="B175" s="107"/>
      <c r="C175" s="108" t="s">
        <v>392</v>
      </c>
      <c r="D175" s="113">
        <v>1422.4</v>
      </c>
      <c r="E175" s="111">
        <v>1219.2</v>
      </c>
      <c r="F175" s="111">
        <f t="shared" si="7"/>
        <v>1734190.0800000001</v>
      </c>
      <c r="G175" s="241">
        <v>187.32499999999999</v>
      </c>
      <c r="H175" s="111">
        <v>1066.8</v>
      </c>
      <c r="I175" s="112">
        <v>1.17</v>
      </c>
      <c r="J175" s="160">
        <v>24</v>
      </c>
      <c r="K175" s="242">
        <v>19.2</v>
      </c>
      <c r="L175" s="162">
        <v>22</v>
      </c>
      <c r="M175" s="163">
        <v>1.03</v>
      </c>
      <c r="N175" s="111">
        <v>17.5</v>
      </c>
      <c r="O175" s="117" t="s">
        <v>206</v>
      </c>
      <c r="P175" s="118" t="s">
        <v>207</v>
      </c>
      <c r="Q175" s="119">
        <v>0</v>
      </c>
      <c r="R175" s="120">
        <v>0</v>
      </c>
      <c r="S175" s="120">
        <v>0</v>
      </c>
      <c r="T175" s="110">
        <v>0</v>
      </c>
      <c r="U175" s="118" t="s">
        <v>217</v>
      </c>
      <c r="V175" s="119">
        <v>0</v>
      </c>
      <c r="W175" s="110">
        <v>0</v>
      </c>
      <c r="X175" s="118" t="s">
        <v>217</v>
      </c>
      <c r="Y175" s="165">
        <v>1.49</v>
      </c>
      <c r="Z175" s="115">
        <v>0.5</v>
      </c>
      <c r="AA175" s="128" t="s">
        <v>217</v>
      </c>
      <c r="AB175" s="117" t="s">
        <v>217</v>
      </c>
      <c r="AC175" s="179">
        <v>2</v>
      </c>
      <c r="AD175" s="117" t="s">
        <v>229</v>
      </c>
      <c r="AE175" s="118">
        <v>0.52</v>
      </c>
      <c r="AF175" s="125">
        <v>0.49</v>
      </c>
      <c r="AG175" s="123">
        <v>0</v>
      </c>
      <c r="AH175" s="123">
        <v>0.37</v>
      </c>
      <c r="AI175" s="124">
        <v>0.86</v>
      </c>
      <c r="AJ175" s="125">
        <v>0.63</v>
      </c>
      <c r="AK175" s="123">
        <v>0</v>
      </c>
      <c r="AL175" s="123">
        <v>0</v>
      </c>
      <c r="AM175" s="124">
        <v>0.63</v>
      </c>
      <c r="AN175" s="125">
        <v>0.61</v>
      </c>
      <c r="AO175" s="123">
        <v>0</v>
      </c>
      <c r="AP175" s="123">
        <v>0.96</v>
      </c>
      <c r="AQ175" s="124">
        <v>1.56</v>
      </c>
      <c r="AR175" s="125">
        <v>0.83</v>
      </c>
      <c r="AS175" s="123">
        <v>0</v>
      </c>
      <c r="AT175" s="123">
        <v>0.37</v>
      </c>
      <c r="AU175" s="124">
        <v>0.67</v>
      </c>
      <c r="AV175" s="125">
        <v>0.3</v>
      </c>
      <c r="AW175" s="123">
        <v>0</v>
      </c>
      <c r="AX175" s="123">
        <v>0</v>
      </c>
      <c r="AY175" s="124">
        <v>0.3</v>
      </c>
      <c r="AZ175" s="125">
        <v>0</v>
      </c>
      <c r="BA175" s="123">
        <v>0</v>
      </c>
      <c r="BB175" s="123">
        <v>0.11</v>
      </c>
      <c r="BC175" s="124">
        <v>0.11</v>
      </c>
      <c r="BD175" s="126">
        <v>0.22</v>
      </c>
      <c r="BE175" s="125">
        <v>0.88</v>
      </c>
      <c r="BF175" s="123">
        <v>0</v>
      </c>
      <c r="BG175" s="123">
        <v>0.34</v>
      </c>
      <c r="BH175" s="124">
        <v>1.22</v>
      </c>
      <c r="BI175" s="125">
        <v>0.51</v>
      </c>
      <c r="BJ175" s="123">
        <v>0</v>
      </c>
      <c r="BK175" s="123">
        <v>0.45</v>
      </c>
      <c r="BL175" s="124">
        <v>0.96</v>
      </c>
      <c r="BM175" s="125">
        <v>0.7</v>
      </c>
      <c r="BN175" s="123">
        <v>0.96</v>
      </c>
      <c r="BO175" s="123">
        <v>0.39</v>
      </c>
      <c r="BP175" s="123">
        <v>0.9</v>
      </c>
      <c r="BQ175" s="123">
        <v>2</v>
      </c>
      <c r="BR175" s="123">
        <v>5.29</v>
      </c>
      <c r="BS175" s="123">
        <v>2.74</v>
      </c>
      <c r="BT175" s="123">
        <v>0.49</v>
      </c>
      <c r="BU175" s="124">
        <v>0.63</v>
      </c>
      <c r="BV175" s="79">
        <v>1734190.0800000001</v>
      </c>
      <c r="BW175" s="241">
        <v>187.32499999999999</v>
      </c>
      <c r="BX175" s="111">
        <v>1066.8</v>
      </c>
      <c r="BY175" s="162">
        <v>22</v>
      </c>
      <c r="BZ175" s="111">
        <v>17.5</v>
      </c>
      <c r="CA175" s="120">
        <v>0</v>
      </c>
      <c r="CB175" s="110">
        <v>0</v>
      </c>
      <c r="CC175" s="119">
        <v>0</v>
      </c>
      <c r="CD175" s="110">
        <v>0</v>
      </c>
      <c r="CE175" s="104">
        <f t="shared" si="8"/>
        <v>2.1454845169577345E-3</v>
      </c>
      <c r="CF175" s="105">
        <f t="shared" si="6"/>
        <v>0.52</v>
      </c>
    </row>
    <row r="176" spans="1:84" hidden="1" x14ac:dyDescent="0.25">
      <c r="A176" s="109">
        <v>175</v>
      </c>
      <c r="B176" s="107"/>
      <c r="C176" s="108" t="s">
        <v>393</v>
      </c>
      <c r="D176" s="113">
        <v>1422.4</v>
      </c>
      <c r="E176" s="111">
        <v>1219.2</v>
      </c>
      <c r="F176" s="111">
        <f t="shared" si="7"/>
        <v>1734190.0800000001</v>
      </c>
      <c r="G176" s="241">
        <v>187.32499999999999</v>
      </c>
      <c r="H176" s="111">
        <v>1066.8</v>
      </c>
      <c r="I176" s="112">
        <v>1.17</v>
      </c>
      <c r="J176" s="160">
        <v>24</v>
      </c>
      <c r="K176" s="242">
        <v>19.2</v>
      </c>
      <c r="L176" s="162">
        <v>22</v>
      </c>
      <c r="M176" s="163">
        <v>1.07</v>
      </c>
      <c r="N176" s="111">
        <v>18.8</v>
      </c>
      <c r="O176" s="117" t="s">
        <v>206</v>
      </c>
      <c r="P176" s="118" t="s">
        <v>207</v>
      </c>
      <c r="Q176" s="119">
        <v>8.8000000000000003E-4</v>
      </c>
      <c r="R176" s="120">
        <v>0</v>
      </c>
      <c r="S176" s="120">
        <v>1.7600000000000001E-3</v>
      </c>
      <c r="T176" s="110">
        <v>492</v>
      </c>
      <c r="U176" s="118" t="s">
        <v>217</v>
      </c>
      <c r="V176" s="119">
        <v>7.5000000000000002E-4</v>
      </c>
      <c r="W176" s="110">
        <v>483</v>
      </c>
      <c r="X176" s="121">
        <v>1422</v>
      </c>
      <c r="Y176" s="165">
        <v>1.05</v>
      </c>
      <c r="Z176" s="115">
        <v>0.5</v>
      </c>
      <c r="AA176" s="128" t="s">
        <v>217</v>
      </c>
      <c r="AB176" s="117" t="s">
        <v>217</v>
      </c>
      <c r="AC176" s="179">
        <v>2</v>
      </c>
      <c r="AD176" s="117" t="s">
        <v>229</v>
      </c>
      <c r="AE176" s="118">
        <v>0.88</v>
      </c>
      <c r="AF176" s="125">
        <v>0.51</v>
      </c>
      <c r="AG176" s="123">
        <v>0.16</v>
      </c>
      <c r="AH176" s="123">
        <v>0.26</v>
      </c>
      <c r="AI176" s="124">
        <v>0.93</v>
      </c>
      <c r="AJ176" s="125">
        <v>0.5</v>
      </c>
      <c r="AK176" s="123">
        <v>0.65</v>
      </c>
      <c r="AL176" s="123">
        <v>0</v>
      </c>
      <c r="AM176" s="124">
        <v>1.1599999999999999</v>
      </c>
      <c r="AN176" s="125">
        <v>0.68</v>
      </c>
      <c r="AO176" s="123">
        <v>0.23</v>
      </c>
      <c r="AP176" s="123">
        <v>0.67</v>
      </c>
      <c r="AQ176" s="124">
        <v>1.58</v>
      </c>
      <c r="AR176" s="125">
        <v>0.86</v>
      </c>
      <c r="AS176" s="123">
        <v>0.19</v>
      </c>
      <c r="AT176" s="123">
        <v>0.26</v>
      </c>
      <c r="AU176" s="124">
        <v>0.69</v>
      </c>
      <c r="AV176" s="125">
        <v>0.31</v>
      </c>
      <c r="AW176" s="123">
        <v>0.36</v>
      </c>
      <c r="AX176" s="123">
        <v>0</v>
      </c>
      <c r="AY176" s="124">
        <v>0.67</v>
      </c>
      <c r="AZ176" s="125">
        <v>0.26</v>
      </c>
      <c r="BA176" s="123">
        <v>0.39</v>
      </c>
      <c r="BB176" s="123">
        <v>0.08</v>
      </c>
      <c r="BC176" s="124">
        <v>0.73</v>
      </c>
      <c r="BD176" s="126">
        <v>0.62</v>
      </c>
      <c r="BE176" s="125">
        <v>0.92</v>
      </c>
      <c r="BF176" s="123">
        <v>0</v>
      </c>
      <c r="BG176" s="123">
        <v>0.24</v>
      </c>
      <c r="BH176" s="124">
        <v>1.1599999999999999</v>
      </c>
      <c r="BI176" s="125">
        <v>0.53</v>
      </c>
      <c r="BJ176" s="123">
        <v>0.22</v>
      </c>
      <c r="BK176" s="123">
        <v>0.32</v>
      </c>
      <c r="BL176" s="124">
        <v>1.07</v>
      </c>
      <c r="BM176" s="125">
        <v>1.1100000000000001</v>
      </c>
      <c r="BN176" s="123">
        <v>0.89</v>
      </c>
      <c r="BO176" s="123">
        <v>0.65</v>
      </c>
      <c r="BP176" s="123">
        <v>1.48</v>
      </c>
      <c r="BQ176" s="123">
        <v>1.53</v>
      </c>
      <c r="BR176" s="123">
        <v>1.41</v>
      </c>
      <c r="BS176" s="123">
        <v>1.66</v>
      </c>
      <c r="BT176" s="123">
        <v>0.89</v>
      </c>
      <c r="BU176" s="124">
        <v>0.96</v>
      </c>
      <c r="BV176" s="79">
        <v>1734190.0800000001</v>
      </c>
      <c r="BW176" s="241">
        <v>187.32499999999999</v>
      </c>
      <c r="BX176" s="111">
        <v>1066.8</v>
      </c>
      <c r="BY176" s="162">
        <v>22</v>
      </c>
      <c r="BZ176" s="111">
        <v>18.8</v>
      </c>
      <c r="CA176" s="120">
        <v>1.7600000000000001E-3</v>
      </c>
      <c r="CB176" s="110">
        <v>492</v>
      </c>
      <c r="CC176" s="119">
        <v>7.5000000000000002E-4</v>
      </c>
      <c r="CD176" s="110">
        <v>483</v>
      </c>
      <c r="CE176" s="104">
        <f t="shared" si="8"/>
        <v>3.8969004491681302E-3</v>
      </c>
      <c r="CF176" s="105">
        <f t="shared" si="6"/>
        <v>0.88</v>
      </c>
    </row>
    <row r="177" spans="1:84" hidden="1" x14ac:dyDescent="0.25">
      <c r="A177" s="109">
        <v>176</v>
      </c>
      <c r="B177" s="107"/>
      <c r="C177" s="108" t="s">
        <v>394</v>
      </c>
      <c r="D177" s="113">
        <v>1422.4</v>
      </c>
      <c r="E177" s="111">
        <v>1219.2</v>
      </c>
      <c r="F177" s="111">
        <f t="shared" si="7"/>
        <v>1734190.0800000001</v>
      </c>
      <c r="G177" s="241">
        <v>187.32499999999999</v>
      </c>
      <c r="H177" s="111">
        <v>1066.8</v>
      </c>
      <c r="I177" s="112">
        <v>1.17</v>
      </c>
      <c r="J177" s="160">
        <v>24</v>
      </c>
      <c r="K177" s="242">
        <v>19.2</v>
      </c>
      <c r="L177" s="162">
        <v>22</v>
      </c>
      <c r="M177" s="163">
        <v>1.1000000000000001</v>
      </c>
      <c r="N177" s="111">
        <v>19.8</v>
      </c>
      <c r="O177" s="117" t="s">
        <v>206</v>
      </c>
      <c r="P177" s="118" t="s">
        <v>207</v>
      </c>
      <c r="Q177" s="119">
        <v>2.2300000000000002E-3</v>
      </c>
      <c r="R177" s="120">
        <v>0</v>
      </c>
      <c r="S177" s="120">
        <v>4.4600000000000004E-3</v>
      </c>
      <c r="T177" s="110">
        <v>0</v>
      </c>
      <c r="U177" s="118" t="s">
        <v>217</v>
      </c>
      <c r="V177" s="119">
        <v>0</v>
      </c>
      <c r="W177" s="110">
        <v>0</v>
      </c>
      <c r="X177" s="118" t="s">
        <v>217</v>
      </c>
      <c r="Y177" s="165">
        <v>0.72</v>
      </c>
      <c r="Z177" s="115">
        <v>0.5</v>
      </c>
      <c r="AA177" s="128" t="s">
        <v>217</v>
      </c>
      <c r="AB177" s="117" t="s">
        <v>217</v>
      </c>
      <c r="AC177" s="179">
        <v>2</v>
      </c>
      <c r="AD177" s="117" t="s">
        <v>229</v>
      </c>
      <c r="AE177" s="118">
        <v>0.83</v>
      </c>
      <c r="AF177" s="125">
        <v>0.52</v>
      </c>
      <c r="AG177" s="123">
        <v>0</v>
      </c>
      <c r="AH177" s="123">
        <v>0.18</v>
      </c>
      <c r="AI177" s="124">
        <v>0.7</v>
      </c>
      <c r="AJ177" s="125">
        <v>0.41</v>
      </c>
      <c r="AK177" s="123">
        <v>0</v>
      </c>
      <c r="AL177" s="123">
        <v>0</v>
      </c>
      <c r="AM177" s="124">
        <v>0.41</v>
      </c>
      <c r="AN177" s="125">
        <v>0.65</v>
      </c>
      <c r="AO177" s="123">
        <v>0</v>
      </c>
      <c r="AP177" s="123">
        <v>0.48</v>
      </c>
      <c r="AQ177" s="124">
        <v>1.1200000000000001</v>
      </c>
      <c r="AR177" s="125">
        <v>0.88</v>
      </c>
      <c r="AS177" s="123">
        <v>0</v>
      </c>
      <c r="AT177" s="123">
        <v>0.18</v>
      </c>
      <c r="AU177" s="124">
        <v>0.71</v>
      </c>
      <c r="AV177" s="125">
        <v>0.32</v>
      </c>
      <c r="AW177" s="123">
        <v>0</v>
      </c>
      <c r="AX177" s="123">
        <v>0</v>
      </c>
      <c r="AY177" s="124">
        <v>0.32</v>
      </c>
      <c r="AZ177" s="125">
        <v>0.33</v>
      </c>
      <c r="BA177" s="123">
        <v>0</v>
      </c>
      <c r="BB177" s="123">
        <v>0.06</v>
      </c>
      <c r="BC177" s="124">
        <v>0.39</v>
      </c>
      <c r="BD177" s="126">
        <v>0.22</v>
      </c>
      <c r="BE177" s="125">
        <v>0.94</v>
      </c>
      <c r="BF177" s="123">
        <v>0</v>
      </c>
      <c r="BG177" s="123">
        <v>0.17</v>
      </c>
      <c r="BH177" s="124">
        <v>1.1100000000000001</v>
      </c>
      <c r="BI177" s="125">
        <v>0.55000000000000004</v>
      </c>
      <c r="BJ177" s="123">
        <v>0</v>
      </c>
      <c r="BK177" s="123">
        <v>0.22</v>
      </c>
      <c r="BL177" s="124">
        <v>0.77</v>
      </c>
      <c r="BM177" s="125">
        <v>1.38</v>
      </c>
      <c r="BN177" s="123">
        <v>2.36</v>
      </c>
      <c r="BO177" s="123">
        <v>0.87</v>
      </c>
      <c r="BP177" s="123">
        <v>1.37</v>
      </c>
      <c r="BQ177" s="123">
        <v>3.04</v>
      </c>
      <c r="BR177" s="123">
        <v>2.5099999999999998</v>
      </c>
      <c r="BS177" s="123">
        <v>4.42</v>
      </c>
      <c r="BT177" s="123">
        <v>0.88</v>
      </c>
      <c r="BU177" s="124">
        <v>1.27</v>
      </c>
      <c r="BV177" s="79">
        <v>1734190.0800000001</v>
      </c>
      <c r="BW177" s="241">
        <v>187.32499999999999</v>
      </c>
      <c r="BX177" s="111">
        <v>1066.8</v>
      </c>
      <c r="BY177" s="162">
        <v>22</v>
      </c>
      <c r="BZ177" s="111">
        <v>19.8</v>
      </c>
      <c r="CA177" s="120">
        <v>4.4600000000000004E-3</v>
      </c>
      <c r="CB177" s="110">
        <v>0</v>
      </c>
      <c r="CC177" s="119">
        <v>0</v>
      </c>
      <c r="CD177" s="110">
        <v>0</v>
      </c>
      <c r="CE177" s="104">
        <f t="shared" si="8"/>
        <v>3.8531150508628706E-3</v>
      </c>
      <c r="CF177" s="105">
        <f t="shared" si="6"/>
        <v>0.83</v>
      </c>
    </row>
    <row r="178" spans="1:84" hidden="1" x14ac:dyDescent="0.25">
      <c r="A178" s="109">
        <v>177</v>
      </c>
      <c r="B178" s="107"/>
      <c r="C178" s="108" t="s">
        <v>395</v>
      </c>
      <c r="D178" s="113">
        <v>1422.4</v>
      </c>
      <c r="E178" s="111">
        <v>1219.2</v>
      </c>
      <c r="F178" s="111">
        <f t="shared" si="7"/>
        <v>1734190.0800000001</v>
      </c>
      <c r="G178" s="241">
        <v>187.32499999999999</v>
      </c>
      <c r="H178" s="111">
        <v>1066.8</v>
      </c>
      <c r="I178" s="112">
        <v>1.17</v>
      </c>
      <c r="J178" s="160">
        <v>24</v>
      </c>
      <c r="K178" s="242">
        <v>19.2</v>
      </c>
      <c r="L178" s="162">
        <v>22</v>
      </c>
      <c r="M178" s="163">
        <v>1.07</v>
      </c>
      <c r="N178" s="111">
        <v>18.8</v>
      </c>
      <c r="O178" s="117" t="s">
        <v>206</v>
      </c>
      <c r="P178" s="118" t="s">
        <v>207</v>
      </c>
      <c r="Q178" s="119">
        <v>2.2300000000000002E-3</v>
      </c>
      <c r="R178" s="120">
        <v>0</v>
      </c>
      <c r="S178" s="120">
        <v>4.4600000000000004E-3</v>
      </c>
      <c r="T178" s="110">
        <v>503</v>
      </c>
      <c r="U178" s="118" t="s">
        <v>217</v>
      </c>
      <c r="V178" s="119">
        <v>1.5E-3</v>
      </c>
      <c r="W178" s="110">
        <v>474</v>
      </c>
      <c r="X178" s="121">
        <v>711</v>
      </c>
      <c r="Y178" s="165">
        <v>0.52</v>
      </c>
      <c r="Z178" s="115">
        <v>0.5</v>
      </c>
      <c r="AA178" s="128" t="s">
        <v>217</v>
      </c>
      <c r="AB178" s="117" t="s">
        <v>217</v>
      </c>
      <c r="AC178" s="179">
        <v>2</v>
      </c>
      <c r="AD178" s="117" t="s">
        <v>229</v>
      </c>
      <c r="AE178" s="118">
        <v>0.9</v>
      </c>
      <c r="AF178" s="125">
        <v>0.51</v>
      </c>
      <c r="AG178" s="123">
        <v>0.31</v>
      </c>
      <c r="AH178" s="123">
        <v>0.13</v>
      </c>
      <c r="AI178" s="124">
        <v>0.95</v>
      </c>
      <c r="AJ178" s="125">
        <v>0.36</v>
      </c>
      <c r="AK178" s="123">
        <v>0.96</v>
      </c>
      <c r="AL178" s="123">
        <v>0</v>
      </c>
      <c r="AM178" s="124">
        <v>1.32</v>
      </c>
      <c r="AN178" s="125">
        <v>0.76</v>
      </c>
      <c r="AO178" s="123">
        <v>0.46</v>
      </c>
      <c r="AP178" s="123">
        <v>0.33</v>
      </c>
      <c r="AQ178" s="124">
        <v>1.54</v>
      </c>
      <c r="AR178" s="125">
        <v>0.86</v>
      </c>
      <c r="AS178" s="123">
        <v>0.37</v>
      </c>
      <c r="AT178" s="123">
        <v>0.13</v>
      </c>
      <c r="AU178" s="124">
        <v>0.69</v>
      </c>
      <c r="AV178" s="125">
        <v>0.31</v>
      </c>
      <c r="AW178" s="123">
        <v>0.71</v>
      </c>
      <c r="AX178" s="123">
        <v>0</v>
      </c>
      <c r="AY178" s="124">
        <v>1.02</v>
      </c>
      <c r="AZ178" s="125">
        <v>0.32</v>
      </c>
      <c r="BA178" s="123">
        <v>0.55000000000000004</v>
      </c>
      <c r="BB178" s="123">
        <v>0.04</v>
      </c>
      <c r="BC178" s="124">
        <v>0.91</v>
      </c>
      <c r="BD178" s="126">
        <v>0.62</v>
      </c>
      <c r="BE178" s="125">
        <v>0.92</v>
      </c>
      <c r="BF178" s="123">
        <v>0</v>
      </c>
      <c r="BG178" s="123">
        <v>0.12</v>
      </c>
      <c r="BH178" s="124">
        <v>1.04</v>
      </c>
      <c r="BI178" s="125">
        <v>0.53</v>
      </c>
      <c r="BJ178" s="123">
        <v>0.32</v>
      </c>
      <c r="BK178" s="123">
        <v>0.16</v>
      </c>
      <c r="BL178" s="124">
        <v>1.01</v>
      </c>
      <c r="BM178" s="125">
        <v>1.1000000000000001</v>
      </c>
      <c r="BN178" s="123">
        <v>0.79</v>
      </c>
      <c r="BO178" s="123">
        <v>0.68</v>
      </c>
      <c r="BP178" s="123">
        <v>1.51</v>
      </c>
      <c r="BQ178" s="123">
        <v>1.02</v>
      </c>
      <c r="BR178" s="123">
        <v>1.1499999999999999</v>
      </c>
      <c r="BS178" s="123">
        <v>1.68</v>
      </c>
      <c r="BT178" s="123">
        <v>1.01</v>
      </c>
      <c r="BU178" s="124">
        <v>1.03</v>
      </c>
      <c r="BV178" s="79">
        <v>1734190.0800000001</v>
      </c>
      <c r="BW178" s="241">
        <v>187.32499999999999</v>
      </c>
      <c r="BX178" s="111">
        <v>1066.8</v>
      </c>
      <c r="BY178" s="162">
        <v>22</v>
      </c>
      <c r="BZ178" s="111">
        <v>18.8</v>
      </c>
      <c r="CA178" s="120">
        <v>4.4600000000000004E-3</v>
      </c>
      <c r="CB178" s="110">
        <v>503</v>
      </c>
      <c r="CC178" s="119">
        <v>1.5E-3</v>
      </c>
      <c r="CD178" s="110">
        <v>474</v>
      </c>
      <c r="CE178" s="104">
        <f t="shared" si="8"/>
        <v>4.4223252288312486E-3</v>
      </c>
      <c r="CF178" s="105">
        <f t="shared" si="6"/>
        <v>0.9</v>
      </c>
    </row>
    <row r="179" spans="1:84" hidden="1" x14ac:dyDescent="0.25">
      <c r="A179" s="109">
        <v>178</v>
      </c>
      <c r="B179" s="107"/>
      <c r="C179" s="108" t="s">
        <v>396</v>
      </c>
      <c r="D179" s="109">
        <v>2032</v>
      </c>
      <c r="E179" s="111">
        <v>1066.8</v>
      </c>
      <c r="F179" s="111">
        <f t="shared" si="7"/>
        <v>2167737.6</v>
      </c>
      <c r="G179" s="241">
        <v>187.328</v>
      </c>
      <c r="H179" s="111">
        <v>914.4</v>
      </c>
      <c r="I179" s="112">
        <v>1.9</v>
      </c>
      <c r="J179" s="160">
        <v>24</v>
      </c>
      <c r="K179" s="242">
        <v>19.2</v>
      </c>
      <c r="L179" s="162">
        <v>22</v>
      </c>
      <c r="M179" s="163">
        <v>1.35</v>
      </c>
      <c r="N179" s="111">
        <v>31.1</v>
      </c>
      <c r="O179" s="117" t="s">
        <v>206</v>
      </c>
      <c r="P179" s="118" t="s">
        <v>207</v>
      </c>
      <c r="Q179" s="119">
        <v>2.5500000000000002E-3</v>
      </c>
      <c r="R179" s="120">
        <v>0</v>
      </c>
      <c r="S179" s="120">
        <v>5.1000000000000004E-3</v>
      </c>
      <c r="T179" s="110">
        <v>326</v>
      </c>
      <c r="U179" s="118" t="s">
        <v>217</v>
      </c>
      <c r="V179" s="119">
        <v>0</v>
      </c>
      <c r="W179" s="110">
        <v>343</v>
      </c>
      <c r="X179" s="118" t="s">
        <v>217</v>
      </c>
      <c r="Y179" s="165">
        <v>0.74</v>
      </c>
      <c r="Z179" s="115">
        <v>0.5</v>
      </c>
      <c r="AA179" s="128" t="s">
        <v>217</v>
      </c>
      <c r="AB179" s="117" t="s">
        <v>217</v>
      </c>
      <c r="AC179" s="179">
        <v>2</v>
      </c>
      <c r="AD179" s="117" t="s">
        <v>229</v>
      </c>
      <c r="AE179" s="118">
        <v>0.61</v>
      </c>
      <c r="AF179" s="125">
        <v>0.52</v>
      </c>
      <c r="AG179" s="123">
        <v>0</v>
      </c>
      <c r="AH179" s="123">
        <v>0.19</v>
      </c>
      <c r="AI179" s="124">
        <v>0.71</v>
      </c>
      <c r="AJ179" s="125">
        <v>0.42</v>
      </c>
      <c r="AK179" s="123">
        <v>0</v>
      </c>
      <c r="AL179" s="123">
        <v>0</v>
      </c>
      <c r="AM179" s="124">
        <v>0.42</v>
      </c>
      <c r="AN179" s="125">
        <v>0.75</v>
      </c>
      <c r="AO179" s="123">
        <v>0</v>
      </c>
      <c r="AP179" s="123">
        <v>0.28999999999999998</v>
      </c>
      <c r="AQ179" s="124">
        <v>1.04</v>
      </c>
      <c r="AR179" s="125">
        <v>0.8</v>
      </c>
      <c r="AS179" s="123">
        <v>0</v>
      </c>
      <c r="AT179" s="123">
        <v>0.19</v>
      </c>
      <c r="AU179" s="124">
        <v>0.89</v>
      </c>
      <c r="AV179" s="125">
        <v>0.28000000000000003</v>
      </c>
      <c r="AW179" s="123">
        <v>0</v>
      </c>
      <c r="AX179" s="123">
        <v>0</v>
      </c>
      <c r="AY179" s="124">
        <v>0.28000000000000003</v>
      </c>
      <c r="AZ179" s="125">
        <v>0.44</v>
      </c>
      <c r="BA179" s="123">
        <v>0</v>
      </c>
      <c r="BB179" s="123">
        <v>0.06</v>
      </c>
      <c r="BC179" s="124">
        <v>0.49</v>
      </c>
      <c r="BD179" s="126">
        <v>0.19</v>
      </c>
      <c r="BE179" s="125">
        <v>0.71</v>
      </c>
      <c r="BF179" s="123">
        <v>0</v>
      </c>
      <c r="BG179" s="123">
        <v>0.17</v>
      </c>
      <c r="BH179" s="124">
        <v>0.88</v>
      </c>
      <c r="BI179" s="125">
        <v>0.68</v>
      </c>
      <c r="BJ179" s="123">
        <v>0</v>
      </c>
      <c r="BK179" s="123">
        <v>0.22</v>
      </c>
      <c r="BL179" s="124">
        <v>0.9</v>
      </c>
      <c r="BM179" s="125">
        <v>1.64</v>
      </c>
      <c r="BN179" s="123">
        <v>2.77</v>
      </c>
      <c r="BO179" s="123">
        <v>1.1100000000000001</v>
      </c>
      <c r="BP179" s="123">
        <v>1.29</v>
      </c>
      <c r="BQ179" s="123">
        <v>4.16</v>
      </c>
      <c r="BR179" s="123">
        <v>2.34</v>
      </c>
      <c r="BS179" s="123">
        <v>6.08</v>
      </c>
      <c r="BT179" s="123">
        <v>1.31</v>
      </c>
      <c r="BU179" s="124">
        <v>1.28</v>
      </c>
      <c r="BV179" s="79">
        <v>2167737.6</v>
      </c>
      <c r="BW179" s="241">
        <v>187.328</v>
      </c>
      <c r="BX179" s="111">
        <v>914.4</v>
      </c>
      <c r="BY179" s="162">
        <v>22</v>
      </c>
      <c r="BZ179" s="111">
        <v>31.1</v>
      </c>
      <c r="CA179" s="120">
        <v>5.1000000000000004E-3</v>
      </c>
      <c r="CB179" s="110">
        <v>326</v>
      </c>
      <c r="CC179" s="119">
        <v>0</v>
      </c>
      <c r="CD179" s="110">
        <v>343</v>
      </c>
      <c r="CE179" s="104">
        <f t="shared" si="8"/>
        <v>6.5551946508907097E-3</v>
      </c>
      <c r="CF179" s="105">
        <f t="shared" si="6"/>
        <v>0.61</v>
      </c>
    </row>
    <row r="180" spans="1:84" hidden="1" x14ac:dyDescent="0.25">
      <c r="A180" s="109">
        <v>179</v>
      </c>
      <c r="B180" s="107"/>
      <c r="C180" s="108" t="s">
        <v>397</v>
      </c>
      <c r="D180" s="109">
        <v>2032</v>
      </c>
      <c r="E180" s="111">
        <v>1066.8</v>
      </c>
      <c r="F180" s="111">
        <f t="shared" si="7"/>
        <v>2167737.6</v>
      </c>
      <c r="G180" s="241">
        <v>187.32499999999999</v>
      </c>
      <c r="H180" s="111">
        <v>914.4</v>
      </c>
      <c r="I180" s="112">
        <v>1.9</v>
      </c>
      <c r="J180" s="160">
        <v>24</v>
      </c>
      <c r="K180" s="242">
        <v>19.2</v>
      </c>
      <c r="L180" s="162">
        <v>22</v>
      </c>
      <c r="M180" s="163">
        <v>1.35</v>
      </c>
      <c r="N180" s="111">
        <v>31.1</v>
      </c>
      <c r="O180" s="117" t="s">
        <v>206</v>
      </c>
      <c r="P180" s="118" t="s">
        <v>207</v>
      </c>
      <c r="Q180" s="119">
        <v>2.5500000000000002E-3</v>
      </c>
      <c r="R180" s="120">
        <v>0</v>
      </c>
      <c r="S180" s="120">
        <v>5.1000000000000004E-3</v>
      </c>
      <c r="T180" s="110">
        <v>326</v>
      </c>
      <c r="U180" s="118" t="s">
        <v>217</v>
      </c>
      <c r="V180" s="119">
        <v>1.58E-3</v>
      </c>
      <c r="W180" s="110">
        <v>343</v>
      </c>
      <c r="X180" s="121">
        <v>677</v>
      </c>
      <c r="Y180" s="165">
        <v>1.19</v>
      </c>
      <c r="Z180" s="115">
        <v>0.5</v>
      </c>
      <c r="AA180" s="128" t="s">
        <v>217</v>
      </c>
      <c r="AB180" s="117" t="s">
        <v>217</v>
      </c>
      <c r="AC180" s="179">
        <v>2</v>
      </c>
      <c r="AD180" s="117" t="s">
        <v>229</v>
      </c>
      <c r="AE180" s="118">
        <v>1.06</v>
      </c>
      <c r="AF180" s="125">
        <v>0.52</v>
      </c>
      <c r="AG180" s="123">
        <v>0.23</v>
      </c>
      <c r="AH180" s="123">
        <v>0.3</v>
      </c>
      <c r="AI180" s="124">
        <v>1.05</v>
      </c>
      <c r="AJ180" s="125">
        <v>0.54</v>
      </c>
      <c r="AK180" s="123">
        <v>0.65</v>
      </c>
      <c r="AL180" s="123">
        <v>0</v>
      </c>
      <c r="AM180" s="124">
        <v>1.19</v>
      </c>
      <c r="AN180" s="125">
        <v>0.75</v>
      </c>
      <c r="AO180" s="123">
        <v>0.35</v>
      </c>
      <c r="AP180" s="123">
        <v>0.46</v>
      </c>
      <c r="AQ180" s="124">
        <v>1.56</v>
      </c>
      <c r="AR180" s="125">
        <v>0.8</v>
      </c>
      <c r="AS180" s="123">
        <v>0.28000000000000003</v>
      </c>
      <c r="AT180" s="123">
        <v>0.3</v>
      </c>
      <c r="AU180" s="124">
        <v>0.89</v>
      </c>
      <c r="AV180" s="125">
        <v>0.28000000000000003</v>
      </c>
      <c r="AW180" s="123">
        <v>0.54</v>
      </c>
      <c r="AX180" s="123">
        <v>0</v>
      </c>
      <c r="AY180" s="124">
        <v>0.82</v>
      </c>
      <c r="AZ180" s="125">
        <v>0.44</v>
      </c>
      <c r="BA180" s="123">
        <v>0.47</v>
      </c>
      <c r="BB180" s="123">
        <v>0.09</v>
      </c>
      <c r="BC180" s="124">
        <v>0.99</v>
      </c>
      <c r="BD180" s="126">
        <v>0.52</v>
      </c>
      <c r="BE180" s="125">
        <v>0.71</v>
      </c>
      <c r="BF180" s="123">
        <v>0</v>
      </c>
      <c r="BG180" s="123">
        <v>0.27</v>
      </c>
      <c r="BH180" s="124">
        <v>0.98</v>
      </c>
      <c r="BI180" s="125">
        <v>0.68</v>
      </c>
      <c r="BJ180" s="123">
        <v>0.32</v>
      </c>
      <c r="BK180" s="123">
        <v>0.36</v>
      </c>
      <c r="BL180" s="124">
        <v>1.36</v>
      </c>
      <c r="BM180" s="125">
        <v>1.93</v>
      </c>
      <c r="BN180" s="123">
        <v>1.7</v>
      </c>
      <c r="BO180" s="123">
        <v>1.3</v>
      </c>
      <c r="BP180" s="123">
        <v>2.27</v>
      </c>
      <c r="BQ180" s="123">
        <v>2.4700000000000002</v>
      </c>
      <c r="BR180" s="123">
        <v>2.04</v>
      </c>
      <c r="BS180" s="123">
        <v>3.89</v>
      </c>
      <c r="BT180" s="123">
        <v>2.0499999999999998</v>
      </c>
      <c r="BU180" s="124">
        <v>1.49</v>
      </c>
      <c r="BV180" s="79">
        <v>2167737.6</v>
      </c>
      <c r="BW180" s="241">
        <v>187.32499999999999</v>
      </c>
      <c r="BX180" s="111">
        <v>914.4</v>
      </c>
      <c r="BY180" s="162">
        <v>22</v>
      </c>
      <c r="BZ180" s="111">
        <v>31.1</v>
      </c>
      <c r="CA180" s="120">
        <v>5.1000000000000004E-3</v>
      </c>
      <c r="CB180" s="110">
        <v>326</v>
      </c>
      <c r="CC180" s="119">
        <v>1.58E-3</v>
      </c>
      <c r="CD180" s="110">
        <v>343</v>
      </c>
      <c r="CE180" s="104">
        <f t="shared" si="8"/>
        <v>1.0258293317232317E-2</v>
      </c>
      <c r="CF180" s="105">
        <f t="shared" si="6"/>
        <v>1.06</v>
      </c>
    </row>
    <row r="181" spans="1:84" hidden="1" x14ac:dyDescent="0.25">
      <c r="A181" s="223">
        <v>180</v>
      </c>
      <c r="B181" s="221"/>
      <c r="C181" s="222" t="s">
        <v>398</v>
      </c>
      <c r="D181" s="223">
        <v>2032</v>
      </c>
      <c r="E181" s="225">
        <v>1066.8</v>
      </c>
      <c r="F181" s="225">
        <f t="shared" si="7"/>
        <v>2167737.6</v>
      </c>
      <c r="G181" s="243">
        <v>187.32499999999999</v>
      </c>
      <c r="H181" s="225">
        <v>914.4</v>
      </c>
      <c r="I181" s="226">
        <v>1.9</v>
      </c>
      <c r="J181" s="227">
        <v>24</v>
      </c>
      <c r="K181" s="244">
        <v>19.2</v>
      </c>
      <c r="L181" s="162">
        <v>22</v>
      </c>
      <c r="M181" s="228">
        <v>1.35</v>
      </c>
      <c r="N181" s="225">
        <v>31.1</v>
      </c>
      <c r="O181" s="229" t="s">
        <v>206</v>
      </c>
      <c r="P181" s="230" t="s">
        <v>207</v>
      </c>
      <c r="Q181" s="231">
        <v>2.5500000000000002E-3</v>
      </c>
      <c r="R181" s="232">
        <v>0</v>
      </c>
      <c r="S181" s="232">
        <v>5.1000000000000004E-3</v>
      </c>
      <c r="T181" s="224">
        <v>326</v>
      </c>
      <c r="U181" s="230" t="s">
        <v>217</v>
      </c>
      <c r="V181" s="231">
        <v>2.0999999999999999E-3</v>
      </c>
      <c r="W181" s="224">
        <v>343</v>
      </c>
      <c r="X181" s="233">
        <v>508</v>
      </c>
      <c r="Y181" s="234">
        <v>1.17</v>
      </c>
      <c r="Z181" s="245">
        <v>0.5</v>
      </c>
      <c r="AA181" s="198" t="s">
        <v>217</v>
      </c>
      <c r="AB181" s="144" t="s">
        <v>217</v>
      </c>
      <c r="AC181" s="236">
        <v>2</v>
      </c>
      <c r="AD181" s="229" t="s">
        <v>229</v>
      </c>
      <c r="AE181" s="230">
        <v>1.05</v>
      </c>
      <c r="AF181" s="152">
        <v>0.52</v>
      </c>
      <c r="AG181" s="150">
        <v>0.31</v>
      </c>
      <c r="AH181" s="150">
        <v>0.28999999999999998</v>
      </c>
      <c r="AI181" s="151">
        <v>1.1200000000000001</v>
      </c>
      <c r="AJ181" s="152">
        <v>0.54</v>
      </c>
      <c r="AK181" s="150">
        <v>0.81</v>
      </c>
      <c r="AL181" s="150">
        <v>0</v>
      </c>
      <c r="AM181" s="151">
        <v>1.35</v>
      </c>
      <c r="AN181" s="152">
        <v>0.75</v>
      </c>
      <c r="AO181" s="150">
        <v>0.46</v>
      </c>
      <c r="AP181" s="150">
        <v>0.45</v>
      </c>
      <c r="AQ181" s="151">
        <v>1.67</v>
      </c>
      <c r="AR181" s="152">
        <v>0.8</v>
      </c>
      <c r="AS181" s="150">
        <v>0.37</v>
      </c>
      <c r="AT181" s="150">
        <v>0.28999999999999998</v>
      </c>
      <c r="AU181" s="151">
        <v>0.89</v>
      </c>
      <c r="AV181" s="152">
        <v>0.28000000000000003</v>
      </c>
      <c r="AW181" s="150">
        <v>0.72</v>
      </c>
      <c r="AX181" s="150">
        <v>0</v>
      </c>
      <c r="AY181" s="151">
        <v>1</v>
      </c>
      <c r="AZ181" s="152">
        <v>0.44</v>
      </c>
      <c r="BA181" s="150">
        <v>0.54</v>
      </c>
      <c r="BB181" s="150">
        <v>0.09</v>
      </c>
      <c r="BC181" s="151">
        <v>1.06</v>
      </c>
      <c r="BD181" s="153">
        <v>0.52</v>
      </c>
      <c r="BE181" s="152">
        <v>0.71</v>
      </c>
      <c r="BF181" s="150">
        <v>0</v>
      </c>
      <c r="BG181" s="150">
        <v>0.27</v>
      </c>
      <c r="BH181" s="151">
        <v>0.98</v>
      </c>
      <c r="BI181" s="152">
        <v>0.68</v>
      </c>
      <c r="BJ181" s="150">
        <v>0.32</v>
      </c>
      <c r="BK181" s="150">
        <v>0.35</v>
      </c>
      <c r="BL181" s="151">
        <v>1.34</v>
      </c>
      <c r="BM181" s="152">
        <v>1.79</v>
      </c>
      <c r="BN181" s="150">
        <v>1.49</v>
      </c>
      <c r="BO181" s="150">
        <v>1.2</v>
      </c>
      <c r="BP181" s="150">
        <v>2.25</v>
      </c>
      <c r="BQ181" s="150">
        <v>2.0099999999999998</v>
      </c>
      <c r="BR181" s="150">
        <v>1.89</v>
      </c>
      <c r="BS181" s="150">
        <v>3.86</v>
      </c>
      <c r="BT181" s="150">
        <v>2.0499999999999998</v>
      </c>
      <c r="BU181" s="151">
        <v>1.49</v>
      </c>
      <c r="BV181" s="79">
        <v>2167737.6</v>
      </c>
      <c r="BW181" s="243">
        <v>187.32499999999999</v>
      </c>
      <c r="BX181" s="225">
        <v>914.4</v>
      </c>
      <c r="BY181" s="162">
        <v>22</v>
      </c>
      <c r="BZ181" s="225">
        <v>31.1</v>
      </c>
      <c r="CA181" s="232">
        <v>5.1000000000000004E-3</v>
      </c>
      <c r="CB181" s="224">
        <v>326</v>
      </c>
      <c r="CC181" s="231">
        <v>2.0999999999999999E-3</v>
      </c>
      <c r="CD181" s="224">
        <v>343</v>
      </c>
      <c r="CE181" s="104">
        <f t="shared" si="8"/>
        <v>1.0258293317232317E-2</v>
      </c>
      <c r="CF181" s="105">
        <f t="shared" si="6"/>
        <v>1.05</v>
      </c>
    </row>
    <row r="182" spans="1:84" ht="14.25" customHeight="1" x14ac:dyDescent="0.25">
      <c r="A182" s="204">
        <v>181</v>
      </c>
      <c r="B182" s="202" t="s">
        <v>399</v>
      </c>
      <c r="C182" s="203" t="s">
        <v>400</v>
      </c>
      <c r="D182" s="239">
        <v>1422.4</v>
      </c>
      <c r="E182" s="206">
        <v>1219.2</v>
      </c>
      <c r="F182" s="206">
        <f t="shared" si="7"/>
        <v>1734190.0800000001</v>
      </c>
      <c r="G182" s="240">
        <v>193.67500000000001</v>
      </c>
      <c r="H182" s="206">
        <v>1066.8</v>
      </c>
      <c r="I182" s="207">
        <v>1.17</v>
      </c>
      <c r="J182" s="208">
        <v>24</v>
      </c>
      <c r="K182" s="209">
        <v>19.2</v>
      </c>
      <c r="L182" s="210">
        <v>22</v>
      </c>
      <c r="M182" s="211">
        <v>0.65</v>
      </c>
      <c r="N182" s="206">
        <v>8.9</v>
      </c>
      <c r="O182" s="212" t="s">
        <v>206</v>
      </c>
      <c r="P182" s="213" t="s">
        <v>216</v>
      </c>
      <c r="Q182" s="214">
        <v>0</v>
      </c>
      <c r="R182" s="215">
        <v>0</v>
      </c>
      <c r="S182" s="215">
        <v>0</v>
      </c>
      <c r="T182" s="205">
        <v>0</v>
      </c>
      <c r="U182" s="213" t="s">
        <v>217</v>
      </c>
      <c r="V182" s="214">
        <v>0</v>
      </c>
      <c r="W182" s="205">
        <v>0</v>
      </c>
      <c r="X182" s="213" t="s">
        <v>217</v>
      </c>
      <c r="Y182" s="217">
        <v>0.74</v>
      </c>
      <c r="Z182" s="238">
        <v>0.5</v>
      </c>
      <c r="AA182" s="128" t="s">
        <v>217</v>
      </c>
      <c r="AB182" s="117" t="s">
        <v>217</v>
      </c>
      <c r="AC182" s="219">
        <v>2</v>
      </c>
      <c r="AD182" s="212" t="s">
        <v>229</v>
      </c>
      <c r="AE182" s="213">
        <v>0.48</v>
      </c>
      <c r="AF182" s="102">
        <v>0.35</v>
      </c>
      <c r="AG182" s="100">
        <v>0</v>
      </c>
      <c r="AH182" s="100">
        <v>0.19</v>
      </c>
      <c r="AI182" s="101">
        <v>0.54</v>
      </c>
      <c r="AJ182" s="102">
        <v>0.42</v>
      </c>
      <c r="AK182" s="100">
        <v>0</v>
      </c>
      <c r="AL182" s="100">
        <v>0</v>
      </c>
      <c r="AM182" s="101">
        <v>0.42</v>
      </c>
      <c r="AN182" s="102">
        <v>0.43</v>
      </c>
      <c r="AO182" s="100">
        <v>0</v>
      </c>
      <c r="AP182" s="100">
        <v>0.48</v>
      </c>
      <c r="AQ182" s="101">
        <v>0.91</v>
      </c>
      <c r="AR182" s="102">
        <v>0.59</v>
      </c>
      <c r="AS182" s="100">
        <v>0</v>
      </c>
      <c r="AT182" s="100">
        <v>0.19</v>
      </c>
      <c r="AU182" s="101">
        <v>0.48</v>
      </c>
      <c r="AV182" s="102">
        <v>0.22</v>
      </c>
      <c r="AW182" s="100">
        <v>0</v>
      </c>
      <c r="AX182" s="100">
        <v>0</v>
      </c>
      <c r="AY182" s="101">
        <v>0.22</v>
      </c>
      <c r="AZ182" s="102">
        <v>0</v>
      </c>
      <c r="BA182" s="100">
        <v>0</v>
      </c>
      <c r="BB182" s="100">
        <v>0.06</v>
      </c>
      <c r="BC182" s="101">
        <v>0.06</v>
      </c>
      <c r="BD182" s="103">
        <v>0.22</v>
      </c>
      <c r="BE182" s="102">
        <v>0.55000000000000004</v>
      </c>
      <c r="BF182" s="100">
        <v>0</v>
      </c>
      <c r="BG182" s="100">
        <v>0.17</v>
      </c>
      <c r="BH182" s="101">
        <v>0.72</v>
      </c>
      <c r="BI182" s="102">
        <v>0.32</v>
      </c>
      <c r="BJ182" s="100">
        <v>0</v>
      </c>
      <c r="BK182" s="100">
        <v>0.22</v>
      </c>
      <c r="BL182" s="101">
        <v>0.55000000000000004</v>
      </c>
      <c r="BM182" s="102">
        <v>1.05</v>
      </c>
      <c r="BN182" s="100">
        <v>1.35</v>
      </c>
      <c r="BO182" s="100">
        <v>0.62</v>
      </c>
      <c r="BP182" s="100">
        <v>1.18</v>
      </c>
      <c r="BQ182" s="100">
        <v>2.62</v>
      </c>
      <c r="BR182" s="100">
        <v>9.9499999999999993</v>
      </c>
      <c r="BS182" s="100">
        <v>2.56</v>
      </c>
      <c r="BT182" s="100">
        <v>0.78</v>
      </c>
      <c r="BU182" s="101">
        <v>1.03</v>
      </c>
      <c r="BV182" s="79">
        <v>1734190.0800000001</v>
      </c>
      <c r="BW182" s="240">
        <v>193.67500000000001</v>
      </c>
      <c r="BX182" s="206">
        <v>1066.8</v>
      </c>
      <c r="BY182" s="210">
        <v>22</v>
      </c>
      <c r="BZ182" s="206">
        <v>8.9</v>
      </c>
      <c r="CA182" s="215">
        <v>0</v>
      </c>
      <c r="CB182" s="205">
        <v>0</v>
      </c>
      <c r="CC182" s="214">
        <v>0</v>
      </c>
      <c r="CD182" s="205">
        <v>0</v>
      </c>
      <c r="CE182" s="104">
        <f t="shared" si="8"/>
        <v>3.3032852950951801E-3</v>
      </c>
      <c r="CF182" s="105">
        <f t="shared" si="6"/>
        <v>0.48</v>
      </c>
    </row>
    <row r="183" spans="1:84" x14ac:dyDescent="0.25">
      <c r="A183" s="109">
        <v>182</v>
      </c>
      <c r="B183" s="107"/>
      <c r="C183" s="108" t="s">
        <v>401</v>
      </c>
      <c r="D183" s="113">
        <v>1422.4</v>
      </c>
      <c r="E183" s="111">
        <v>1219.2</v>
      </c>
      <c r="F183" s="111">
        <f t="shared" si="7"/>
        <v>1734190.0800000001</v>
      </c>
      <c r="G183" s="241">
        <v>193.67500000000001</v>
      </c>
      <c r="H183" s="111">
        <v>1066.8</v>
      </c>
      <c r="I183" s="112">
        <v>1.17</v>
      </c>
      <c r="J183" s="160">
        <v>24</v>
      </c>
      <c r="K183" s="242">
        <v>19.2</v>
      </c>
      <c r="L183" s="162">
        <v>22</v>
      </c>
      <c r="M183" s="163">
        <v>0.62</v>
      </c>
      <c r="N183" s="111">
        <v>8.5</v>
      </c>
      <c r="O183" s="117" t="s">
        <v>206</v>
      </c>
      <c r="P183" s="118" t="s">
        <v>216</v>
      </c>
      <c r="Q183" s="119">
        <v>0</v>
      </c>
      <c r="R183" s="120">
        <v>0</v>
      </c>
      <c r="S183" s="120">
        <v>0</v>
      </c>
      <c r="T183" s="110">
        <v>0</v>
      </c>
      <c r="U183" s="118" t="s">
        <v>217</v>
      </c>
      <c r="V183" s="119">
        <v>2.3000000000000001E-4</v>
      </c>
      <c r="W183" s="110">
        <v>276</v>
      </c>
      <c r="X183" s="118" t="s">
        <v>217</v>
      </c>
      <c r="Y183" s="165">
        <v>0.74</v>
      </c>
      <c r="Z183" s="115">
        <v>0.5</v>
      </c>
      <c r="AA183" s="128" t="s">
        <v>217</v>
      </c>
      <c r="AB183" s="117" t="s">
        <v>217</v>
      </c>
      <c r="AC183" s="179">
        <v>2</v>
      </c>
      <c r="AD183" s="117" t="s">
        <v>229</v>
      </c>
      <c r="AE183" s="118">
        <v>0.6</v>
      </c>
      <c r="AF183" s="125">
        <v>0.34</v>
      </c>
      <c r="AG183" s="123">
        <v>0.03</v>
      </c>
      <c r="AH183" s="123">
        <v>0.19</v>
      </c>
      <c r="AI183" s="124">
        <v>0.56000000000000005</v>
      </c>
      <c r="AJ183" s="125">
        <v>0.42</v>
      </c>
      <c r="AK183" s="123">
        <v>0.06</v>
      </c>
      <c r="AL183" s="123">
        <v>0</v>
      </c>
      <c r="AM183" s="124">
        <v>0.48</v>
      </c>
      <c r="AN183" s="125">
        <v>0.42</v>
      </c>
      <c r="AO183" s="123">
        <v>0.04</v>
      </c>
      <c r="AP183" s="123">
        <v>0.47</v>
      </c>
      <c r="AQ183" s="124">
        <v>0.94</v>
      </c>
      <c r="AR183" s="125">
        <v>0.57999999999999996</v>
      </c>
      <c r="AS183" s="123">
        <v>0.03</v>
      </c>
      <c r="AT183" s="123">
        <v>0.19</v>
      </c>
      <c r="AU183" s="124">
        <v>0.47</v>
      </c>
      <c r="AV183" s="125">
        <v>0.21</v>
      </c>
      <c r="AW183" s="123">
        <v>0.06</v>
      </c>
      <c r="AX183" s="123">
        <v>0</v>
      </c>
      <c r="AY183" s="124">
        <v>0.27</v>
      </c>
      <c r="AZ183" s="125">
        <v>0</v>
      </c>
      <c r="BA183" s="123">
        <v>0.16</v>
      </c>
      <c r="BB183" s="123">
        <v>0.06</v>
      </c>
      <c r="BC183" s="124">
        <v>0.22</v>
      </c>
      <c r="BD183" s="126">
        <v>0.42</v>
      </c>
      <c r="BE183" s="125">
        <v>0.53</v>
      </c>
      <c r="BF183" s="123">
        <v>0</v>
      </c>
      <c r="BG183" s="123">
        <v>0.17</v>
      </c>
      <c r="BH183" s="124">
        <v>0.7</v>
      </c>
      <c r="BI183" s="125">
        <v>0.31</v>
      </c>
      <c r="BJ183" s="123">
        <v>0.04</v>
      </c>
      <c r="BK183" s="123">
        <v>0.22</v>
      </c>
      <c r="BL183" s="124">
        <v>0.56999999999999995</v>
      </c>
      <c r="BM183" s="125">
        <v>1.26</v>
      </c>
      <c r="BN183" s="123">
        <v>1.48</v>
      </c>
      <c r="BO183" s="123">
        <v>0.75</v>
      </c>
      <c r="BP183" s="123">
        <v>1.51</v>
      </c>
      <c r="BQ183" s="123">
        <v>2.56</v>
      </c>
      <c r="BR183" s="123">
        <v>3.18</v>
      </c>
      <c r="BS183" s="123">
        <v>1.68</v>
      </c>
      <c r="BT183" s="123">
        <v>1</v>
      </c>
      <c r="BU183" s="124">
        <v>1.23</v>
      </c>
      <c r="BV183" s="79">
        <v>1734190.0800000001</v>
      </c>
      <c r="BW183" s="241">
        <v>193.67500000000001</v>
      </c>
      <c r="BX183" s="111">
        <v>1066.8</v>
      </c>
      <c r="BY183" s="162">
        <v>22</v>
      </c>
      <c r="BZ183" s="111">
        <v>8.5</v>
      </c>
      <c r="CA183" s="120">
        <v>0</v>
      </c>
      <c r="CB183" s="110">
        <v>0</v>
      </c>
      <c r="CC183" s="119">
        <v>2.3000000000000001E-4</v>
      </c>
      <c r="CD183" s="110">
        <v>276</v>
      </c>
      <c r="CE183" s="104">
        <f t="shared" si="8"/>
        <v>4.234981147557923E-3</v>
      </c>
      <c r="CF183" s="105">
        <f t="shared" si="6"/>
        <v>0.6</v>
      </c>
    </row>
    <row r="184" spans="1:84" x14ac:dyDescent="0.25">
      <c r="A184" s="109">
        <v>183</v>
      </c>
      <c r="B184" s="107"/>
      <c r="C184" s="108" t="s">
        <v>402</v>
      </c>
      <c r="D184" s="113">
        <v>1422.4</v>
      </c>
      <c r="E184" s="111">
        <v>1219.2</v>
      </c>
      <c r="F184" s="111">
        <f t="shared" si="7"/>
        <v>1734190.0800000001</v>
      </c>
      <c r="G184" s="241">
        <v>193.67500000000001</v>
      </c>
      <c r="H184" s="111">
        <v>1066.8</v>
      </c>
      <c r="I184" s="112">
        <v>1.17</v>
      </c>
      <c r="J184" s="160">
        <v>24</v>
      </c>
      <c r="K184" s="242">
        <v>19.2</v>
      </c>
      <c r="L184" s="162">
        <v>22</v>
      </c>
      <c r="M184" s="163">
        <v>0.56000000000000005</v>
      </c>
      <c r="N184" s="111">
        <v>7.7</v>
      </c>
      <c r="O184" s="117" t="s">
        <v>206</v>
      </c>
      <c r="P184" s="118" t="s">
        <v>216</v>
      </c>
      <c r="Q184" s="119">
        <v>0</v>
      </c>
      <c r="R184" s="120">
        <v>0</v>
      </c>
      <c r="S184" s="120">
        <v>0</v>
      </c>
      <c r="T184" s="110">
        <v>0</v>
      </c>
      <c r="U184" s="118" t="s">
        <v>217</v>
      </c>
      <c r="V184" s="119">
        <v>4.6999999999999999E-4</v>
      </c>
      <c r="W184" s="110">
        <v>276</v>
      </c>
      <c r="X184" s="118" t="s">
        <v>217</v>
      </c>
      <c r="Y184" s="165">
        <v>0.74</v>
      </c>
      <c r="Z184" s="115">
        <v>0.5</v>
      </c>
      <c r="AA184" s="128" t="s">
        <v>217</v>
      </c>
      <c r="AB184" s="117" t="s">
        <v>217</v>
      </c>
      <c r="AC184" s="179">
        <v>2</v>
      </c>
      <c r="AD184" s="117" t="s">
        <v>229</v>
      </c>
      <c r="AE184" s="118">
        <v>0.62</v>
      </c>
      <c r="AF184" s="125">
        <v>0.33</v>
      </c>
      <c r="AG184" s="123">
        <v>0.06</v>
      </c>
      <c r="AH184" s="123">
        <v>0.19</v>
      </c>
      <c r="AI184" s="124">
        <v>0.56999999999999995</v>
      </c>
      <c r="AJ184" s="125">
        <v>0.42</v>
      </c>
      <c r="AK184" s="123">
        <v>0.12</v>
      </c>
      <c r="AL184" s="123">
        <v>0</v>
      </c>
      <c r="AM184" s="124">
        <v>0.53</v>
      </c>
      <c r="AN184" s="125">
        <v>0.4</v>
      </c>
      <c r="AO184" s="123">
        <v>0.08</v>
      </c>
      <c r="AP184" s="123">
        <v>0.47</v>
      </c>
      <c r="AQ184" s="124">
        <v>0.96</v>
      </c>
      <c r="AR184" s="125">
        <v>0.55000000000000004</v>
      </c>
      <c r="AS184" s="123">
        <v>7.0000000000000007E-2</v>
      </c>
      <c r="AT184" s="123">
        <v>0.19</v>
      </c>
      <c r="AU184" s="124">
        <v>0.44</v>
      </c>
      <c r="AV184" s="125">
        <v>0.2</v>
      </c>
      <c r="AW184" s="123">
        <v>0.13</v>
      </c>
      <c r="AX184" s="123">
        <v>0</v>
      </c>
      <c r="AY184" s="124">
        <v>0.33</v>
      </c>
      <c r="AZ184" s="125">
        <v>0</v>
      </c>
      <c r="BA184" s="123">
        <v>0.23</v>
      </c>
      <c r="BB184" s="123">
        <v>0.06</v>
      </c>
      <c r="BC184" s="124">
        <v>0.28999999999999998</v>
      </c>
      <c r="BD184" s="126">
        <v>0.4</v>
      </c>
      <c r="BE184" s="125">
        <v>0.48</v>
      </c>
      <c r="BF184" s="123">
        <v>0</v>
      </c>
      <c r="BG184" s="123">
        <v>0.17</v>
      </c>
      <c r="BH184" s="124">
        <v>0.65</v>
      </c>
      <c r="BI184" s="125">
        <v>0.28000000000000003</v>
      </c>
      <c r="BJ184" s="123">
        <v>0.08</v>
      </c>
      <c r="BK184" s="123">
        <v>0.22</v>
      </c>
      <c r="BL184" s="124">
        <v>0.57999999999999996</v>
      </c>
      <c r="BM184" s="125">
        <v>1.27</v>
      </c>
      <c r="BN184" s="123">
        <v>1.35</v>
      </c>
      <c r="BO184" s="123">
        <v>0.75</v>
      </c>
      <c r="BP184" s="123">
        <v>1.62</v>
      </c>
      <c r="BQ184" s="123">
        <v>2.1800000000000002</v>
      </c>
      <c r="BR184" s="123">
        <v>2.48</v>
      </c>
      <c r="BS184" s="123">
        <v>1.81</v>
      </c>
      <c r="BT184" s="123">
        <v>1.1000000000000001</v>
      </c>
      <c r="BU184" s="124">
        <v>1.24</v>
      </c>
      <c r="BV184" s="79">
        <v>1734190.0800000001</v>
      </c>
      <c r="BW184" s="241">
        <v>193.67500000000001</v>
      </c>
      <c r="BX184" s="111">
        <v>1066.8</v>
      </c>
      <c r="BY184" s="162">
        <v>22</v>
      </c>
      <c r="BZ184" s="111">
        <v>7.7</v>
      </c>
      <c r="CA184" s="120">
        <v>0</v>
      </c>
      <c r="CB184" s="110">
        <v>0</v>
      </c>
      <c r="CC184" s="119">
        <v>4.6999999999999999E-4</v>
      </c>
      <c r="CD184" s="110">
        <v>276</v>
      </c>
      <c r="CE184" s="104">
        <f t="shared" si="8"/>
        <v>4.6584792623137151E-3</v>
      </c>
      <c r="CF184" s="105">
        <f t="shared" si="6"/>
        <v>0.62</v>
      </c>
    </row>
    <row r="185" spans="1:84" x14ac:dyDescent="0.25">
      <c r="A185" s="109">
        <v>184</v>
      </c>
      <c r="B185" s="107"/>
      <c r="C185" s="108" t="s">
        <v>403</v>
      </c>
      <c r="D185" s="113">
        <v>1422.4</v>
      </c>
      <c r="E185" s="111">
        <v>1219.2</v>
      </c>
      <c r="F185" s="111">
        <f t="shared" si="7"/>
        <v>1734190.0800000001</v>
      </c>
      <c r="G185" s="241">
        <v>193.67500000000001</v>
      </c>
      <c r="H185" s="111">
        <v>1066.8</v>
      </c>
      <c r="I185" s="112">
        <v>1.17</v>
      </c>
      <c r="J185" s="160">
        <v>24</v>
      </c>
      <c r="K185" s="242">
        <v>19.2</v>
      </c>
      <c r="L185" s="162">
        <v>22</v>
      </c>
      <c r="M185" s="163">
        <v>0.61</v>
      </c>
      <c r="N185" s="111">
        <v>8.4</v>
      </c>
      <c r="O185" s="117" t="s">
        <v>206</v>
      </c>
      <c r="P185" s="118" t="s">
        <v>216</v>
      </c>
      <c r="Q185" s="119">
        <v>0</v>
      </c>
      <c r="R185" s="120">
        <v>0</v>
      </c>
      <c r="S185" s="120">
        <v>0</v>
      </c>
      <c r="T185" s="110">
        <v>0</v>
      </c>
      <c r="U185" s="118" t="s">
        <v>217</v>
      </c>
      <c r="V185" s="119">
        <v>9.3999999999999997E-4</v>
      </c>
      <c r="W185" s="110">
        <v>336</v>
      </c>
      <c r="X185" s="118" t="s">
        <v>217</v>
      </c>
      <c r="Y185" s="165">
        <v>0.74</v>
      </c>
      <c r="Z185" s="115">
        <v>0.5</v>
      </c>
      <c r="AA185" s="128" t="s">
        <v>217</v>
      </c>
      <c r="AB185" s="117" t="s">
        <v>217</v>
      </c>
      <c r="AC185" s="179">
        <v>2</v>
      </c>
      <c r="AD185" s="117" t="s">
        <v>229</v>
      </c>
      <c r="AE185" s="118">
        <v>0.83</v>
      </c>
      <c r="AF185" s="125">
        <v>0.34</v>
      </c>
      <c r="AG185" s="123">
        <v>0.14000000000000001</v>
      </c>
      <c r="AH185" s="123">
        <v>0.19</v>
      </c>
      <c r="AI185" s="124">
        <v>0.66</v>
      </c>
      <c r="AJ185" s="125">
        <v>0.42</v>
      </c>
      <c r="AK185" s="123">
        <v>0.28000000000000003</v>
      </c>
      <c r="AL185" s="123">
        <v>0</v>
      </c>
      <c r="AM185" s="124">
        <v>0.7</v>
      </c>
      <c r="AN185" s="125">
        <v>0.42</v>
      </c>
      <c r="AO185" s="123">
        <v>0.2</v>
      </c>
      <c r="AP185" s="123">
        <v>0.47</v>
      </c>
      <c r="AQ185" s="124">
        <v>1.1000000000000001</v>
      </c>
      <c r="AR185" s="125">
        <v>0.56999999999999995</v>
      </c>
      <c r="AS185" s="123">
        <v>0.17</v>
      </c>
      <c r="AT185" s="123">
        <v>0.19</v>
      </c>
      <c r="AU185" s="124">
        <v>0.46</v>
      </c>
      <c r="AV185" s="125">
        <v>0.21</v>
      </c>
      <c r="AW185" s="123">
        <v>0.31</v>
      </c>
      <c r="AX185" s="123">
        <v>0</v>
      </c>
      <c r="AY185" s="124">
        <v>0.52</v>
      </c>
      <c r="AZ185" s="125">
        <v>0</v>
      </c>
      <c r="BA185" s="123">
        <v>0.36</v>
      </c>
      <c r="BB185" s="123">
        <v>0.06</v>
      </c>
      <c r="BC185" s="124">
        <v>0.42</v>
      </c>
      <c r="BD185" s="126">
        <v>0.42</v>
      </c>
      <c r="BE185" s="125">
        <v>0.52</v>
      </c>
      <c r="BF185" s="123">
        <v>0</v>
      </c>
      <c r="BG185" s="123">
        <v>0.17</v>
      </c>
      <c r="BH185" s="124">
        <v>0.69</v>
      </c>
      <c r="BI185" s="125">
        <v>0.31</v>
      </c>
      <c r="BJ185" s="123">
        <v>0.19</v>
      </c>
      <c r="BK185" s="123">
        <v>0.22</v>
      </c>
      <c r="BL185" s="124">
        <v>0.72</v>
      </c>
      <c r="BM185" s="125">
        <v>1.45</v>
      </c>
      <c r="BN185" s="123">
        <v>1.38</v>
      </c>
      <c r="BO185" s="123">
        <v>0.88</v>
      </c>
      <c r="BP185" s="123">
        <v>2.08</v>
      </c>
      <c r="BQ185" s="123">
        <v>1.84</v>
      </c>
      <c r="BR185" s="123">
        <v>2.2999999999999998</v>
      </c>
      <c r="BS185" s="123">
        <v>2.3199999999999998</v>
      </c>
      <c r="BT185" s="123">
        <v>1.39</v>
      </c>
      <c r="BU185" s="124">
        <v>1.35</v>
      </c>
      <c r="BV185" s="79">
        <v>1734190.0800000001</v>
      </c>
      <c r="BW185" s="241">
        <v>193.67500000000001</v>
      </c>
      <c r="BX185" s="111">
        <v>1066.8</v>
      </c>
      <c r="BY185" s="162">
        <v>22</v>
      </c>
      <c r="BZ185" s="111">
        <v>8.4</v>
      </c>
      <c r="CA185" s="120">
        <v>0</v>
      </c>
      <c r="CB185" s="110">
        <v>0</v>
      </c>
      <c r="CC185" s="119">
        <v>9.3999999999999997E-4</v>
      </c>
      <c r="CD185" s="110">
        <v>336</v>
      </c>
      <c r="CE185" s="104">
        <f t="shared" si="8"/>
        <v>5.8866237951055132E-3</v>
      </c>
      <c r="CF185" s="105">
        <f t="shared" si="6"/>
        <v>0.83</v>
      </c>
    </row>
    <row r="186" spans="1:84" x14ac:dyDescent="0.25">
      <c r="A186" s="109">
        <v>185</v>
      </c>
      <c r="B186" s="107"/>
      <c r="C186" s="108" t="s">
        <v>404</v>
      </c>
      <c r="D186" s="113">
        <v>1422.4</v>
      </c>
      <c r="E186" s="111">
        <v>1219.2</v>
      </c>
      <c r="F186" s="111">
        <f t="shared" si="7"/>
        <v>1734190.0800000001</v>
      </c>
      <c r="G186" s="241">
        <v>193.67500000000001</v>
      </c>
      <c r="H186" s="111">
        <v>1066.8</v>
      </c>
      <c r="I186" s="112">
        <v>1.17</v>
      </c>
      <c r="J186" s="160">
        <v>24</v>
      </c>
      <c r="K186" s="242">
        <v>19.2</v>
      </c>
      <c r="L186" s="162">
        <v>22</v>
      </c>
      <c r="M186" s="163">
        <v>0.63</v>
      </c>
      <c r="N186" s="111">
        <v>8.6999999999999993</v>
      </c>
      <c r="O186" s="117" t="s">
        <v>206</v>
      </c>
      <c r="P186" s="118" t="s">
        <v>216</v>
      </c>
      <c r="Q186" s="119">
        <v>0</v>
      </c>
      <c r="R186" s="120">
        <v>0</v>
      </c>
      <c r="S186" s="120">
        <v>0</v>
      </c>
      <c r="T186" s="110">
        <v>0</v>
      </c>
      <c r="U186" s="118" t="s">
        <v>217</v>
      </c>
      <c r="V186" s="119">
        <v>2.1800000000000001E-3</v>
      </c>
      <c r="W186" s="110">
        <v>370</v>
      </c>
      <c r="X186" s="118" t="s">
        <v>217</v>
      </c>
      <c r="Y186" s="165">
        <v>0.74</v>
      </c>
      <c r="Z186" s="115">
        <v>0.5</v>
      </c>
      <c r="AA186" s="128" t="s">
        <v>217</v>
      </c>
      <c r="AB186" s="117" t="s">
        <v>217</v>
      </c>
      <c r="AC186" s="179">
        <v>2</v>
      </c>
      <c r="AD186" s="117" t="s">
        <v>229</v>
      </c>
      <c r="AE186" s="118">
        <v>0.64</v>
      </c>
      <c r="AF186" s="125">
        <v>0.35</v>
      </c>
      <c r="AG186" s="123">
        <v>0.35</v>
      </c>
      <c r="AH186" s="123">
        <v>0.19</v>
      </c>
      <c r="AI186" s="124">
        <v>0.88</v>
      </c>
      <c r="AJ186" s="125">
        <v>0.42</v>
      </c>
      <c r="AK186" s="123">
        <v>0.73</v>
      </c>
      <c r="AL186" s="123">
        <v>0</v>
      </c>
      <c r="AM186" s="124">
        <v>1.1399999999999999</v>
      </c>
      <c r="AN186" s="125">
        <v>0.43</v>
      </c>
      <c r="AO186" s="123">
        <v>0.52</v>
      </c>
      <c r="AP186" s="123">
        <v>0.47</v>
      </c>
      <c r="AQ186" s="124">
        <v>1.33</v>
      </c>
      <c r="AR186" s="125">
        <v>0.59</v>
      </c>
      <c r="AS186" s="123">
        <v>0.42</v>
      </c>
      <c r="AT186" s="123">
        <v>0.19</v>
      </c>
      <c r="AU186" s="124">
        <v>0.47</v>
      </c>
      <c r="AV186" s="125">
        <v>0.21</v>
      </c>
      <c r="AW186" s="123">
        <v>0.81</v>
      </c>
      <c r="AX186" s="123">
        <v>0</v>
      </c>
      <c r="AY186" s="124">
        <v>1.02</v>
      </c>
      <c r="AZ186" s="125">
        <v>0</v>
      </c>
      <c r="BA186" s="123">
        <v>0.57999999999999996</v>
      </c>
      <c r="BB186" s="123">
        <v>0.06</v>
      </c>
      <c r="BC186" s="124">
        <v>0.64</v>
      </c>
      <c r="BD186" s="126">
        <v>0.42</v>
      </c>
      <c r="BE186" s="125">
        <v>0.54</v>
      </c>
      <c r="BF186" s="123">
        <v>0</v>
      </c>
      <c r="BG186" s="123">
        <v>0.17</v>
      </c>
      <c r="BH186" s="124">
        <v>0.71</v>
      </c>
      <c r="BI186" s="125">
        <v>0.32</v>
      </c>
      <c r="BJ186" s="123">
        <v>0.26</v>
      </c>
      <c r="BK186" s="123">
        <v>0.22</v>
      </c>
      <c r="BL186" s="124">
        <v>0.8</v>
      </c>
      <c r="BM186" s="125">
        <v>0.84</v>
      </c>
      <c r="BN186" s="123">
        <v>0.65</v>
      </c>
      <c r="BO186" s="123">
        <v>0.56000000000000005</v>
      </c>
      <c r="BP186" s="123">
        <v>1.58</v>
      </c>
      <c r="BQ186" s="123">
        <v>0.73</v>
      </c>
      <c r="BR186" s="123">
        <v>1.17</v>
      </c>
      <c r="BS186" s="123">
        <v>1.76</v>
      </c>
      <c r="BT186" s="123">
        <v>1.04</v>
      </c>
      <c r="BU186" s="124">
        <v>0.93</v>
      </c>
      <c r="BV186" s="79">
        <v>1734190.0800000001</v>
      </c>
      <c r="BW186" s="241">
        <v>193.67500000000001</v>
      </c>
      <c r="BX186" s="111">
        <v>1066.8</v>
      </c>
      <c r="BY186" s="162">
        <v>22</v>
      </c>
      <c r="BZ186" s="111">
        <v>8.6999999999999993</v>
      </c>
      <c r="CA186" s="120">
        <v>0</v>
      </c>
      <c r="CB186" s="110">
        <v>0</v>
      </c>
      <c r="CC186" s="119">
        <v>2.1800000000000001E-3</v>
      </c>
      <c r="CD186" s="110">
        <v>370</v>
      </c>
      <c r="CE186" s="104">
        <f t="shared" si="8"/>
        <v>4.4043803934602404E-3</v>
      </c>
      <c r="CF186" s="105">
        <f t="shared" si="6"/>
        <v>0.64</v>
      </c>
    </row>
    <row r="187" spans="1:84" x14ac:dyDescent="0.25">
      <c r="A187" s="109">
        <v>186</v>
      </c>
      <c r="B187" s="107"/>
      <c r="C187" s="108" t="s">
        <v>405</v>
      </c>
      <c r="D187" s="113">
        <v>1422.4</v>
      </c>
      <c r="E187" s="111">
        <v>1219.2</v>
      </c>
      <c r="F187" s="111">
        <f t="shared" si="7"/>
        <v>1734190.0800000001</v>
      </c>
      <c r="G187" s="241">
        <v>193.67500000000001</v>
      </c>
      <c r="H187" s="111">
        <v>1066.8</v>
      </c>
      <c r="I187" s="112">
        <v>1.17</v>
      </c>
      <c r="J187" s="160">
        <v>24</v>
      </c>
      <c r="K187" s="242">
        <v>19.2</v>
      </c>
      <c r="L187" s="162">
        <v>22</v>
      </c>
      <c r="M187" s="163">
        <v>0.55000000000000004</v>
      </c>
      <c r="N187" s="111">
        <v>7.5</v>
      </c>
      <c r="O187" s="117" t="s">
        <v>206</v>
      </c>
      <c r="P187" s="118" t="s">
        <v>216</v>
      </c>
      <c r="Q187" s="119">
        <v>0</v>
      </c>
      <c r="R187" s="120">
        <v>0</v>
      </c>
      <c r="S187" s="120">
        <v>0</v>
      </c>
      <c r="T187" s="110">
        <v>0</v>
      </c>
      <c r="U187" s="118" t="s">
        <v>217</v>
      </c>
      <c r="V187" s="119">
        <v>7.2999999999999996E-4</v>
      </c>
      <c r="W187" s="110">
        <v>385</v>
      </c>
      <c r="X187" s="118" t="s">
        <v>217</v>
      </c>
      <c r="Y187" s="165">
        <v>0.74</v>
      </c>
      <c r="Z187" s="115">
        <v>0.5</v>
      </c>
      <c r="AA187" s="128" t="s">
        <v>217</v>
      </c>
      <c r="AB187" s="117" t="s">
        <v>217</v>
      </c>
      <c r="AC187" s="179">
        <v>2</v>
      </c>
      <c r="AD187" s="117" t="s">
        <v>229</v>
      </c>
      <c r="AE187" s="118">
        <v>0.68</v>
      </c>
      <c r="AF187" s="125">
        <v>0.32</v>
      </c>
      <c r="AG187" s="123">
        <v>0.12</v>
      </c>
      <c r="AH187" s="123">
        <v>0.19</v>
      </c>
      <c r="AI187" s="124">
        <v>0.63</v>
      </c>
      <c r="AJ187" s="125">
        <v>0.42</v>
      </c>
      <c r="AK187" s="123">
        <v>0.25</v>
      </c>
      <c r="AL187" s="123">
        <v>0</v>
      </c>
      <c r="AM187" s="124">
        <v>0.67</v>
      </c>
      <c r="AN187" s="125">
        <v>0.4</v>
      </c>
      <c r="AO187" s="123">
        <v>0.18</v>
      </c>
      <c r="AP187" s="123">
        <v>0.47</v>
      </c>
      <c r="AQ187" s="124">
        <v>1.05</v>
      </c>
      <c r="AR187" s="125">
        <v>0.54</v>
      </c>
      <c r="AS187" s="123">
        <v>0.15</v>
      </c>
      <c r="AT187" s="123">
        <v>0.19</v>
      </c>
      <c r="AU187" s="124">
        <v>0.44</v>
      </c>
      <c r="AV187" s="125">
        <v>0.2</v>
      </c>
      <c r="AW187" s="123">
        <v>0.28000000000000003</v>
      </c>
      <c r="AX187" s="123">
        <v>0</v>
      </c>
      <c r="AY187" s="124">
        <v>0.48</v>
      </c>
      <c r="AZ187" s="125">
        <v>0</v>
      </c>
      <c r="BA187" s="123">
        <v>0.34</v>
      </c>
      <c r="BB187" s="123">
        <v>0.06</v>
      </c>
      <c r="BC187" s="124">
        <v>0.4</v>
      </c>
      <c r="BD187" s="126">
        <v>0.39</v>
      </c>
      <c r="BE187" s="125">
        <v>0.47</v>
      </c>
      <c r="BF187" s="123">
        <v>0</v>
      </c>
      <c r="BG187" s="123">
        <v>0.17</v>
      </c>
      <c r="BH187" s="124">
        <v>0.64</v>
      </c>
      <c r="BI187" s="125">
        <v>0.27</v>
      </c>
      <c r="BJ187" s="123">
        <v>0.17</v>
      </c>
      <c r="BK187" s="123">
        <v>0.22</v>
      </c>
      <c r="BL187" s="124">
        <v>0.66</v>
      </c>
      <c r="BM187" s="125">
        <v>1.26</v>
      </c>
      <c r="BN187" s="123">
        <v>1.18</v>
      </c>
      <c r="BO187" s="123">
        <v>0.75</v>
      </c>
      <c r="BP187" s="123">
        <v>1.81</v>
      </c>
      <c r="BQ187" s="123">
        <v>1.66</v>
      </c>
      <c r="BR187" s="123">
        <v>1.99</v>
      </c>
      <c r="BS187" s="123">
        <v>2.02</v>
      </c>
      <c r="BT187" s="123">
        <v>1.24</v>
      </c>
      <c r="BU187" s="124">
        <v>1.19</v>
      </c>
      <c r="BV187" s="79">
        <v>1734190.0800000001</v>
      </c>
      <c r="BW187" s="241">
        <v>193.67500000000001</v>
      </c>
      <c r="BX187" s="111">
        <v>1066.8</v>
      </c>
      <c r="BY187" s="162">
        <v>22</v>
      </c>
      <c r="BZ187" s="111">
        <v>7.5</v>
      </c>
      <c r="CA187" s="120">
        <v>0</v>
      </c>
      <c r="CB187" s="110">
        <v>0</v>
      </c>
      <c r="CC187" s="119">
        <v>7.2999999999999996E-4</v>
      </c>
      <c r="CD187" s="110">
        <v>385</v>
      </c>
      <c r="CE187" s="104">
        <f t="shared" si="8"/>
        <v>5.2513766229718246E-3</v>
      </c>
      <c r="CF187" s="105">
        <f t="shared" si="6"/>
        <v>0.68</v>
      </c>
    </row>
    <row r="188" spans="1:84" x14ac:dyDescent="0.25">
      <c r="A188" s="109">
        <v>187</v>
      </c>
      <c r="B188" s="107"/>
      <c r="C188" s="108" t="s">
        <v>406</v>
      </c>
      <c r="D188" s="113">
        <v>1422.4</v>
      </c>
      <c r="E188" s="111">
        <v>1219.2</v>
      </c>
      <c r="F188" s="111">
        <f t="shared" si="7"/>
        <v>1734190.0800000001</v>
      </c>
      <c r="G188" s="241">
        <v>193.67500000000001</v>
      </c>
      <c r="H188" s="111">
        <v>1066.8</v>
      </c>
      <c r="I188" s="112">
        <v>1.17</v>
      </c>
      <c r="J188" s="160">
        <v>24</v>
      </c>
      <c r="K188" s="242">
        <v>19.2</v>
      </c>
      <c r="L188" s="162">
        <v>22</v>
      </c>
      <c r="M188" s="163">
        <v>0.62</v>
      </c>
      <c r="N188" s="111">
        <v>8.6</v>
      </c>
      <c r="O188" s="117" t="s">
        <v>206</v>
      </c>
      <c r="P188" s="118" t="s">
        <v>216</v>
      </c>
      <c r="Q188" s="119">
        <v>0</v>
      </c>
      <c r="R188" s="120">
        <v>0</v>
      </c>
      <c r="S188" s="120">
        <v>0</v>
      </c>
      <c r="T188" s="110">
        <v>0</v>
      </c>
      <c r="U188" s="118" t="s">
        <v>217</v>
      </c>
      <c r="V188" s="119">
        <v>2.1800000000000001E-3</v>
      </c>
      <c r="W188" s="110">
        <v>374</v>
      </c>
      <c r="X188" s="118" t="s">
        <v>217</v>
      </c>
      <c r="Y188" s="165">
        <v>0.74</v>
      </c>
      <c r="Z188" s="115">
        <v>0.5</v>
      </c>
      <c r="AA188" s="128" t="s">
        <v>217</v>
      </c>
      <c r="AB188" s="117" t="s">
        <v>217</v>
      </c>
      <c r="AC188" s="179">
        <v>2</v>
      </c>
      <c r="AD188" s="117" t="s">
        <v>229</v>
      </c>
      <c r="AE188" s="118">
        <v>0.5</v>
      </c>
      <c r="AF188" s="125">
        <v>0.34</v>
      </c>
      <c r="AG188" s="123">
        <v>0.36</v>
      </c>
      <c r="AH188" s="123">
        <v>0.19</v>
      </c>
      <c r="AI188" s="124">
        <v>0.89</v>
      </c>
      <c r="AJ188" s="125">
        <v>0.42</v>
      </c>
      <c r="AK188" s="123">
        <v>0.73</v>
      </c>
      <c r="AL188" s="123">
        <v>0</v>
      </c>
      <c r="AM188" s="124">
        <v>1.1499999999999999</v>
      </c>
      <c r="AN188" s="125">
        <v>0.43</v>
      </c>
      <c r="AO188" s="123">
        <v>0.52</v>
      </c>
      <c r="AP188" s="123">
        <v>0.47</v>
      </c>
      <c r="AQ188" s="124">
        <v>1.32</v>
      </c>
      <c r="AR188" s="125">
        <v>0.57999999999999996</v>
      </c>
      <c r="AS188" s="123">
        <v>0.43</v>
      </c>
      <c r="AT188" s="123">
        <v>0.19</v>
      </c>
      <c r="AU188" s="124">
        <v>0.47</v>
      </c>
      <c r="AV188" s="125">
        <v>0.21</v>
      </c>
      <c r="AW188" s="123">
        <v>0.81</v>
      </c>
      <c r="AX188" s="123">
        <v>0</v>
      </c>
      <c r="AY188" s="124">
        <v>1.02</v>
      </c>
      <c r="AZ188" s="125">
        <v>0</v>
      </c>
      <c r="BA188" s="123">
        <v>0.57999999999999996</v>
      </c>
      <c r="BB188" s="123">
        <v>0.06</v>
      </c>
      <c r="BC188" s="124">
        <v>0.64</v>
      </c>
      <c r="BD188" s="126">
        <v>0.42</v>
      </c>
      <c r="BE188" s="125">
        <v>0.53</v>
      </c>
      <c r="BF188" s="123">
        <v>0</v>
      </c>
      <c r="BG188" s="123">
        <v>0.17</v>
      </c>
      <c r="BH188" s="124">
        <v>0.7</v>
      </c>
      <c r="BI188" s="125">
        <v>0.31</v>
      </c>
      <c r="BJ188" s="123">
        <v>0.26</v>
      </c>
      <c r="BK188" s="123">
        <v>0.22</v>
      </c>
      <c r="BL188" s="124">
        <v>0.79</v>
      </c>
      <c r="BM188" s="125">
        <v>0.66</v>
      </c>
      <c r="BN188" s="123">
        <v>0.51</v>
      </c>
      <c r="BO188" s="123">
        <v>0.45</v>
      </c>
      <c r="BP188" s="123">
        <v>1.25</v>
      </c>
      <c r="BQ188" s="123">
        <v>0.56999999999999995</v>
      </c>
      <c r="BR188" s="123">
        <v>0.92</v>
      </c>
      <c r="BS188" s="123">
        <v>1.4</v>
      </c>
      <c r="BT188" s="123">
        <v>0.83</v>
      </c>
      <c r="BU188" s="124">
        <v>0.74</v>
      </c>
      <c r="BV188" s="79">
        <v>1734190.0800000001</v>
      </c>
      <c r="BW188" s="241">
        <v>193.67500000000001</v>
      </c>
      <c r="BX188" s="111">
        <v>1066.8</v>
      </c>
      <c r="BY188" s="162">
        <v>22</v>
      </c>
      <c r="BZ188" s="111">
        <v>8.6</v>
      </c>
      <c r="CA188" s="120">
        <v>0</v>
      </c>
      <c r="CB188" s="110">
        <v>0</v>
      </c>
      <c r="CC188" s="119">
        <v>2.1800000000000001E-3</v>
      </c>
      <c r="CD188" s="110">
        <v>374</v>
      </c>
      <c r="CE188" s="104">
        <f t="shared" si="8"/>
        <v>3.5150343524730757E-3</v>
      </c>
      <c r="CF188" s="105">
        <f t="shared" si="6"/>
        <v>0.5</v>
      </c>
    </row>
    <row r="189" spans="1:84" x14ac:dyDescent="0.25">
      <c r="A189" s="109">
        <v>188</v>
      </c>
      <c r="B189" s="107"/>
      <c r="C189" s="108" t="s">
        <v>407</v>
      </c>
      <c r="D189" s="113">
        <v>1422.4</v>
      </c>
      <c r="E189" s="111">
        <v>1219.2</v>
      </c>
      <c r="F189" s="111">
        <f t="shared" si="7"/>
        <v>1734190.0800000001</v>
      </c>
      <c r="G189" s="241">
        <v>193.67500000000001</v>
      </c>
      <c r="H189" s="111">
        <v>1066.8</v>
      </c>
      <c r="I189" s="112">
        <v>1.17</v>
      </c>
      <c r="J189" s="160">
        <v>24</v>
      </c>
      <c r="K189" s="242">
        <v>19.2</v>
      </c>
      <c r="L189" s="162">
        <v>22</v>
      </c>
      <c r="M189" s="163">
        <v>0.55000000000000004</v>
      </c>
      <c r="N189" s="111">
        <v>7.6</v>
      </c>
      <c r="O189" s="117" t="s">
        <v>206</v>
      </c>
      <c r="P189" s="118" t="s">
        <v>216</v>
      </c>
      <c r="Q189" s="119">
        <v>0</v>
      </c>
      <c r="R189" s="120">
        <v>0</v>
      </c>
      <c r="S189" s="120">
        <v>0</v>
      </c>
      <c r="T189" s="110">
        <v>0</v>
      </c>
      <c r="U189" s="118" t="s">
        <v>217</v>
      </c>
      <c r="V189" s="119">
        <v>5.0000000000000001E-4</v>
      </c>
      <c r="W189" s="110">
        <v>304</v>
      </c>
      <c r="X189" s="118" t="s">
        <v>217</v>
      </c>
      <c r="Y189" s="165">
        <v>0.74</v>
      </c>
      <c r="Z189" s="115">
        <v>0.5</v>
      </c>
      <c r="AA189" s="128" t="s">
        <v>217</v>
      </c>
      <c r="AB189" s="117" t="s">
        <v>217</v>
      </c>
      <c r="AC189" s="179">
        <v>2</v>
      </c>
      <c r="AD189" s="117" t="s">
        <v>229</v>
      </c>
      <c r="AE189" s="118">
        <v>0.72</v>
      </c>
      <c r="AF189" s="125">
        <v>0.32</v>
      </c>
      <c r="AG189" s="123">
        <v>7.0000000000000007E-2</v>
      </c>
      <c r="AH189" s="123">
        <v>0.19</v>
      </c>
      <c r="AI189" s="124">
        <v>0.56999999999999995</v>
      </c>
      <c r="AJ189" s="125">
        <v>0.42</v>
      </c>
      <c r="AK189" s="123">
        <v>0.14000000000000001</v>
      </c>
      <c r="AL189" s="123">
        <v>0</v>
      </c>
      <c r="AM189" s="124">
        <v>0.55000000000000004</v>
      </c>
      <c r="AN189" s="125">
        <v>0.4</v>
      </c>
      <c r="AO189" s="123">
        <v>0.1</v>
      </c>
      <c r="AP189" s="123">
        <v>0.47</v>
      </c>
      <c r="AQ189" s="124">
        <v>0.97</v>
      </c>
      <c r="AR189" s="125">
        <v>0.55000000000000004</v>
      </c>
      <c r="AS189" s="123">
        <v>0.08</v>
      </c>
      <c r="AT189" s="123">
        <v>0.19</v>
      </c>
      <c r="AU189" s="124">
        <v>0.44</v>
      </c>
      <c r="AV189" s="125">
        <v>0.2</v>
      </c>
      <c r="AW189" s="123">
        <v>0.15</v>
      </c>
      <c r="AX189" s="123">
        <v>0</v>
      </c>
      <c r="AY189" s="124">
        <v>0.35</v>
      </c>
      <c r="AZ189" s="125">
        <v>0</v>
      </c>
      <c r="BA189" s="123">
        <v>0.25</v>
      </c>
      <c r="BB189" s="123">
        <v>0.06</v>
      </c>
      <c r="BC189" s="124">
        <v>0.31</v>
      </c>
      <c r="BD189" s="126">
        <v>0.39</v>
      </c>
      <c r="BE189" s="125">
        <v>0.47</v>
      </c>
      <c r="BF189" s="123">
        <v>0</v>
      </c>
      <c r="BG189" s="123">
        <v>0.17</v>
      </c>
      <c r="BH189" s="124">
        <v>0.64</v>
      </c>
      <c r="BI189" s="125">
        <v>0.28000000000000003</v>
      </c>
      <c r="BJ189" s="123">
        <v>0.09</v>
      </c>
      <c r="BK189" s="123">
        <v>0.22</v>
      </c>
      <c r="BL189" s="124">
        <v>0.59</v>
      </c>
      <c r="BM189" s="125">
        <v>1.45</v>
      </c>
      <c r="BN189" s="123">
        <v>1.51</v>
      </c>
      <c r="BO189" s="123">
        <v>0.86</v>
      </c>
      <c r="BP189" s="123">
        <v>1.9</v>
      </c>
      <c r="BQ189" s="123">
        <v>2.39</v>
      </c>
      <c r="BR189" s="123">
        <v>2.71</v>
      </c>
      <c r="BS189" s="123">
        <v>2.12</v>
      </c>
      <c r="BT189" s="123">
        <v>1.3</v>
      </c>
      <c r="BU189" s="124">
        <v>1.42</v>
      </c>
      <c r="BV189" s="79">
        <v>1734190.0800000001</v>
      </c>
      <c r="BW189" s="241">
        <v>193.67500000000001</v>
      </c>
      <c r="BX189" s="111">
        <v>1066.8</v>
      </c>
      <c r="BY189" s="162">
        <v>22</v>
      </c>
      <c r="BZ189" s="111">
        <v>7.6</v>
      </c>
      <c r="CA189" s="120">
        <v>0</v>
      </c>
      <c r="CB189" s="110">
        <v>0</v>
      </c>
      <c r="CC189" s="119">
        <v>5.0000000000000001E-4</v>
      </c>
      <c r="CD189" s="110">
        <v>304</v>
      </c>
      <c r="CE189" s="104">
        <f t="shared" si="8"/>
        <v>5.5054754918253002E-3</v>
      </c>
      <c r="CF189" s="105">
        <f t="shared" si="6"/>
        <v>0.72</v>
      </c>
    </row>
    <row r="190" spans="1:84" x14ac:dyDescent="0.25">
      <c r="A190" s="109">
        <v>189</v>
      </c>
      <c r="B190" s="107"/>
      <c r="C190" s="108" t="s">
        <v>408</v>
      </c>
      <c r="D190" s="113">
        <v>1422.4</v>
      </c>
      <c r="E190" s="111">
        <v>1219.2</v>
      </c>
      <c r="F190" s="111">
        <f t="shared" si="7"/>
        <v>1734190.0800000001</v>
      </c>
      <c r="G190" s="241">
        <v>193.67500000000001</v>
      </c>
      <c r="H190" s="111">
        <v>1066.8</v>
      </c>
      <c r="I190" s="112">
        <v>1.17</v>
      </c>
      <c r="J190" s="160">
        <v>23.6</v>
      </c>
      <c r="K190" s="242">
        <v>19.2</v>
      </c>
      <c r="L190" s="162">
        <v>22</v>
      </c>
      <c r="M190" s="163">
        <v>0.41</v>
      </c>
      <c r="N190" s="111">
        <v>5.9</v>
      </c>
      <c r="O190" s="117" t="s">
        <v>206</v>
      </c>
      <c r="P190" s="118" t="s">
        <v>216</v>
      </c>
      <c r="Q190" s="119">
        <v>0</v>
      </c>
      <c r="R190" s="120">
        <v>0</v>
      </c>
      <c r="S190" s="120">
        <v>0</v>
      </c>
      <c r="T190" s="110">
        <v>0</v>
      </c>
      <c r="U190" s="118" t="s">
        <v>217</v>
      </c>
      <c r="V190" s="119">
        <v>2.1299999999999999E-3</v>
      </c>
      <c r="W190" s="110">
        <v>342</v>
      </c>
      <c r="X190" s="118" t="s">
        <v>217</v>
      </c>
      <c r="Y190" s="165">
        <v>0.74</v>
      </c>
      <c r="Z190" s="115">
        <v>0.5</v>
      </c>
      <c r="AA190" s="128" t="s">
        <v>217</v>
      </c>
      <c r="AB190" s="117" t="s">
        <v>217</v>
      </c>
      <c r="AC190" s="179">
        <v>2</v>
      </c>
      <c r="AD190" s="117" t="s">
        <v>229</v>
      </c>
      <c r="AE190" s="118">
        <v>0.83</v>
      </c>
      <c r="AF190" s="125">
        <v>0.28999999999999998</v>
      </c>
      <c r="AG190" s="123">
        <v>0.32</v>
      </c>
      <c r="AH190" s="123">
        <v>0.19</v>
      </c>
      <c r="AI190" s="124">
        <v>0.79</v>
      </c>
      <c r="AJ190" s="125">
        <v>0.42</v>
      </c>
      <c r="AK190" s="123">
        <v>0.66</v>
      </c>
      <c r="AL190" s="123">
        <v>0</v>
      </c>
      <c r="AM190" s="124">
        <v>1.07</v>
      </c>
      <c r="AN190" s="125">
        <v>0.35</v>
      </c>
      <c r="AO190" s="123">
        <v>0.47</v>
      </c>
      <c r="AP190" s="123">
        <v>0.46</v>
      </c>
      <c r="AQ190" s="124">
        <v>1.0900000000000001</v>
      </c>
      <c r="AR190" s="125">
        <v>0.48</v>
      </c>
      <c r="AS190" s="123">
        <v>0.38</v>
      </c>
      <c r="AT190" s="123">
        <v>0.19</v>
      </c>
      <c r="AU190" s="124">
        <v>0.39</v>
      </c>
      <c r="AV190" s="125">
        <v>0.18</v>
      </c>
      <c r="AW190" s="123">
        <v>0.73</v>
      </c>
      <c r="AX190" s="123">
        <v>0</v>
      </c>
      <c r="AY190" s="124">
        <v>0.9</v>
      </c>
      <c r="AZ190" s="125">
        <v>0</v>
      </c>
      <c r="BA190" s="123">
        <v>0.55000000000000004</v>
      </c>
      <c r="BB190" s="123">
        <v>0.06</v>
      </c>
      <c r="BC190" s="124">
        <v>0.61</v>
      </c>
      <c r="BD190" s="126">
        <v>0.35</v>
      </c>
      <c r="BE190" s="125">
        <v>0.35</v>
      </c>
      <c r="BF190" s="123">
        <v>0</v>
      </c>
      <c r="BG190" s="123">
        <v>0.17</v>
      </c>
      <c r="BH190" s="124">
        <v>0.52</v>
      </c>
      <c r="BI190" s="125">
        <v>0.21</v>
      </c>
      <c r="BJ190" s="123">
        <v>0.31</v>
      </c>
      <c r="BK190" s="123">
        <v>0.22</v>
      </c>
      <c r="BL190" s="124">
        <v>0.74</v>
      </c>
      <c r="BM190" s="125">
        <v>1.23</v>
      </c>
      <c r="BN190" s="123">
        <v>0.9</v>
      </c>
      <c r="BO190" s="123">
        <v>0.89</v>
      </c>
      <c r="BP190" s="123">
        <v>2.4900000000000002</v>
      </c>
      <c r="BQ190" s="123">
        <v>1.07</v>
      </c>
      <c r="BR190" s="123">
        <v>1.59</v>
      </c>
      <c r="BS190" s="123">
        <v>2.78</v>
      </c>
      <c r="BT190" s="123">
        <v>1.85</v>
      </c>
      <c r="BU190" s="124">
        <v>1.31</v>
      </c>
      <c r="BV190" s="79">
        <v>1734190.0800000001</v>
      </c>
      <c r="BW190" s="241">
        <v>193.67500000000001</v>
      </c>
      <c r="BX190" s="111">
        <v>1066.8</v>
      </c>
      <c r="BY190" s="162">
        <v>22</v>
      </c>
      <c r="BZ190" s="111">
        <v>5.9</v>
      </c>
      <c r="CA190" s="120">
        <v>0</v>
      </c>
      <c r="CB190" s="110">
        <v>0</v>
      </c>
      <c r="CC190" s="119">
        <v>2.1299999999999999E-3</v>
      </c>
      <c r="CD190" s="110">
        <v>342</v>
      </c>
      <c r="CE190" s="104">
        <f t="shared" si="8"/>
        <v>7.8347151229821582E-3</v>
      </c>
      <c r="CF190" s="105">
        <f t="shared" si="6"/>
        <v>0.83</v>
      </c>
    </row>
    <row r="191" spans="1:84" x14ac:dyDescent="0.25">
      <c r="A191" s="223">
        <v>190</v>
      </c>
      <c r="B191" s="221"/>
      <c r="C191" s="222" t="s">
        <v>409</v>
      </c>
      <c r="D191" s="246">
        <v>1422.4</v>
      </c>
      <c r="E191" s="225">
        <v>1219.2</v>
      </c>
      <c r="F191" s="225">
        <f t="shared" si="7"/>
        <v>1734190.0800000001</v>
      </c>
      <c r="G191" s="243">
        <v>193.67500000000001</v>
      </c>
      <c r="H191" s="225">
        <v>1066.8</v>
      </c>
      <c r="I191" s="226">
        <v>1.17</v>
      </c>
      <c r="J191" s="227">
        <v>24</v>
      </c>
      <c r="K191" s="244">
        <v>19.2</v>
      </c>
      <c r="L191" s="247">
        <v>22</v>
      </c>
      <c r="M191" s="228">
        <v>0.54</v>
      </c>
      <c r="N191" s="225">
        <v>7.4</v>
      </c>
      <c r="O191" s="229" t="s">
        <v>206</v>
      </c>
      <c r="P191" s="230" t="s">
        <v>216</v>
      </c>
      <c r="Q191" s="231">
        <v>0</v>
      </c>
      <c r="R191" s="232">
        <v>0</v>
      </c>
      <c r="S191" s="232">
        <v>0</v>
      </c>
      <c r="T191" s="224">
        <v>0</v>
      </c>
      <c r="U191" s="230" t="s">
        <v>217</v>
      </c>
      <c r="V191" s="231">
        <v>7.2999999999999996E-4</v>
      </c>
      <c r="W191" s="224">
        <v>373</v>
      </c>
      <c r="X191" s="230" t="s">
        <v>217</v>
      </c>
      <c r="Y191" s="234">
        <v>0.74</v>
      </c>
      <c r="Z191" s="245">
        <v>0.5</v>
      </c>
      <c r="AA191" s="198" t="s">
        <v>217</v>
      </c>
      <c r="AB191" s="144" t="s">
        <v>217</v>
      </c>
      <c r="AC191" s="236">
        <v>2</v>
      </c>
      <c r="AD191" s="229" t="s">
        <v>229</v>
      </c>
      <c r="AE191" s="230">
        <v>0.68</v>
      </c>
      <c r="AF191" s="152">
        <v>0.32</v>
      </c>
      <c r="AG191" s="150">
        <v>0.12</v>
      </c>
      <c r="AH191" s="150">
        <v>0.19</v>
      </c>
      <c r="AI191" s="151">
        <v>0.62</v>
      </c>
      <c r="AJ191" s="152">
        <v>0.42</v>
      </c>
      <c r="AK191" s="150">
        <v>0.24</v>
      </c>
      <c r="AL191" s="150">
        <v>0</v>
      </c>
      <c r="AM191" s="151">
        <v>0.66</v>
      </c>
      <c r="AN191" s="152">
        <v>0.4</v>
      </c>
      <c r="AO191" s="150">
        <v>0.17</v>
      </c>
      <c r="AP191" s="150">
        <v>0.47</v>
      </c>
      <c r="AQ191" s="151">
        <v>1.04</v>
      </c>
      <c r="AR191" s="152">
        <v>0.54</v>
      </c>
      <c r="AS191" s="150">
        <v>0.14000000000000001</v>
      </c>
      <c r="AT191" s="150">
        <v>0.19</v>
      </c>
      <c r="AU191" s="151">
        <v>0.43</v>
      </c>
      <c r="AV191" s="152">
        <v>0.2</v>
      </c>
      <c r="AW191" s="150">
        <v>0.27</v>
      </c>
      <c r="AX191" s="150">
        <v>0</v>
      </c>
      <c r="AY191" s="151">
        <v>0.47</v>
      </c>
      <c r="AZ191" s="152">
        <v>0</v>
      </c>
      <c r="BA191" s="150">
        <v>0.34</v>
      </c>
      <c r="BB191" s="150">
        <v>0.06</v>
      </c>
      <c r="BC191" s="151">
        <v>0.39</v>
      </c>
      <c r="BD191" s="153">
        <v>0.39</v>
      </c>
      <c r="BE191" s="152">
        <v>0.46</v>
      </c>
      <c r="BF191" s="150">
        <v>0</v>
      </c>
      <c r="BG191" s="150">
        <v>0.17</v>
      </c>
      <c r="BH191" s="151">
        <v>0.63</v>
      </c>
      <c r="BI191" s="152">
        <v>0.27</v>
      </c>
      <c r="BJ191" s="150">
        <v>0.16</v>
      </c>
      <c r="BK191" s="150">
        <v>0.22</v>
      </c>
      <c r="BL191" s="151">
        <v>0.65</v>
      </c>
      <c r="BM191" s="152">
        <v>1.27</v>
      </c>
      <c r="BN191" s="150">
        <v>1.19</v>
      </c>
      <c r="BO191" s="150">
        <v>0.76</v>
      </c>
      <c r="BP191" s="150">
        <v>1.81</v>
      </c>
      <c r="BQ191" s="150">
        <v>1.69</v>
      </c>
      <c r="BR191" s="150">
        <v>2.0099999999999998</v>
      </c>
      <c r="BS191" s="150">
        <v>2.0299999999999998</v>
      </c>
      <c r="BT191" s="150">
        <v>1.25</v>
      </c>
      <c r="BU191" s="151">
        <v>1.21</v>
      </c>
      <c r="BV191" s="79">
        <v>1734190.0800000001</v>
      </c>
      <c r="BW191" s="243">
        <v>193.67500000000001</v>
      </c>
      <c r="BX191" s="225">
        <v>1066.8</v>
      </c>
      <c r="BY191" s="247">
        <v>22</v>
      </c>
      <c r="BZ191" s="225">
        <v>7.4</v>
      </c>
      <c r="CA191" s="232">
        <v>0</v>
      </c>
      <c r="CB191" s="224">
        <v>0</v>
      </c>
      <c r="CC191" s="231">
        <v>7.2999999999999996E-4</v>
      </c>
      <c r="CD191" s="224">
        <v>373</v>
      </c>
      <c r="CE191" s="184">
        <f t="shared" si="8"/>
        <v>5.2937264344474037E-3</v>
      </c>
      <c r="CF191" s="185">
        <f t="shared" si="6"/>
        <v>0.68</v>
      </c>
    </row>
    <row r="192" spans="1:84" ht="24" customHeight="1" x14ac:dyDescent="0.25">
      <c r="A192" s="106">
        <v>191</v>
      </c>
      <c r="B192" s="107" t="s">
        <v>51</v>
      </c>
      <c r="C192" s="108" t="s">
        <v>410</v>
      </c>
      <c r="D192" s="109">
        <v>1422</v>
      </c>
      <c r="E192" s="110">
        <v>2845</v>
      </c>
      <c r="F192" s="111">
        <f t="shared" si="7"/>
        <v>4045590</v>
      </c>
      <c r="G192" s="110">
        <v>390</v>
      </c>
      <c r="H192" s="110">
        <v>2276</v>
      </c>
      <c r="I192" s="112">
        <v>0.5</v>
      </c>
      <c r="J192" s="160">
        <v>24</v>
      </c>
      <c r="K192" s="242">
        <v>19.2</v>
      </c>
      <c r="L192" s="162">
        <v>22</v>
      </c>
      <c r="M192" s="163">
        <v>0.92</v>
      </c>
      <c r="N192" s="111">
        <v>14.5</v>
      </c>
      <c r="O192" s="117" t="s">
        <v>206</v>
      </c>
      <c r="P192" s="118" t="s">
        <v>216</v>
      </c>
      <c r="Q192" s="119">
        <v>5.1000000000000004E-4</v>
      </c>
      <c r="R192" s="120">
        <v>0</v>
      </c>
      <c r="S192" s="120">
        <v>1.0200000000000001E-3</v>
      </c>
      <c r="T192" s="110">
        <v>400</v>
      </c>
      <c r="U192" s="121">
        <v>1707</v>
      </c>
      <c r="V192" s="119">
        <v>5.5999999999999995E-4</v>
      </c>
      <c r="W192" s="110">
        <v>400</v>
      </c>
      <c r="X192" s="118" t="s">
        <v>217</v>
      </c>
      <c r="Y192" s="165">
        <v>0.24</v>
      </c>
      <c r="Z192" s="122">
        <v>1</v>
      </c>
      <c r="AA192" s="113">
        <v>1.6</v>
      </c>
      <c r="AB192" s="111">
        <v>18.2</v>
      </c>
      <c r="AC192" s="114">
        <v>11.4</v>
      </c>
      <c r="AD192" s="123">
        <v>0.36</v>
      </c>
      <c r="AE192" s="124">
        <v>0.47</v>
      </c>
      <c r="AF192" s="102">
        <v>0.92</v>
      </c>
      <c r="AG192" s="100">
        <v>0.18</v>
      </c>
      <c r="AH192" s="100">
        <v>0.12</v>
      </c>
      <c r="AI192" s="101">
        <v>1.22</v>
      </c>
      <c r="AJ192" s="102">
        <v>0.55000000000000004</v>
      </c>
      <c r="AK192" s="100">
        <v>0.4</v>
      </c>
      <c r="AL192" s="100">
        <v>0</v>
      </c>
      <c r="AM192" s="101">
        <v>0.96</v>
      </c>
      <c r="AN192" s="102">
        <v>0</v>
      </c>
      <c r="AO192" s="100">
        <v>0.28999999999999998</v>
      </c>
      <c r="AP192" s="100">
        <v>0.33</v>
      </c>
      <c r="AQ192" s="101">
        <v>0.61</v>
      </c>
      <c r="AR192" s="102">
        <v>1.46</v>
      </c>
      <c r="AS192" s="100">
        <v>0.22</v>
      </c>
      <c r="AT192" s="100">
        <v>0.12</v>
      </c>
      <c r="AU192" s="101">
        <v>1.22</v>
      </c>
      <c r="AV192" s="102">
        <v>0.56999999999999995</v>
      </c>
      <c r="AW192" s="100">
        <v>0.45</v>
      </c>
      <c r="AX192" s="100">
        <v>0</v>
      </c>
      <c r="AY192" s="101">
        <v>1.02</v>
      </c>
      <c r="AZ192" s="102">
        <v>0.37</v>
      </c>
      <c r="BA192" s="100">
        <v>0.56000000000000005</v>
      </c>
      <c r="BB192" s="100">
        <v>0.03</v>
      </c>
      <c r="BC192" s="101">
        <v>0.97</v>
      </c>
      <c r="BD192" s="103">
        <v>1.1000000000000001</v>
      </c>
      <c r="BE192" s="102">
        <v>1.85</v>
      </c>
      <c r="BF192" s="100">
        <v>0</v>
      </c>
      <c r="BG192" s="100">
        <v>0.11</v>
      </c>
      <c r="BH192" s="101">
        <v>1.96</v>
      </c>
      <c r="BI192" s="102">
        <v>0.92</v>
      </c>
      <c r="BJ192" s="100">
        <v>0.27</v>
      </c>
      <c r="BK192" s="100">
        <v>0.14000000000000001</v>
      </c>
      <c r="BL192" s="101">
        <v>1.33</v>
      </c>
      <c r="BM192" s="102">
        <v>0.39</v>
      </c>
      <c r="BN192" s="100">
        <v>0.49</v>
      </c>
      <c r="BO192" s="100">
        <v>0.77</v>
      </c>
      <c r="BP192" s="100">
        <v>0.39</v>
      </c>
      <c r="BQ192" s="100">
        <v>0.46</v>
      </c>
      <c r="BR192" s="100">
        <v>0.49</v>
      </c>
      <c r="BS192" s="100">
        <v>0.43</v>
      </c>
      <c r="BT192" s="100">
        <v>0.24</v>
      </c>
      <c r="BU192" s="101">
        <v>0.35</v>
      </c>
      <c r="BV192" s="79">
        <v>4045590</v>
      </c>
      <c r="BW192" s="110">
        <v>390</v>
      </c>
      <c r="BX192" s="110">
        <v>2276</v>
      </c>
      <c r="BY192" s="162">
        <v>22</v>
      </c>
      <c r="BZ192" s="111">
        <v>14.5</v>
      </c>
      <c r="CA192" s="120">
        <v>1.0200000000000001E-3</v>
      </c>
      <c r="CB192" s="110">
        <v>400</v>
      </c>
      <c r="CC192" s="119">
        <v>5.5999999999999995E-4</v>
      </c>
      <c r="CD192" s="110">
        <v>400</v>
      </c>
      <c r="CE192" s="104">
        <f t="shared" si="8"/>
        <v>2.1630390698931999E-4</v>
      </c>
      <c r="CF192" s="105">
        <f t="shared" si="6"/>
        <v>0.47</v>
      </c>
    </row>
    <row r="193" spans="1:84" ht="24" x14ac:dyDescent="0.25">
      <c r="A193" s="106">
        <v>192</v>
      </c>
      <c r="B193" s="107"/>
      <c r="C193" s="108" t="s">
        <v>411</v>
      </c>
      <c r="D193" s="109">
        <v>1422</v>
      </c>
      <c r="E193" s="110">
        <v>2032</v>
      </c>
      <c r="F193" s="111">
        <f t="shared" si="7"/>
        <v>2889504</v>
      </c>
      <c r="G193" s="110">
        <v>390</v>
      </c>
      <c r="H193" s="111">
        <v>1625.6</v>
      </c>
      <c r="I193" s="112">
        <v>0.7</v>
      </c>
      <c r="J193" s="160">
        <v>24</v>
      </c>
      <c r="K193" s="242">
        <v>19.2</v>
      </c>
      <c r="L193" s="162">
        <v>22</v>
      </c>
      <c r="M193" s="163">
        <v>0.92</v>
      </c>
      <c r="N193" s="111">
        <v>14.5</v>
      </c>
      <c r="O193" s="117" t="s">
        <v>206</v>
      </c>
      <c r="P193" s="118" t="s">
        <v>216</v>
      </c>
      <c r="Q193" s="119">
        <v>7.2000000000000005E-4</v>
      </c>
      <c r="R193" s="120">
        <v>0</v>
      </c>
      <c r="S193" s="120">
        <v>1.4300000000000001E-3</v>
      </c>
      <c r="T193" s="110">
        <v>400</v>
      </c>
      <c r="U193" s="114">
        <v>1219.2</v>
      </c>
      <c r="V193" s="119">
        <v>5.5999999999999995E-4</v>
      </c>
      <c r="W193" s="110">
        <v>400</v>
      </c>
      <c r="X193" s="118" t="s">
        <v>217</v>
      </c>
      <c r="Y193" s="165">
        <v>0.23</v>
      </c>
      <c r="Z193" s="122">
        <v>1</v>
      </c>
      <c r="AA193" s="113">
        <v>2</v>
      </c>
      <c r="AB193" s="111">
        <v>15.7</v>
      </c>
      <c r="AC193" s="114">
        <v>7.9</v>
      </c>
      <c r="AD193" s="123">
        <v>0.31</v>
      </c>
      <c r="AE193" s="124">
        <v>0.46</v>
      </c>
      <c r="AF193" s="125">
        <v>0.56000000000000005</v>
      </c>
      <c r="AG193" s="123">
        <v>0.13</v>
      </c>
      <c r="AH193" s="123">
        <v>0.08</v>
      </c>
      <c r="AI193" s="124">
        <v>0.77</v>
      </c>
      <c r="AJ193" s="125">
        <v>0.39</v>
      </c>
      <c r="AK193" s="123">
        <v>0.28999999999999998</v>
      </c>
      <c r="AL193" s="123">
        <v>0</v>
      </c>
      <c r="AM193" s="124">
        <v>0.68</v>
      </c>
      <c r="AN193" s="125">
        <v>0</v>
      </c>
      <c r="AO193" s="123">
        <v>0.2</v>
      </c>
      <c r="AP193" s="123">
        <v>0.16</v>
      </c>
      <c r="AQ193" s="124">
        <v>0.37</v>
      </c>
      <c r="AR193" s="125">
        <v>0.91</v>
      </c>
      <c r="AS193" s="123">
        <v>0.15</v>
      </c>
      <c r="AT193" s="123">
        <v>0.08</v>
      </c>
      <c r="AU193" s="124">
        <v>0.87</v>
      </c>
      <c r="AV193" s="125">
        <v>0.32</v>
      </c>
      <c r="AW193" s="123">
        <v>0.32</v>
      </c>
      <c r="AX193" s="123">
        <v>0</v>
      </c>
      <c r="AY193" s="124">
        <v>0.64</v>
      </c>
      <c r="AZ193" s="125">
        <v>0.28999999999999998</v>
      </c>
      <c r="BA193" s="123">
        <v>0.4</v>
      </c>
      <c r="BB193" s="123">
        <v>0.02</v>
      </c>
      <c r="BC193" s="124">
        <v>0.71</v>
      </c>
      <c r="BD193" s="126">
        <v>0.73</v>
      </c>
      <c r="BE193" s="125">
        <v>0.94</v>
      </c>
      <c r="BF193" s="123">
        <v>0</v>
      </c>
      <c r="BG193" s="123">
        <v>0.08</v>
      </c>
      <c r="BH193" s="124">
        <v>1.02</v>
      </c>
      <c r="BI193" s="125">
        <v>0.66</v>
      </c>
      <c r="BJ193" s="123">
        <v>0.19</v>
      </c>
      <c r="BK193" s="123">
        <v>0.1</v>
      </c>
      <c r="BL193" s="124">
        <v>0.95</v>
      </c>
      <c r="BM193" s="125">
        <v>0.59</v>
      </c>
      <c r="BN193" s="123">
        <v>0.67</v>
      </c>
      <c r="BO193" s="123">
        <v>1.25</v>
      </c>
      <c r="BP193" s="123">
        <v>0.53</v>
      </c>
      <c r="BQ193" s="123">
        <v>0.72</v>
      </c>
      <c r="BR193" s="123">
        <v>0.64</v>
      </c>
      <c r="BS193" s="123">
        <v>0.62</v>
      </c>
      <c r="BT193" s="123">
        <v>0.45</v>
      </c>
      <c r="BU193" s="124">
        <v>0.48</v>
      </c>
      <c r="BV193" s="79">
        <v>2889504</v>
      </c>
      <c r="BW193" s="110">
        <v>390</v>
      </c>
      <c r="BX193" s="111">
        <v>1625.6</v>
      </c>
      <c r="BY193" s="162">
        <v>22</v>
      </c>
      <c r="BZ193" s="111">
        <v>14.5</v>
      </c>
      <c r="CA193" s="120">
        <v>1.4300000000000001E-3</v>
      </c>
      <c r="CB193" s="110">
        <v>400</v>
      </c>
      <c r="CC193" s="119">
        <v>5.5999999999999995E-4</v>
      </c>
      <c r="CD193" s="110">
        <v>400</v>
      </c>
      <c r="CE193" s="104">
        <f t="shared" si="8"/>
        <v>5.6783767413688669E-4</v>
      </c>
      <c r="CF193" s="105">
        <f t="shared" si="6"/>
        <v>0.46</v>
      </c>
    </row>
    <row r="194" spans="1:84" ht="24" x14ac:dyDescent="0.25">
      <c r="A194" s="127">
        <v>193</v>
      </c>
      <c r="B194" s="107"/>
      <c r="C194" s="108" t="s">
        <v>412</v>
      </c>
      <c r="D194" s="132">
        <v>1422</v>
      </c>
      <c r="E194" s="129">
        <v>1422</v>
      </c>
      <c r="F194" s="111">
        <f t="shared" si="7"/>
        <v>2022084</v>
      </c>
      <c r="G194" s="129">
        <v>390</v>
      </c>
      <c r="H194" s="129">
        <v>1137.5999999999999</v>
      </c>
      <c r="I194" s="112">
        <v>1</v>
      </c>
      <c r="J194" s="160">
        <v>24</v>
      </c>
      <c r="K194" s="242">
        <v>19.2</v>
      </c>
      <c r="L194" s="162">
        <v>22</v>
      </c>
      <c r="M194" s="163">
        <v>0.92</v>
      </c>
      <c r="N194" s="111">
        <v>14.5</v>
      </c>
      <c r="O194" s="117" t="s">
        <v>206</v>
      </c>
      <c r="P194" s="118" t="s">
        <v>216</v>
      </c>
      <c r="Q194" s="119">
        <v>1.0200000000000001E-3</v>
      </c>
      <c r="R194" s="120">
        <v>0</v>
      </c>
      <c r="S194" s="120">
        <v>2.0500000000000002E-3</v>
      </c>
      <c r="T194" s="110">
        <v>400</v>
      </c>
      <c r="U194" s="114">
        <v>853.2</v>
      </c>
      <c r="V194" s="119">
        <v>5.5999999999999995E-4</v>
      </c>
      <c r="W194" s="110">
        <v>400</v>
      </c>
      <c r="X194" s="118" t="s">
        <v>217</v>
      </c>
      <c r="Y194" s="165">
        <v>0.23</v>
      </c>
      <c r="Z194" s="122">
        <v>1</v>
      </c>
      <c r="AA194" s="113">
        <v>2.2000000000000002</v>
      </c>
      <c r="AB194" s="111">
        <v>15.4</v>
      </c>
      <c r="AC194" s="114">
        <v>7</v>
      </c>
      <c r="AD194" s="123">
        <v>0.18</v>
      </c>
      <c r="AE194" s="124">
        <v>0.32</v>
      </c>
      <c r="AF194" s="125">
        <v>0.36</v>
      </c>
      <c r="AG194" s="123">
        <v>0.09</v>
      </c>
      <c r="AH194" s="123">
        <v>0.06</v>
      </c>
      <c r="AI194" s="124">
        <v>0.5</v>
      </c>
      <c r="AJ194" s="125">
        <v>0.28000000000000003</v>
      </c>
      <c r="AK194" s="123">
        <v>0.2</v>
      </c>
      <c r="AL194" s="123">
        <v>0</v>
      </c>
      <c r="AM194" s="124">
        <v>0.48</v>
      </c>
      <c r="AN194" s="125">
        <v>0</v>
      </c>
      <c r="AO194" s="123">
        <v>0.14000000000000001</v>
      </c>
      <c r="AP194" s="123">
        <v>0.08</v>
      </c>
      <c r="AQ194" s="124">
        <v>0.22</v>
      </c>
      <c r="AR194" s="125">
        <v>0.49</v>
      </c>
      <c r="AS194" s="123">
        <v>0.11</v>
      </c>
      <c r="AT194" s="123">
        <v>0.06</v>
      </c>
      <c r="AU194" s="124">
        <v>0.61</v>
      </c>
      <c r="AV194" s="125">
        <v>0.19</v>
      </c>
      <c r="AW194" s="123">
        <v>0.22</v>
      </c>
      <c r="AX194" s="123">
        <v>0</v>
      </c>
      <c r="AY194" s="124">
        <v>0.41</v>
      </c>
      <c r="AZ194" s="125">
        <v>0.22</v>
      </c>
      <c r="BA194" s="123">
        <v>0.28000000000000003</v>
      </c>
      <c r="BB194" s="123">
        <v>0.02</v>
      </c>
      <c r="BC194" s="124">
        <v>0.51</v>
      </c>
      <c r="BD194" s="126">
        <v>0.5</v>
      </c>
      <c r="BE194" s="125">
        <v>0.46</v>
      </c>
      <c r="BF194" s="123">
        <v>0</v>
      </c>
      <c r="BG194" s="123">
        <v>0.05</v>
      </c>
      <c r="BH194" s="124">
        <v>0.52</v>
      </c>
      <c r="BI194" s="125">
        <v>0.46</v>
      </c>
      <c r="BJ194" s="123">
        <v>0.13</v>
      </c>
      <c r="BK194" s="123">
        <v>7.0000000000000007E-2</v>
      </c>
      <c r="BL194" s="124">
        <v>0.67</v>
      </c>
      <c r="BM194" s="125">
        <v>0.63</v>
      </c>
      <c r="BN194" s="123">
        <v>0.66</v>
      </c>
      <c r="BO194" s="123">
        <v>1.43</v>
      </c>
      <c r="BP194" s="123">
        <v>0.52</v>
      </c>
      <c r="BQ194" s="123">
        <v>0.77</v>
      </c>
      <c r="BR194" s="123">
        <v>0.62</v>
      </c>
      <c r="BS194" s="123">
        <v>0.64</v>
      </c>
      <c r="BT194" s="123">
        <v>0.62</v>
      </c>
      <c r="BU194" s="124">
        <v>0.48</v>
      </c>
      <c r="BV194" s="79">
        <v>2022084</v>
      </c>
      <c r="BW194" s="129">
        <v>390</v>
      </c>
      <c r="BX194" s="129">
        <v>1137.5999999999999</v>
      </c>
      <c r="BY194" s="162">
        <v>22</v>
      </c>
      <c r="BZ194" s="111">
        <v>14.5</v>
      </c>
      <c r="CA194" s="120">
        <v>2.0500000000000002E-3</v>
      </c>
      <c r="CB194" s="110">
        <v>400</v>
      </c>
      <c r="CC194" s="119">
        <v>5.5999999999999995E-4</v>
      </c>
      <c r="CD194" s="110">
        <v>400</v>
      </c>
      <c r="CE194" s="104">
        <f t="shared" si="8"/>
        <v>1.1179631432795989E-3</v>
      </c>
      <c r="CF194" s="105">
        <f t="shared" ref="CF194:CF257" si="9">AE194</f>
        <v>0.32</v>
      </c>
    </row>
    <row r="195" spans="1:84" ht="24" x14ac:dyDescent="0.25">
      <c r="A195" s="127">
        <v>194</v>
      </c>
      <c r="B195" s="107"/>
      <c r="C195" s="108" t="s">
        <v>413</v>
      </c>
      <c r="D195" s="132">
        <v>1422</v>
      </c>
      <c r="E195" s="129">
        <v>2845</v>
      </c>
      <c r="F195" s="111">
        <f t="shared" ref="F195:F258" si="10">E195*D195</f>
        <v>4045590</v>
      </c>
      <c r="G195" s="129">
        <v>390</v>
      </c>
      <c r="H195" s="129">
        <v>2276</v>
      </c>
      <c r="I195" s="112">
        <v>0.5</v>
      </c>
      <c r="J195" s="160">
        <v>24</v>
      </c>
      <c r="K195" s="242">
        <v>19.2</v>
      </c>
      <c r="L195" s="162">
        <v>22</v>
      </c>
      <c r="M195" s="163">
        <v>0.92</v>
      </c>
      <c r="N195" s="111">
        <v>14.5</v>
      </c>
      <c r="O195" s="117" t="s">
        <v>206</v>
      </c>
      <c r="P195" s="118" t="s">
        <v>216</v>
      </c>
      <c r="Q195" s="119">
        <v>5.1000000000000004E-4</v>
      </c>
      <c r="R195" s="120">
        <v>0</v>
      </c>
      <c r="S195" s="120">
        <v>1.0200000000000001E-3</v>
      </c>
      <c r="T195" s="110">
        <v>400</v>
      </c>
      <c r="U195" s="121">
        <v>1707</v>
      </c>
      <c r="V195" s="119">
        <v>1.1000000000000001E-3</v>
      </c>
      <c r="W195" s="110">
        <v>400</v>
      </c>
      <c r="X195" s="118" t="s">
        <v>217</v>
      </c>
      <c r="Y195" s="165">
        <v>0.24</v>
      </c>
      <c r="Z195" s="122">
        <v>1</v>
      </c>
      <c r="AA195" s="113">
        <v>1.4</v>
      </c>
      <c r="AB195" s="111">
        <v>25.3</v>
      </c>
      <c r="AC195" s="114">
        <v>18.100000000000001</v>
      </c>
      <c r="AD195" s="123">
        <v>0.38</v>
      </c>
      <c r="AE195" s="124">
        <v>0.44</v>
      </c>
      <c r="AF195" s="125">
        <v>0.92</v>
      </c>
      <c r="AG195" s="123">
        <v>0.35</v>
      </c>
      <c r="AH195" s="123">
        <v>0.12</v>
      </c>
      <c r="AI195" s="124">
        <v>1.39</v>
      </c>
      <c r="AJ195" s="125">
        <v>0.55000000000000004</v>
      </c>
      <c r="AK195" s="123">
        <v>0.79</v>
      </c>
      <c r="AL195" s="123">
        <v>0</v>
      </c>
      <c r="AM195" s="124">
        <v>1.35</v>
      </c>
      <c r="AN195" s="125">
        <v>0</v>
      </c>
      <c r="AO195" s="123">
        <v>0.56000000000000005</v>
      </c>
      <c r="AP195" s="123">
        <v>0.33</v>
      </c>
      <c r="AQ195" s="124">
        <v>0.89</v>
      </c>
      <c r="AR195" s="125">
        <v>1.46</v>
      </c>
      <c r="AS195" s="123">
        <v>0.42</v>
      </c>
      <c r="AT195" s="123">
        <v>0.12</v>
      </c>
      <c r="AU195" s="124">
        <v>1.22</v>
      </c>
      <c r="AV195" s="125">
        <v>0.56999999999999995</v>
      </c>
      <c r="AW195" s="123">
        <v>0.88</v>
      </c>
      <c r="AX195" s="123">
        <v>0</v>
      </c>
      <c r="AY195" s="124">
        <v>1.45</v>
      </c>
      <c r="AZ195" s="125">
        <v>0.37</v>
      </c>
      <c r="BA195" s="123">
        <v>0.78</v>
      </c>
      <c r="BB195" s="123">
        <v>0.03</v>
      </c>
      <c r="BC195" s="124">
        <v>1.19</v>
      </c>
      <c r="BD195" s="126">
        <v>1.1000000000000001</v>
      </c>
      <c r="BE195" s="125">
        <v>1.85</v>
      </c>
      <c r="BF195" s="123">
        <v>0</v>
      </c>
      <c r="BG195" s="123">
        <v>0.11</v>
      </c>
      <c r="BH195" s="124">
        <v>1.96</v>
      </c>
      <c r="BI195" s="125">
        <v>0.92</v>
      </c>
      <c r="BJ195" s="123">
        <v>0.53</v>
      </c>
      <c r="BK195" s="123">
        <v>0.14000000000000001</v>
      </c>
      <c r="BL195" s="124">
        <v>1.59</v>
      </c>
      <c r="BM195" s="125">
        <v>0.32</v>
      </c>
      <c r="BN195" s="123">
        <v>0.33</v>
      </c>
      <c r="BO195" s="123">
        <v>0.49</v>
      </c>
      <c r="BP195" s="123">
        <v>0.36</v>
      </c>
      <c r="BQ195" s="123">
        <v>0.3</v>
      </c>
      <c r="BR195" s="123">
        <v>0.37</v>
      </c>
      <c r="BS195" s="123">
        <v>0.4</v>
      </c>
      <c r="BT195" s="123">
        <v>0.22</v>
      </c>
      <c r="BU195" s="124">
        <v>0.28000000000000003</v>
      </c>
      <c r="BV195" s="79">
        <v>4045590</v>
      </c>
      <c r="BW195" s="129">
        <v>390</v>
      </c>
      <c r="BX195" s="129">
        <v>2276</v>
      </c>
      <c r="BY195" s="162">
        <v>22</v>
      </c>
      <c r="BZ195" s="111">
        <v>14.5</v>
      </c>
      <c r="CA195" s="120">
        <v>1.0200000000000001E-3</v>
      </c>
      <c r="CB195" s="110">
        <v>400</v>
      </c>
      <c r="CC195" s="119">
        <v>1.1000000000000001E-3</v>
      </c>
      <c r="CD195" s="110">
        <v>400</v>
      </c>
      <c r="CE195" s="104">
        <f t="shared" ref="CE195:CE258" si="11">BT195/(G195*E195)*1000</f>
        <v>1.9827858140687666E-4</v>
      </c>
      <c r="CF195" s="105">
        <f t="shared" si="9"/>
        <v>0.44</v>
      </c>
    </row>
    <row r="196" spans="1:84" ht="24" x14ac:dyDescent="0.25">
      <c r="A196" s="106">
        <v>195</v>
      </c>
      <c r="B196" s="107"/>
      <c r="C196" s="108" t="s">
        <v>414</v>
      </c>
      <c r="D196" s="109">
        <v>1422</v>
      </c>
      <c r="E196" s="110">
        <v>2032</v>
      </c>
      <c r="F196" s="111">
        <f t="shared" si="10"/>
        <v>2889504</v>
      </c>
      <c r="G196" s="110">
        <v>390</v>
      </c>
      <c r="H196" s="111">
        <v>1625.6</v>
      </c>
      <c r="I196" s="112">
        <v>0.7</v>
      </c>
      <c r="J196" s="160">
        <v>24</v>
      </c>
      <c r="K196" s="242">
        <v>19.2</v>
      </c>
      <c r="L196" s="162">
        <v>22</v>
      </c>
      <c r="M196" s="163">
        <v>0.92</v>
      </c>
      <c r="N196" s="111">
        <v>14.5</v>
      </c>
      <c r="O196" s="117" t="s">
        <v>206</v>
      </c>
      <c r="P196" s="118" t="s">
        <v>216</v>
      </c>
      <c r="Q196" s="119">
        <v>7.2000000000000005E-4</v>
      </c>
      <c r="R196" s="120">
        <v>0</v>
      </c>
      <c r="S196" s="120">
        <v>1.4300000000000001E-3</v>
      </c>
      <c r="T196" s="110">
        <v>400</v>
      </c>
      <c r="U196" s="114">
        <v>1219.2</v>
      </c>
      <c r="V196" s="119">
        <v>1.1000000000000001E-3</v>
      </c>
      <c r="W196" s="110">
        <v>400</v>
      </c>
      <c r="X196" s="118" t="s">
        <v>217</v>
      </c>
      <c r="Y196" s="165">
        <v>0.24</v>
      </c>
      <c r="Z196" s="122">
        <v>1</v>
      </c>
      <c r="AA196" s="113">
        <v>1.7</v>
      </c>
      <c r="AB196" s="111">
        <v>17.899999999999999</v>
      </c>
      <c r="AC196" s="114">
        <v>10.5</v>
      </c>
      <c r="AD196" s="123">
        <v>0.31</v>
      </c>
      <c r="AE196" s="124">
        <v>0.49</v>
      </c>
      <c r="AF196" s="125">
        <v>0.56000000000000005</v>
      </c>
      <c r="AG196" s="123">
        <v>0.25</v>
      </c>
      <c r="AH196" s="123">
        <v>0.08</v>
      </c>
      <c r="AI196" s="124">
        <v>0.89</v>
      </c>
      <c r="AJ196" s="125">
        <v>0.39</v>
      </c>
      <c r="AK196" s="123">
        <v>0.56999999999999995</v>
      </c>
      <c r="AL196" s="123">
        <v>0</v>
      </c>
      <c r="AM196" s="124">
        <v>0.96</v>
      </c>
      <c r="AN196" s="125">
        <v>0</v>
      </c>
      <c r="AO196" s="123">
        <v>0.4</v>
      </c>
      <c r="AP196" s="123">
        <v>0.16</v>
      </c>
      <c r="AQ196" s="124">
        <v>0.56999999999999995</v>
      </c>
      <c r="AR196" s="125">
        <v>0.91</v>
      </c>
      <c r="AS196" s="123">
        <v>0.3</v>
      </c>
      <c r="AT196" s="123">
        <v>0.08</v>
      </c>
      <c r="AU196" s="124">
        <v>0.87</v>
      </c>
      <c r="AV196" s="125">
        <v>0.32</v>
      </c>
      <c r="AW196" s="123">
        <v>0.63</v>
      </c>
      <c r="AX196" s="123">
        <v>0</v>
      </c>
      <c r="AY196" s="124">
        <v>0.95</v>
      </c>
      <c r="AZ196" s="125">
        <v>0.28999999999999998</v>
      </c>
      <c r="BA196" s="123">
        <v>0.56000000000000005</v>
      </c>
      <c r="BB196" s="123">
        <v>0.02</v>
      </c>
      <c r="BC196" s="124">
        <v>0.87</v>
      </c>
      <c r="BD196" s="126">
        <v>0.73</v>
      </c>
      <c r="BE196" s="125">
        <v>0.94</v>
      </c>
      <c r="BF196" s="123">
        <v>0</v>
      </c>
      <c r="BG196" s="123">
        <v>0.08</v>
      </c>
      <c r="BH196" s="124">
        <v>1.02</v>
      </c>
      <c r="BI196" s="125">
        <v>0.66</v>
      </c>
      <c r="BJ196" s="123">
        <v>0.38</v>
      </c>
      <c r="BK196" s="123">
        <v>0.1</v>
      </c>
      <c r="BL196" s="124">
        <v>1.1399999999999999</v>
      </c>
      <c r="BM196" s="125">
        <v>0.55000000000000004</v>
      </c>
      <c r="BN196" s="123">
        <v>0.51</v>
      </c>
      <c r="BO196" s="123">
        <v>0.86</v>
      </c>
      <c r="BP196" s="123">
        <v>0.56000000000000005</v>
      </c>
      <c r="BQ196" s="123">
        <v>0.51</v>
      </c>
      <c r="BR196" s="123">
        <v>0.56000000000000005</v>
      </c>
      <c r="BS196" s="123">
        <v>0.66</v>
      </c>
      <c r="BT196" s="123">
        <v>0.48</v>
      </c>
      <c r="BU196" s="124">
        <v>0.43</v>
      </c>
      <c r="BV196" s="79">
        <v>2889504</v>
      </c>
      <c r="BW196" s="110">
        <v>390</v>
      </c>
      <c r="BX196" s="111">
        <v>1625.6</v>
      </c>
      <c r="BY196" s="162">
        <v>22</v>
      </c>
      <c r="BZ196" s="111">
        <v>14.5</v>
      </c>
      <c r="CA196" s="120">
        <v>1.4300000000000001E-3</v>
      </c>
      <c r="CB196" s="110">
        <v>400</v>
      </c>
      <c r="CC196" s="119">
        <v>1.1000000000000001E-3</v>
      </c>
      <c r="CD196" s="110">
        <v>400</v>
      </c>
      <c r="CE196" s="104">
        <f t="shared" si="11"/>
        <v>6.0569351907934583E-4</v>
      </c>
      <c r="CF196" s="105">
        <f t="shared" si="9"/>
        <v>0.49</v>
      </c>
    </row>
    <row r="197" spans="1:84" ht="24" x14ac:dyDescent="0.25">
      <c r="A197" s="133">
        <v>196</v>
      </c>
      <c r="B197" s="134"/>
      <c r="C197" s="135" t="s">
        <v>415</v>
      </c>
      <c r="D197" s="136">
        <v>1422</v>
      </c>
      <c r="E197" s="137">
        <v>1422</v>
      </c>
      <c r="F197" s="138">
        <f t="shared" si="10"/>
        <v>2022084</v>
      </c>
      <c r="G197" s="137">
        <v>390</v>
      </c>
      <c r="H197" s="138">
        <v>1137.5999999999999</v>
      </c>
      <c r="I197" s="139">
        <v>1</v>
      </c>
      <c r="J197" s="169">
        <v>24</v>
      </c>
      <c r="K197" s="242">
        <v>19.2</v>
      </c>
      <c r="L197" s="247">
        <v>22</v>
      </c>
      <c r="M197" s="171">
        <v>0.92</v>
      </c>
      <c r="N197" s="138">
        <v>14.5</v>
      </c>
      <c r="O197" s="144" t="s">
        <v>206</v>
      </c>
      <c r="P197" s="145" t="s">
        <v>216</v>
      </c>
      <c r="Q197" s="146">
        <v>1.0200000000000001E-3</v>
      </c>
      <c r="R197" s="147">
        <v>0</v>
      </c>
      <c r="S197" s="147">
        <v>2.0500000000000002E-3</v>
      </c>
      <c r="T197" s="137">
        <v>400</v>
      </c>
      <c r="U197" s="141">
        <v>853.2</v>
      </c>
      <c r="V197" s="146">
        <v>1.1000000000000001E-3</v>
      </c>
      <c r="W197" s="137">
        <v>400</v>
      </c>
      <c r="X197" s="145" t="s">
        <v>217</v>
      </c>
      <c r="Y197" s="172">
        <v>0.24</v>
      </c>
      <c r="Z197" s="149">
        <v>1</v>
      </c>
      <c r="AA197" s="140">
        <v>2.1</v>
      </c>
      <c r="AB197" s="138">
        <v>25.7</v>
      </c>
      <c r="AC197" s="141">
        <v>12.2</v>
      </c>
      <c r="AD197" s="150">
        <v>0.26</v>
      </c>
      <c r="AE197" s="151">
        <v>0.38</v>
      </c>
      <c r="AF197" s="152">
        <v>0.36</v>
      </c>
      <c r="AG197" s="150">
        <v>0.18</v>
      </c>
      <c r="AH197" s="150">
        <v>0.06</v>
      </c>
      <c r="AI197" s="151">
        <v>0.59</v>
      </c>
      <c r="AJ197" s="152">
        <v>0.28000000000000003</v>
      </c>
      <c r="AK197" s="150">
        <v>0.4</v>
      </c>
      <c r="AL197" s="150">
        <v>0</v>
      </c>
      <c r="AM197" s="151">
        <v>0.67</v>
      </c>
      <c r="AN197" s="152">
        <v>0</v>
      </c>
      <c r="AO197" s="150">
        <v>0.28000000000000003</v>
      </c>
      <c r="AP197" s="150">
        <v>0.08</v>
      </c>
      <c r="AQ197" s="151">
        <v>0.36</v>
      </c>
      <c r="AR197" s="152">
        <v>0.49</v>
      </c>
      <c r="AS197" s="150">
        <v>0.21</v>
      </c>
      <c r="AT197" s="150">
        <v>0.06</v>
      </c>
      <c r="AU197" s="151">
        <v>0.61</v>
      </c>
      <c r="AV197" s="152">
        <v>0.19</v>
      </c>
      <c r="AW197" s="150">
        <v>0.44</v>
      </c>
      <c r="AX197" s="150">
        <v>0</v>
      </c>
      <c r="AY197" s="151">
        <v>0.63</v>
      </c>
      <c r="AZ197" s="152">
        <v>0.22</v>
      </c>
      <c r="BA197" s="150">
        <v>0.39</v>
      </c>
      <c r="BB197" s="150">
        <v>0.02</v>
      </c>
      <c r="BC197" s="151">
        <v>0.63</v>
      </c>
      <c r="BD197" s="153">
        <v>0.5</v>
      </c>
      <c r="BE197" s="152">
        <v>0.46</v>
      </c>
      <c r="BF197" s="150">
        <v>0</v>
      </c>
      <c r="BG197" s="150">
        <v>0.06</v>
      </c>
      <c r="BH197" s="151">
        <v>0.52</v>
      </c>
      <c r="BI197" s="152">
        <v>0.46</v>
      </c>
      <c r="BJ197" s="150">
        <v>0.26</v>
      </c>
      <c r="BK197" s="150">
        <v>7.0000000000000007E-2</v>
      </c>
      <c r="BL197" s="151">
        <v>0.8</v>
      </c>
      <c r="BM197" s="152">
        <v>0.64</v>
      </c>
      <c r="BN197" s="150">
        <v>0.56999999999999995</v>
      </c>
      <c r="BO197" s="150">
        <v>1.05</v>
      </c>
      <c r="BP197" s="150">
        <v>0.63</v>
      </c>
      <c r="BQ197" s="150">
        <v>0.61</v>
      </c>
      <c r="BR197" s="150">
        <v>0.61</v>
      </c>
      <c r="BS197" s="150">
        <v>0.77</v>
      </c>
      <c r="BT197" s="150">
        <v>0.74</v>
      </c>
      <c r="BU197" s="151">
        <v>0.48</v>
      </c>
      <c r="BV197" s="79">
        <v>2022084</v>
      </c>
      <c r="BW197" s="137">
        <v>390</v>
      </c>
      <c r="BX197" s="138">
        <v>1137.5999999999999</v>
      </c>
      <c r="BY197" s="247">
        <v>22</v>
      </c>
      <c r="BZ197" s="138">
        <v>14.5</v>
      </c>
      <c r="CA197" s="147">
        <v>2.0500000000000002E-3</v>
      </c>
      <c r="CB197" s="137">
        <v>400</v>
      </c>
      <c r="CC197" s="146">
        <v>1.1000000000000001E-3</v>
      </c>
      <c r="CD197" s="137">
        <v>400</v>
      </c>
      <c r="CE197" s="184">
        <f t="shared" si="11"/>
        <v>1.3343431064950051E-3</v>
      </c>
      <c r="CF197" s="185">
        <f t="shared" si="9"/>
        <v>0.38</v>
      </c>
    </row>
    <row r="198" spans="1:84" ht="24" hidden="1" x14ac:dyDescent="0.25">
      <c r="A198" s="83">
        <v>197</v>
      </c>
      <c r="B198" s="84" t="s">
        <v>416</v>
      </c>
      <c r="C198" s="85" t="s">
        <v>417</v>
      </c>
      <c r="D198" s="86">
        <v>1875</v>
      </c>
      <c r="E198" s="87">
        <v>1975</v>
      </c>
      <c r="F198" s="88">
        <f t="shared" si="10"/>
        <v>3703125</v>
      </c>
      <c r="G198" s="87">
        <v>140</v>
      </c>
      <c r="H198" s="87">
        <v>1580</v>
      </c>
      <c r="I198" s="89">
        <v>0.95</v>
      </c>
      <c r="J198" s="90">
        <v>28.3</v>
      </c>
      <c r="K198" s="91">
        <v>18.2</v>
      </c>
      <c r="L198" s="92">
        <v>24.8</v>
      </c>
      <c r="M198" s="93">
        <v>0.85</v>
      </c>
      <c r="N198" s="88">
        <v>10.9</v>
      </c>
      <c r="O198" s="94" t="s">
        <v>206</v>
      </c>
      <c r="P198" s="95" t="s">
        <v>207</v>
      </c>
      <c r="Q198" s="96">
        <v>2.3E-3</v>
      </c>
      <c r="R198" s="87">
        <v>0</v>
      </c>
      <c r="S198" s="97">
        <v>4.5900000000000003E-3</v>
      </c>
      <c r="T198" s="87">
        <v>465</v>
      </c>
      <c r="U198" s="98">
        <v>1975</v>
      </c>
      <c r="V198" s="86">
        <v>0</v>
      </c>
      <c r="W198" s="87">
        <v>599</v>
      </c>
      <c r="X198" s="95" t="s">
        <v>418</v>
      </c>
      <c r="Y198" s="99">
        <v>0</v>
      </c>
      <c r="Z198" s="99">
        <v>1</v>
      </c>
      <c r="AA198" s="90">
        <v>1.4</v>
      </c>
      <c r="AB198" s="88">
        <v>3.2</v>
      </c>
      <c r="AC198" s="91">
        <v>2.2000000000000002</v>
      </c>
      <c r="AD198" s="100">
        <v>0.28999999999999998</v>
      </c>
      <c r="AE198" s="101">
        <v>0.32</v>
      </c>
      <c r="AF198" s="102">
        <v>0.32</v>
      </c>
      <c r="AG198" s="100">
        <v>0</v>
      </c>
      <c r="AH198" s="100">
        <v>0</v>
      </c>
      <c r="AI198" s="101">
        <v>0.32</v>
      </c>
      <c r="AJ198" s="102">
        <v>0.22</v>
      </c>
      <c r="AK198" s="100">
        <v>0</v>
      </c>
      <c r="AL198" s="100">
        <v>0</v>
      </c>
      <c r="AM198" s="101">
        <v>0.22</v>
      </c>
      <c r="AN198" s="102">
        <v>0.45</v>
      </c>
      <c r="AO198" s="100">
        <v>0</v>
      </c>
      <c r="AP198" s="100">
        <v>0</v>
      </c>
      <c r="AQ198" s="101">
        <v>0.45</v>
      </c>
      <c r="AR198" s="102">
        <v>0.47</v>
      </c>
      <c r="AS198" s="100">
        <v>0</v>
      </c>
      <c r="AT198" s="100">
        <v>0</v>
      </c>
      <c r="AU198" s="101">
        <v>0.47</v>
      </c>
      <c r="AV198" s="102">
        <v>0.17</v>
      </c>
      <c r="AW198" s="100">
        <v>0</v>
      </c>
      <c r="AX198" s="100">
        <v>0</v>
      </c>
      <c r="AY198" s="101">
        <v>0.17</v>
      </c>
      <c r="AZ198" s="102">
        <v>0.25</v>
      </c>
      <c r="BA198" s="100">
        <v>0</v>
      </c>
      <c r="BB198" s="100">
        <v>0</v>
      </c>
      <c r="BC198" s="101">
        <v>0.25</v>
      </c>
      <c r="BD198" s="103">
        <v>0.2</v>
      </c>
      <c r="BE198" s="102">
        <v>0.47</v>
      </c>
      <c r="BF198" s="100">
        <v>0</v>
      </c>
      <c r="BG198" s="100">
        <v>0</v>
      </c>
      <c r="BH198" s="101">
        <v>0.47</v>
      </c>
      <c r="BI198" s="102">
        <v>0.45</v>
      </c>
      <c r="BJ198" s="100">
        <v>0</v>
      </c>
      <c r="BK198" s="100">
        <v>0</v>
      </c>
      <c r="BL198" s="101">
        <v>0.45</v>
      </c>
      <c r="BM198" s="102">
        <v>0.97</v>
      </c>
      <c r="BN198" s="100">
        <v>1.43</v>
      </c>
      <c r="BO198" s="100">
        <v>0.71</v>
      </c>
      <c r="BP198" s="100">
        <v>0.68</v>
      </c>
      <c r="BQ198" s="100">
        <v>1.82</v>
      </c>
      <c r="BR198" s="100">
        <v>1.28</v>
      </c>
      <c r="BS198" s="100">
        <v>1.58</v>
      </c>
      <c r="BT198" s="100">
        <v>0.67</v>
      </c>
      <c r="BU198" s="101">
        <v>0.7</v>
      </c>
      <c r="BV198" s="79">
        <v>3703125</v>
      </c>
      <c r="BW198" s="87">
        <v>140</v>
      </c>
      <c r="BX198" s="87">
        <v>1580</v>
      </c>
      <c r="BY198" s="92">
        <v>24.8</v>
      </c>
      <c r="BZ198" s="88">
        <v>10.9</v>
      </c>
      <c r="CA198" s="97">
        <v>4.5900000000000003E-3</v>
      </c>
      <c r="CB198" s="87">
        <v>465</v>
      </c>
      <c r="CC198" s="86">
        <v>0</v>
      </c>
      <c r="CD198" s="87">
        <v>599</v>
      </c>
      <c r="CE198" s="104">
        <f t="shared" si="11"/>
        <v>2.4231464737793852E-3</v>
      </c>
      <c r="CF198" s="105">
        <f t="shared" si="9"/>
        <v>0.32</v>
      </c>
    </row>
    <row r="199" spans="1:84" ht="24" hidden="1" x14ac:dyDescent="0.25">
      <c r="A199" s="106">
        <v>198</v>
      </c>
      <c r="B199" s="107"/>
      <c r="C199" s="108" t="s">
        <v>419</v>
      </c>
      <c r="D199" s="109">
        <v>1875</v>
      </c>
      <c r="E199" s="110">
        <v>1975</v>
      </c>
      <c r="F199" s="111">
        <f t="shared" si="10"/>
        <v>3703125</v>
      </c>
      <c r="G199" s="110">
        <v>140</v>
      </c>
      <c r="H199" s="110">
        <v>1580</v>
      </c>
      <c r="I199" s="112">
        <v>0.95</v>
      </c>
      <c r="J199" s="113">
        <v>28.3</v>
      </c>
      <c r="K199" s="114">
        <v>18.2</v>
      </c>
      <c r="L199" s="115">
        <v>24.8</v>
      </c>
      <c r="M199" s="116">
        <v>0.85</v>
      </c>
      <c r="N199" s="111">
        <v>10.9</v>
      </c>
      <c r="O199" s="117" t="s">
        <v>206</v>
      </c>
      <c r="P199" s="118" t="s">
        <v>207</v>
      </c>
      <c r="Q199" s="119">
        <v>2.3E-3</v>
      </c>
      <c r="R199" s="110">
        <v>0</v>
      </c>
      <c r="S199" s="120">
        <v>4.5900000000000003E-3</v>
      </c>
      <c r="T199" s="110">
        <v>465</v>
      </c>
      <c r="U199" s="121">
        <v>1975</v>
      </c>
      <c r="V199" s="109">
        <v>0</v>
      </c>
      <c r="W199" s="110">
        <v>599</v>
      </c>
      <c r="X199" s="118" t="s">
        <v>418</v>
      </c>
      <c r="Y199" s="122">
        <v>0</v>
      </c>
      <c r="Z199" s="122">
        <v>1</v>
      </c>
      <c r="AA199" s="113">
        <v>1.7</v>
      </c>
      <c r="AB199" s="111">
        <v>3.2</v>
      </c>
      <c r="AC199" s="114">
        <v>1.9</v>
      </c>
      <c r="AD199" s="123">
        <v>0.3</v>
      </c>
      <c r="AE199" s="124">
        <v>0.31</v>
      </c>
      <c r="AF199" s="125">
        <v>0.32</v>
      </c>
      <c r="AG199" s="123">
        <v>0</v>
      </c>
      <c r="AH199" s="123">
        <v>0</v>
      </c>
      <c r="AI199" s="124">
        <v>0.32</v>
      </c>
      <c r="AJ199" s="125">
        <v>0.22</v>
      </c>
      <c r="AK199" s="123">
        <v>0</v>
      </c>
      <c r="AL199" s="123">
        <v>0</v>
      </c>
      <c r="AM199" s="124">
        <v>0.22</v>
      </c>
      <c r="AN199" s="125">
        <v>0.51</v>
      </c>
      <c r="AO199" s="123">
        <v>0</v>
      </c>
      <c r="AP199" s="123">
        <v>0</v>
      </c>
      <c r="AQ199" s="124">
        <v>0.51</v>
      </c>
      <c r="AR199" s="125">
        <v>0.47</v>
      </c>
      <c r="AS199" s="123">
        <v>0</v>
      </c>
      <c r="AT199" s="123">
        <v>0</v>
      </c>
      <c r="AU199" s="124">
        <v>0.47</v>
      </c>
      <c r="AV199" s="125">
        <v>0.17</v>
      </c>
      <c r="AW199" s="123">
        <v>0</v>
      </c>
      <c r="AX199" s="123">
        <v>0</v>
      </c>
      <c r="AY199" s="124">
        <v>0.17</v>
      </c>
      <c r="AZ199" s="125">
        <v>0.25</v>
      </c>
      <c r="BA199" s="123">
        <v>0</v>
      </c>
      <c r="BB199" s="123">
        <v>0</v>
      </c>
      <c r="BC199" s="124">
        <v>0.25</v>
      </c>
      <c r="BD199" s="126">
        <v>0.2</v>
      </c>
      <c r="BE199" s="125">
        <v>0.47</v>
      </c>
      <c r="BF199" s="123">
        <v>0</v>
      </c>
      <c r="BG199" s="123">
        <v>0</v>
      </c>
      <c r="BH199" s="124">
        <v>0.47</v>
      </c>
      <c r="BI199" s="125">
        <v>0.45</v>
      </c>
      <c r="BJ199" s="123">
        <v>0</v>
      </c>
      <c r="BK199" s="123">
        <v>0</v>
      </c>
      <c r="BL199" s="124">
        <v>0.45</v>
      </c>
      <c r="BM199" s="125">
        <v>0.96</v>
      </c>
      <c r="BN199" s="123">
        <v>1.41</v>
      </c>
      <c r="BO199" s="123">
        <v>0.62</v>
      </c>
      <c r="BP199" s="123">
        <v>0.67</v>
      </c>
      <c r="BQ199" s="123">
        <v>1.8</v>
      </c>
      <c r="BR199" s="123">
        <v>1.27</v>
      </c>
      <c r="BS199" s="123">
        <v>1.56</v>
      </c>
      <c r="BT199" s="123">
        <v>0.66</v>
      </c>
      <c r="BU199" s="124">
        <v>0.69</v>
      </c>
      <c r="BV199" s="79">
        <v>3703125</v>
      </c>
      <c r="BW199" s="110">
        <v>140</v>
      </c>
      <c r="BX199" s="110">
        <v>1580</v>
      </c>
      <c r="BY199" s="115">
        <v>24.8</v>
      </c>
      <c r="BZ199" s="111">
        <v>10.9</v>
      </c>
      <c r="CA199" s="120">
        <v>4.5900000000000003E-3</v>
      </c>
      <c r="CB199" s="110">
        <v>465</v>
      </c>
      <c r="CC199" s="109">
        <v>0</v>
      </c>
      <c r="CD199" s="110">
        <v>599</v>
      </c>
      <c r="CE199" s="104">
        <f t="shared" si="11"/>
        <v>2.3869801084990959E-3</v>
      </c>
      <c r="CF199" s="105">
        <f t="shared" si="9"/>
        <v>0.31</v>
      </c>
    </row>
    <row r="200" spans="1:84" ht="24" hidden="1" x14ac:dyDescent="0.25">
      <c r="A200" s="106">
        <v>199</v>
      </c>
      <c r="B200" s="107"/>
      <c r="C200" s="108" t="s">
        <v>420</v>
      </c>
      <c r="D200" s="109">
        <v>1875</v>
      </c>
      <c r="E200" s="110">
        <v>1975</v>
      </c>
      <c r="F200" s="111">
        <f t="shared" si="10"/>
        <v>3703125</v>
      </c>
      <c r="G200" s="110">
        <v>140</v>
      </c>
      <c r="H200" s="110">
        <v>1580</v>
      </c>
      <c r="I200" s="112">
        <v>0.95</v>
      </c>
      <c r="J200" s="113">
        <v>28.3</v>
      </c>
      <c r="K200" s="114">
        <v>18.2</v>
      </c>
      <c r="L200" s="115">
        <v>24.8</v>
      </c>
      <c r="M200" s="116">
        <v>0.77</v>
      </c>
      <c r="N200" s="111">
        <v>10.4</v>
      </c>
      <c r="O200" s="117" t="s">
        <v>206</v>
      </c>
      <c r="P200" s="118" t="s">
        <v>207</v>
      </c>
      <c r="Q200" s="119">
        <v>2.3E-3</v>
      </c>
      <c r="R200" s="110">
        <v>0</v>
      </c>
      <c r="S200" s="120">
        <v>4.5900000000000003E-3</v>
      </c>
      <c r="T200" s="110">
        <v>465</v>
      </c>
      <c r="U200" s="121">
        <v>1975</v>
      </c>
      <c r="V200" s="109">
        <v>0</v>
      </c>
      <c r="W200" s="110">
        <v>599</v>
      </c>
      <c r="X200" s="118" t="s">
        <v>418</v>
      </c>
      <c r="Y200" s="165">
        <v>0.62</v>
      </c>
      <c r="Z200" s="122">
        <v>1</v>
      </c>
      <c r="AA200" s="113">
        <v>1.6</v>
      </c>
      <c r="AB200" s="111">
        <v>3.3</v>
      </c>
      <c r="AC200" s="114">
        <v>2</v>
      </c>
      <c r="AD200" s="123">
        <v>0.43</v>
      </c>
      <c r="AE200" s="124">
        <v>0.46</v>
      </c>
      <c r="AF200" s="125">
        <v>0.32</v>
      </c>
      <c r="AG200" s="123">
        <v>0</v>
      </c>
      <c r="AH200" s="123">
        <v>0.16</v>
      </c>
      <c r="AI200" s="124">
        <v>0.48</v>
      </c>
      <c r="AJ200" s="125">
        <v>0.4</v>
      </c>
      <c r="AK200" s="123">
        <v>0</v>
      </c>
      <c r="AL200" s="123">
        <v>0</v>
      </c>
      <c r="AM200" s="124">
        <v>0.4</v>
      </c>
      <c r="AN200" s="125">
        <v>0.47</v>
      </c>
      <c r="AO200" s="123">
        <v>0</v>
      </c>
      <c r="AP200" s="123">
        <v>0.2</v>
      </c>
      <c r="AQ200" s="124">
        <v>0.67</v>
      </c>
      <c r="AR200" s="125">
        <v>0.46</v>
      </c>
      <c r="AS200" s="123">
        <v>0</v>
      </c>
      <c r="AT200" s="123">
        <v>0.16</v>
      </c>
      <c r="AU200" s="124">
        <v>0.54</v>
      </c>
      <c r="AV200" s="125">
        <v>0.17</v>
      </c>
      <c r="AW200" s="123">
        <v>0</v>
      </c>
      <c r="AX200" s="123">
        <v>0</v>
      </c>
      <c r="AY200" s="124">
        <v>0.17</v>
      </c>
      <c r="AZ200" s="125">
        <v>0.24</v>
      </c>
      <c r="BA200" s="123">
        <v>0</v>
      </c>
      <c r="BB200" s="123">
        <v>0.05</v>
      </c>
      <c r="BC200" s="124">
        <v>0.28999999999999998</v>
      </c>
      <c r="BD200" s="126">
        <v>0.2</v>
      </c>
      <c r="BE200" s="125">
        <v>0.43</v>
      </c>
      <c r="BF200" s="123">
        <v>0</v>
      </c>
      <c r="BG200" s="123">
        <v>0.15</v>
      </c>
      <c r="BH200" s="124">
        <v>0.57999999999999996</v>
      </c>
      <c r="BI200" s="125">
        <v>0.41</v>
      </c>
      <c r="BJ200" s="123">
        <v>0</v>
      </c>
      <c r="BK200" s="123">
        <v>0.2</v>
      </c>
      <c r="BL200" s="124">
        <v>0.6</v>
      </c>
      <c r="BM200" s="125">
        <v>0.97</v>
      </c>
      <c r="BN200" s="123">
        <v>1.1499999999999999</v>
      </c>
      <c r="BO200" s="123">
        <v>0.69</v>
      </c>
      <c r="BP200" s="123">
        <v>0.85</v>
      </c>
      <c r="BQ200" s="123">
        <v>2.74</v>
      </c>
      <c r="BR200" s="123">
        <v>1.61</v>
      </c>
      <c r="BS200" s="123">
        <v>2.3199999999999998</v>
      </c>
      <c r="BT200" s="123">
        <v>0.8</v>
      </c>
      <c r="BU200" s="124">
        <v>0.77</v>
      </c>
      <c r="BV200" s="79">
        <v>3703125</v>
      </c>
      <c r="BW200" s="110">
        <v>140</v>
      </c>
      <c r="BX200" s="110">
        <v>1580</v>
      </c>
      <c r="BY200" s="115">
        <v>24.8</v>
      </c>
      <c r="BZ200" s="111">
        <v>10.4</v>
      </c>
      <c r="CA200" s="120">
        <v>4.5900000000000003E-3</v>
      </c>
      <c r="CB200" s="110">
        <v>465</v>
      </c>
      <c r="CC200" s="109">
        <v>0</v>
      </c>
      <c r="CD200" s="110">
        <v>599</v>
      </c>
      <c r="CE200" s="104">
        <f t="shared" si="11"/>
        <v>2.8933092224231469E-3</v>
      </c>
      <c r="CF200" s="105">
        <f t="shared" si="9"/>
        <v>0.46</v>
      </c>
    </row>
    <row r="201" spans="1:84" ht="24" hidden="1" x14ac:dyDescent="0.25">
      <c r="A201" s="106">
        <v>200</v>
      </c>
      <c r="B201" s="107"/>
      <c r="C201" s="108" t="s">
        <v>421</v>
      </c>
      <c r="D201" s="109">
        <v>1875</v>
      </c>
      <c r="E201" s="110">
        <v>1975</v>
      </c>
      <c r="F201" s="111">
        <f t="shared" si="10"/>
        <v>3703125</v>
      </c>
      <c r="G201" s="110">
        <v>140</v>
      </c>
      <c r="H201" s="110">
        <v>1580</v>
      </c>
      <c r="I201" s="112">
        <v>0.95</v>
      </c>
      <c r="J201" s="113">
        <v>28.3</v>
      </c>
      <c r="K201" s="114">
        <v>18.2</v>
      </c>
      <c r="L201" s="115">
        <v>24.8</v>
      </c>
      <c r="M201" s="116">
        <v>0.77</v>
      </c>
      <c r="N201" s="111">
        <v>10.4</v>
      </c>
      <c r="O201" s="117" t="s">
        <v>206</v>
      </c>
      <c r="P201" s="118" t="s">
        <v>207</v>
      </c>
      <c r="Q201" s="119">
        <v>2.3E-3</v>
      </c>
      <c r="R201" s="110">
        <v>0</v>
      </c>
      <c r="S201" s="120">
        <v>4.5900000000000003E-3</v>
      </c>
      <c r="T201" s="110">
        <v>465</v>
      </c>
      <c r="U201" s="121">
        <v>1975</v>
      </c>
      <c r="V201" s="109">
        <v>0</v>
      </c>
      <c r="W201" s="110">
        <v>599</v>
      </c>
      <c r="X201" s="118" t="s">
        <v>418</v>
      </c>
      <c r="Y201" s="165">
        <v>0.63</v>
      </c>
      <c r="Z201" s="122">
        <v>1</v>
      </c>
      <c r="AA201" s="113">
        <v>1.6</v>
      </c>
      <c r="AB201" s="111">
        <v>4.8</v>
      </c>
      <c r="AC201" s="114">
        <v>3.1</v>
      </c>
      <c r="AD201" s="123">
        <v>0.37</v>
      </c>
      <c r="AE201" s="124">
        <v>0.42</v>
      </c>
      <c r="AF201" s="125">
        <v>0.32</v>
      </c>
      <c r="AG201" s="123">
        <v>0</v>
      </c>
      <c r="AH201" s="123">
        <v>0.17</v>
      </c>
      <c r="AI201" s="124">
        <v>0.48</v>
      </c>
      <c r="AJ201" s="125">
        <v>0.41</v>
      </c>
      <c r="AK201" s="123">
        <v>0</v>
      </c>
      <c r="AL201" s="123">
        <v>0</v>
      </c>
      <c r="AM201" s="124">
        <v>0.41</v>
      </c>
      <c r="AN201" s="125">
        <v>0.22</v>
      </c>
      <c r="AO201" s="123">
        <v>0</v>
      </c>
      <c r="AP201" s="123">
        <v>0.2</v>
      </c>
      <c r="AQ201" s="124">
        <v>0.42</v>
      </c>
      <c r="AR201" s="125">
        <v>0.46</v>
      </c>
      <c r="AS201" s="123">
        <v>0</v>
      </c>
      <c r="AT201" s="123">
        <v>0.17</v>
      </c>
      <c r="AU201" s="124">
        <v>0.54</v>
      </c>
      <c r="AV201" s="125">
        <v>0.17</v>
      </c>
      <c r="AW201" s="123">
        <v>0</v>
      </c>
      <c r="AX201" s="123">
        <v>0</v>
      </c>
      <c r="AY201" s="124">
        <v>0.17</v>
      </c>
      <c r="AZ201" s="125">
        <v>0.24</v>
      </c>
      <c r="BA201" s="123">
        <v>0</v>
      </c>
      <c r="BB201" s="123">
        <v>0.05</v>
      </c>
      <c r="BC201" s="124">
        <v>0.28999999999999998</v>
      </c>
      <c r="BD201" s="126">
        <v>0.2</v>
      </c>
      <c r="BE201" s="125">
        <v>0.43</v>
      </c>
      <c r="BF201" s="123">
        <v>0</v>
      </c>
      <c r="BG201" s="123">
        <v>0.15</v>
      </c>
      <c r="BH201" s="124">
        <v>0.57999999999999996</v>
      </c>
      <c r="BI201" s="125">
        <v>0.41</v>
      </c>
      <c r="BJ201" s="123">
        <v>0</v>
      </c>
      <c r="BK201" s="123">
        <v>0.2</v>
      </c>
      <c r="BL201" s="124">
        <v>0.61</v>
      </c>
      <c r="BM201" s="125">
        <v>0.88</v>
      </c>
      <c r="BN201" s="123">
        <v>1.04</v>
      </c>
      <c r="BO201" s="123">
        <v>1.01</v>
      </c>
      <c r="BP201" s="123">
        <v>0.78</v>
      </c>
      <c r="BQ201" s="123">
        <v>2.5</v>
      </c>
      <c r="BR201" s="123">
        <v>1.47</v>
      </c>
      <c r="BS201" s="123">
        <v>2.12</v>
      </c>
      <c r="BT201" s="123">
        <v>0.73</v>
      </c>
      <c r="BU201" s="124">
        <v>0.7</v>
      </c>
      <c r="BV201" s="79">
        <v>3703125</v>
      </c>
      <c r="BW201" s="110">
        <v>140</v>
      </c>
      <c r="BX201" s="110">
        <v>1580</v>
      </c>
      <c r="BY201" s="115">
        <v>24.8</v>
      </c>
      <c r="BZ201" s="111">
        <v>10.4</v>
      </c>
      <c r="CA201" s="120">
        <v>4.5900000000000003E-3</v>
      </c>
      <c r="CB201" s="110">
        <v>465</v>
      </c>
      <c r="CC201" s="109">
        <v>0</v>
      </c>
      <c r="CD201" s="110">
        <v>599</v>
      </c>
      <c r="CE201" s="104">
        <f t="shared" si="11"/>
        <v>2.6401446654611212E-3</v>
      </c>
      <c r="CF201" s="105">
        <f t="shared" si="9"/>
        <v>0.42</v>
      </c>
    </row>
    <row r="202" spans="1:84" ht="24" hidden="1" x14ac:dyDescent="0.25">
      <c r="A202" s="106">
        <v>201</v>
      </c>
      <c r="B202" s="107"/>
      <c r="C202" s="108" t="s">
        <v>422</v>
      </c>
      <c r="D202" s="109">
        <v>1875</v>
      </c>
      <c r="E202" s="110">
        <v>1975</v>
      </c>
      <c r="F202" s="111">
        <f t="shared" si="10"/>
        <v>3703125</v>
      </c>
      <c r="G202" s="110">
        <v>140</v>
      </c>
      <c r="H202" s="110">
        <v>1580</v>
      </c>
      <c r="I202" s="112">
        <v>0.95</v>
      </c>
      <c r="J202" s="113">
        <v>28.3</v>
      </c>
      <c r="K202" s="114">
        <v>17.2</v>
      </c>
      <c r="L202" s="115">
        <v>25.7</v>
      </c>
      <c r="M202" s="116">
        <v>0.7</v>
      </c>
      <c r="N202" s="111">
        <v>10.8</v>
      </c>
      <c r="O202" s="117" t="s">
        <v>206</v>
      </c>
      <c r="P202" s="118" t="s">
        <v>207</v>
      </c>
      <c r="Q202" s="119">
        <v>2.3E-3</v>
      </c>
      <c r="R202" s="110">
        <v>0</v>
      </c>
      <c r="S202" s="120">
        <v>4.5900000000000003E-3</v>
      </c>
      <c r="T202" s="110">
        <v>465</v>
      </c>
      <c r="U202" s="121">
        <v>1975</v>
      </c>
      <c r="V202" s="109">
        <v>0</v>
      </c>
      <c r="W202" s="110">
        <v>599</v>
      </c>
      <c r="X202" s="118" t="s">
        <v>418</v>
      </c>
      <c r="Y202" s="122">
        <v>0</v>
      </c>
      <c r="Z202" s="122">
        <v>1</v>
      </c>
      <c r="AA202" s="113">
        <v>1.6</v>
      </c>
      <c r="AB202" s="111">
        <v>5.7</v>
      </c>
      <c r="AC202" s="114">
        <v>3.7</v>
      </c>
      <c r="AD202" s="123">
        <v>0.26</v>
      </c>
      <c r="AE202" s="124">
        <v>0.36</v>
      </c>
      <c r="AF202" s="125">
        <v>0.32</v>
      </c>
      <c r="AG202" s="123">
        <v>0</v>
      </c>
      <c r="AH202" s="123">
        <v>0</v>
      </c>
      <c r="AI202" s="124">
        <v>0.32</v>
      </c>
      <c r="AJ202" s="125">
        <v>0.22</v>
      </c>
      <c r="AK202" s="123">
        <v>0.06</v>
      </c>
      <c r="AL202" s="123">
        <v>0</v>
      </c>
      <c r="AM202" s="124">
        <v>0.28000000000000003</v>
      </c>
      <c r="AN202" s="125">
        <v>0.08</v>
      </c>
      <c r="AO202" s="123">
        <v>0</v>
      </c>
      <c r="AP202" s="123">
        <v>0</v>
      </c>
      <c r="AQ202" s="124">
        <v>0.08</v>
      </c>
      <c r="AR202" s="125">
        <v>0.47</v>
      </c>
      <c r="AS202" s="123">
        <v>0</v>
      </c>
      <c r="AT202" s="123">
        <v>0</v>
      </c>
      <c r="AU202" s="124">
        <v>0.47</v>
      </c>
      <c r="AV202" s="125">
        <v>0.17</v>
      </c>
      <c r="AW202" s="123">
        <v>0</v>
      </c>
      <c r="AX202" s="123">
        <v>0</v>
      </c>
      <c r="AY202" s="124">
        <v>0.17</v>
      </c>
      <c r="AZ202" s="125">
        <v>0.25</v>
      </c>
      <c r="BA202" s="123">
        <v>0</v>
      </c>
      <c r="BB202" s="123">
        <v>0</v>
      </c>
      <c r="BC202" s="124">
        <v>0.25</v>
      </c>
      <c r="BD202" s="126">
        <v>0.2</v>
      </c>
      <c r="BE202" s="125">
        <v>0.39</v>
      </c>
      <c r="BF202" s="123">
        <v>0</v>
      </c>
      <c r="BG202" s="123">
        <v>0</v>
      </c>
      <c r="BH202" s="124">
        <v>0.39</v>
      </c>
      <c r="BI202" s="125">
        <v>0.37</v>
      </c>
      <c r="BJ202" s="123">
        <v>0</v>
      </c>
      <c r="BK202" s="123">
        <v>0</v>
      </c>
      <c r="BL202" s="124">
        <v>0.37</v>
      </c>
      <c r="BM202" s="125">
        <v>1.1000000000000001</v>
      </c>
      <c r="BN202" s="123">
        <v>1.27</v>
      </c>
      <c r="BO202" s="123">
        <v>4.72</v>
      </c>
      <c r="BP202" s="123">
        <v>0.77</v>
      </c>
      <c r="BQ202" s="123">
        <v>2.0699999999999998</v>
      </c>
      <c r="BR202" s="123">
        <v>1.46</v>
      </c>
      <c r="BS202" s="123">
        <v>1.78</v>
      </c>
      <c r="BT202" s="123">
        <v>0.92</v>
      </c>
      <c r="BU202" s="124">
        <v>0.97</v>
      </c>
      <c r="BV202" s="79">
        <v>3703125</v>
      </c>
      <c r="BW202" s="110">
        <v>140</v>
      </c>
      <c r="BX202" s="110">
        <v>1580</v>
      </c>
      <c r="BY202" s="115">
        <v>25.7</v>
      </c>
      <c r="BZ202" s="111">
        <v>10.8</v>
      </c>
      <c r="CA202" s="120">
        <v>4.5900000000000003E-3</v>
      </c>
      <c r="CB202" s="110">
        <v>465</v>
      </c>
      <c r="CC202" s="109">
        <v>0</v>
      </c>
      <c r="CD202" s="110">
        <v>599</v>
      </c>
      <c r="CE202" s="104">
        <f t="shared" si="11"/>
        <v>3.3273056057866184E-3</v>
      </c>
      <c r="CF202" s="105">
        <f t="shared" si="9"/>
        <v>0.36</v>
      </c>
    </row>
    <row r="203" spans="1:84" ht="24" hidden="1" x14ac:dyDescent="0.25">
      <c r="A203" s="127">
        <v>202</v>
      </c>
      <c r="B203" s="107"/>
      <c r="C203" s="108" t="s">
        <v>423</v>
      </c>
      <c r="D203" s="109">
        <v>1875</v>
      </c>
      <c r="E203" s="110">
        <v>1975</v>
      </c>
      <c r="F203" s="111">
        <f t="shared" si="10"/>
        <v>3703125</v>
      </c>
      <c r="G203" s="110">
        <v>140</v>
      </c>
      <c r="H203" s="110">
        <v>1580</v>
      </c>
      <c r="I203" s="112">
        <v>0.95</v>
      </c>
      <c r="J203" s="113">
        <v>28.3</v>
      </c>
      <c r="K203" s="114">
        <v>17.2</v>
      </c>
      <c r="L203" s="115">
        <v>25.7</v>
      </c>
      <c r="M203" s="116">
        <v>0.7</v>
      </c>
      <c r="N203" s="111">
        <v>10.8</v>
      </c>
      <c r="O203" s="117" t="s">
        <v>206</v>
      </c>
      <c r="P203" s="118" t="s">
        <v>207</v>
      </c>
      <c r="Q203" s="119">
        <v>2.3E-3</v>
      </c>
      <c r="R203" s="110">
        <v>0</v>
      </c>
      <c r="S203" s="120">
        <v>4.5900000000000003E-3</v>
      </c>
      <c r="T203" s="110">
        <v>465</v>
      </c>
      <c r="U203" s="121">
        <v>1975</v>
      </c>
      <c r="V203" s="109">
        <v>0</v>
      </c>
      <c r="W203" s="110">
        <v>599</v>
      </c>
      <c r="X203" s="121">
        <v>625</v>
      </c>
      <c r="Y203" s="122">
        <v>0</v>
      </c>
      <c r="Z203" s="122">
        <v>1</v>
      </c>
      <c r="AA203" s="113">
        <v>1.9</v>
      </c>
      <c r="AB203" s="111">
        <v>7</v>
      </c>
      <c r="AC203" s="114">
        <v>3.6</v>
      </c>
      <c r="AD203" s="123">
        <v>0.28999999999999998</v>
      </c>
      <c r="AE203" s="124">
        <v>0.42</v>
      </c>
      <c r="AF203" s="125">
        <v>0.32</v>
      </c>
      <c r="AG203" s="123">
        <v>0</v>
      </c>
      <c r="AH203" s="123">
        <v>0</v>
      </c>
      <c r="AI203" s="124">
        <v>0.32</v>
      </c>
      <c r="AJ203" s="125">
        <v>0.22</v>
      </c>
      <c r="AK203" s="123">
        <v>0.12</v>
      </c>
      <c r="AL203" s="123">
        <v>0</v>
      </c>
      <c r="AM203" s="124">
        <v>0.34</v>
      </c>
      <c r="AN203" s="125">
        <v>0.09</v>
      </c>
      <c r="AO203" s="123">
        <v>0</v>
      </c>
      <c r="AP203" s="123">
        <v>0</v>
      </c>
      <c r="AQ203" s="124">
        <v>0.09</v>
      </c>
      <c r="AR203" s="125">
        <v>0.47</v>
      </c>
      <c r="AS203" s="123">
        <v>0</v>
      </c>
      <c r="AT203" s="123">
        <v>0</v>
      </c>
      <c r="AU203" s="124">
        <v>0.47</v>
      </c>
      <c r="AV203" s="125">
        <v>0.17</v>
      </c>
      <c r="AW203" s="123">
        <v>0</v>
      </c>
      <c r="AX203" s="123">
        <v>0</v>
      </c>
      <c r="AY203" s="124">
        <v>0.17</v>
      </c>
      <c r="AZ203" s="125">
        <v>0.25</v>
      </c>
      <c r="BA203" s="123">
        <v>0</v>
      </c>
      <c r="BB203" s="123">
        <v>0</v>
      </c>
      <c r="BC203" s="124">
        <v>0.25</v>
      </c>
      <c r="BD203" s="126">
        <v>0.2</v>
      </c>
      <c r="BE203" s="125">
        <v>0.39</v>
      </c>
      <c r="BF203" s="123">
        <v>0</v>
      </c>
      <c r="BG203" s="123">
        <v>0</v>
      </c>
      <c r="BH203" s="124">
        <v>0.39</v>
      </c>
      <c r="BI203" s="125">
        <v>0.37</v>
      </c>
      <c r="BJ203" s="123">
        <v>0</v>
      </c>
      <c r="BK203" s="123">
        <v>0</v>
      </c>
      <c r="BL203" s="124">
        <v>0.37</v>
      </c>
      <c r="BM203" s="125">
        <v>1.3</v>
      </c>
      <c r="BN203" s="123">
        <v>1.24</v>
      </c>
      <c r="BO203" s="123">
        <v>4.88</v>
      </c>
      <c r="BP203" s="123">
        <v>0.91</v>
      </c>
      <c r="BQ203" s="123">
        <v>2.4500000000000002</v>
      </c>
      <c r="BR203" s="123">
        <v>1.72</v>
      </c>
      <c r="BS203" s="123">
        <v>2.11</v>
      </c>
      <c r="BT203" s="123">
        <v>1.0900000000000001</v>
      </c>
      <c r="BU203" s="124">
        <v>1.1499999999999999</v>
      </c>
      <c r="BV203" s="79">
        <v>3703125</v>
      </c>
      <c r="BW203" s="110">
        <v>140</v>
      </c>
      <c r="BX203" s="110">
        <v>1580</v>
      </c>
      <c r="BY203" s="115">
        <v>25.7</v>
      </c>
      <c r="BZ203" s="111">
        <v>10.8</v>
      </c>
      <c r="CA203" s="120">
        <v>4.5900000000000003E-3</v>
      </c>
      <c r="CB203" s="110">
        <v>465</v>
      </c>
      <c r="CC203" s="109">
        <v>0</v>
      </c>
      <c r="CD203" s="110">
        <v>599</v>
      </c>
      <c r="CE203" s="104">
        <f t="shared" si="11"/>
        <v>3.9421338155515373E-3</v>
      </c>
      <c r="CF203" s="105">
        <f t="shared" si="9"/>
        <v>0.42</v>
      </c>
    </row>
    <row r="204" spans="1:84" ht="24" hidden="1" x14ac:dyDescent="0.25">
      <c r="A204" s="131">
        <v>203</v>
      </c>
      <c r="B204" s="107"/>
      <c r="C204" s="108" t="s">
        <v>424</v>
      </c>
      <c r="D204" s="109">
        <v>1875</v>
      </c>
      <c r="E204" s="110">
        <v>1975</v>
      </c>
      <c r="F204" s="111">
        <f t="shared" si="10"/>
        <v>3703125</v>
      </c>
      <c r="G204" s="110">
        <v>140</v>
      </c>
      <c r="H204" s="110">
        <v>1580</v>
      </c>
      <c r="I204" s="112">
        <v>0.95</v>
      </c>
      <c r="J204" s="113">
        <v>28.3</v>
      </c>
      <c r="K204" s="114">
        <v>17.2</v>
      </c>
      <c r="L204" s="115">
        <v>25.7</v>
      </c>
      <c r="M204" s="116">
        <v>0.57999999999999996</v>
      </c>
      <c r="N204" s="111">
        <v>11.2</v>
      </c>
      <c r="O204" s="117" t="s">
        <v>206</v>
      </c>
      <c r="P204" s="118" t="s">
        <v>207</v>
      </c>
      <c r="Q204" s="119">
        <v>2.3E-3</v>
      </c>
      <c r="R204" s="110">
        <v>0</v>
      </c>
      <c r="S204" s="120">
        <v>4.5900000000000003E-3</v>
      </c>
      <c r="T204" s="110">
        <v>465</v>
      </c>
      <c r="U204" s="121">
        <v>1975</v>
      </c>
      <c r="V204" s="109">
        <v>0</v>
      </c>
      <c r="W204" s="110">
        <v>599</v>
      </c>
      <c r="X204" s="121">
        <v>625</v>
      </c>
      <c r="Y204" s="122">
        <v>0</v>
      </c>
      <c r="Z204" s="122">
        <v>1</v>
      </c>
      <c r="AA204" s="113">
        <v>1.6</v>
      </c>
      <c r="AB204" s="111">
        <v>6.9</v>
      </c>
      <c r="AC204" s="114">
        <v>4.2</v>
      </c>
      <c r="AD204" s="123">
        <v>0.32</v>
      </c>
      <c r="AE204" s="124">
        <v>0.44</v>
      </c>
      <c r="AF204" s="125">
        <v>0.33</v>
      </c>
      <c r="AG204" s="123">
        <v>0</v>
      </c>
      <c r="AH204" s="123">
        <v>0</v>
      </c>
      <c r="AI204" s="124">
        <v>0.33</v>
      </c>
      <c r="AJ204" s="125">
        <v>0.22</v>
      </c>
      <c r="AK204" s="123">
        <v>0.12</v>
      </c>
      <c r="AL204" s="123">
        <v>0</v>
      </c>
      <c r="AM204" s="124">
        <v>0.34</v>
      </c>
      <c r="AN204" s="125">
        <v>0</v>
      </c>
      <c r="AO204" s="123">
        <v>0</v>
      </c>
      <c r="AP204" s="123">
        <v>0</v>
      </c>
      <c r="AQ204" s="124">
        <v>0</v>
      </c>
      <c r="AR204" s="125">
        <v>0.47</v>
      </c>
      <c r="AS204" s="123">
        <v>0</v>
      </c>
      <c r="AT204" s="123">
        <v>0</v>
      </c>
      <c r="AU204" s="124">
        <v>0.47</v>
      </c>
      <c r="AV204" s="125">
        <v>0.18</v>
      </c>
      <c r="AW204" s="123">
        <v>0</v>
      </c>
      <c r="AX204" s="123">
        <v>0</v>
      </c>
      <c r="AY204" s="124">
        <v>0.18</v>
      </c>
      <c r="AZ204" s="125">
        <v>0.25</v>
      </c>
      <c r="BA204" s="123">
        <v>0</v>
      </c>
      <c r="BB204" s="123">
        <v>0</v>
      </c>
      <c r="BC204" s="124">
        <v>0.25</v>
      </c>
      <c r="BD204" s="126">
        <v>0.2</v>
      </c>
      <c r="BE204" s="125">
        <v>0.32</v>
      </c>
      <c r="BF204" s="123">
        <v>0</v>
      </c>
      <c r="BG204" s="123">
        <v>0</v>
      </c>
      <c r="BH204" s="124">
        <v>0.32</v>
      </c>
      <c r="BI204" s="125">
        <v>0.3</v>
      </c>
      <c r="BJ204" s="123">
        <v>0</v>
      </c>
      <c r="BK204" s="123">
        <v>0</v>
      </c>
      <c r="BL204" s="124">
        <v>0.3</v>
      </c>
      <c r="BM204" s="125">
        <v>1.32</v>
      </c>
      <c r="BN204" s="123">
        <v>1.28</v>
      </c>
      <c r="BO204" s="129"/>
      <c r="BP204" s="123">
        <v>0.92</v>
      </c>
      <c r="BQ204" s="123">
        <v>2.48</v>
      </c>
      <c r="BR204" s="123">
        <v>1.75</v>
      </c>
      <c r="BS204" s="123">
        <v>2.1800000000000002</v>
      </c>
      <c r="BT204" s="123">
        <v>1.36</v>
      </c>
      <c r="BU204" s="124">
        <v>1.43</v>
      </c>
      <c r="BV204" s="79">
        <v>3703125</v>
      </c>
      <c r="BW204" s="110">
        <v>140</v>
      </c>
      <c r="BX204" s="110">
        <v>1580</v>
      </c>
      <c r="BY204" s="115">
        <v>25.7</v>
      </c>
      <c r="BZ204" s="111">
        <v>11.2</v>
      </c>
      <c r="CA204" s="120">
        <v>4.5900000000000003E-3</v>
      </c>
      <c r="CB204" s="110">
        <v>465</v>
      </c>
      <c r="CC204" s="109">
        <v>0</v>
      </c>
      <c r="CD204" s="110">
        <v>599</v>
      </c>
      <c r="CE204" s="104">
        <f t="shared" si="11"/>
        <v>4.9186256781193491E-3</v>
      </c>
      <c r="CF204" s="105">
        <f t="shared" si="9"/>
        <v>0.44</v>
      </c>
    </row>
    <row r="205" spans="1:84" ht="24" hidden="1" x14ac:dyDescent="0.25">
      <c r="A205" s="106">
        <v>204</v>
      </c>
      <c r="B205" s="107"/>
      <c r="C205" s="108" t="s">
        <v>425</v>
      </c>
      <c r="D205" s="109">
        <v>1875</v>
      </c>
      <c r="E205" s="110">
        <v>1975</v>
      </c>
      <c r="F205" s="111">
        <f t="shared" si="10"/>
        <v>3703125</v>
      </c>
      <c r="G205" s="110">
        <v>140</v>
      </c>
      <c r="H205" s="110">
        <v>1580</v>
      </c>
      <c r="I205" s="112">
        <v>0.95</v>
      </c>
      <c r="J205" s="113">
        <v>28.3</v>
      </c>
      <c r="K205" s="114">
        <v>16.5</v>
      </c>
      <c r="L205" s="115">
        <v>15.7</v>
      </c>
      <c r="M205" s="116">
        <v>0.57999999999999996</v>
      </c>
      <c r="N205" s="111">
        <v>11.6</v>
      </c>
      <c r="O205" s="117" t="s">
        <v>206</v>
      </c>
      <c r="P205" s="118" t="s">
        <v>207</v>
      </c>
      <c r="Q205" s="119">
        <v>2.3E-3</v>
      </c>
      <c r="R205" s="110">
        <v>0</v>
      </c>
      <c r="S205" s="120">
        <v>4.5900000000000003E-3</v>
      </c>
      <c r="T205" s="110">
        <v>465</v>
      </c>
      <c r="U205" s="121">
        <v>1975</v>
      </c>
      <c r="V205" s="248">
        <v>4.0000000000000002E-4</v>
      </c>
      <c r="W205" s="110">
        <v>599</v>
      </c>
      <c r="X205" s="121">
        <v>469</v>
      </c>
      <c r="Y205" s="122">
        <v>0</v>
      </c>
      <c r="Z205" s="122">
        <v>1</v>
      </c>
      <c r="AA205" s="113">
        <v>2</v>
      </c>
      <c r="AB205" s="111">
        <v>8.3000000000000007</v>
      </c>
      <c r="AC205" s="114">
        <v>4.0999999999999996</v>
      </c>
      <c r="AD205" s="123">
        <v>0.35</v>
      </c>
      <c r="AE205" s="124">
        <v>0.53</v>
      </c>
      <c r="AF205" s="125">
        <v>0.34</v>
      </c>
      <c r="AG205" s="123">
        <v>0.11</v>
      </c>
      <c r="AH205" s="123">
        <v>0</v>
      </c>
      <c r="AI205" s="124">
        <v>0.44</v>
      </c>
      <c r="AJ205" s="125">
        <v>0.22</v>
      </c>
      <c r="AK205" s="123">
        <v>0.18</v>
      </c>
      <c r="AL205" s="123">
        <v>0</v>
      </c>
      <c r="AM205" s="124">
        <v>0.4</v>
      </c>
      <c r="AN205" s="125">
        <v>0</v>
      </c>
      <c r="AO205" s="123">
        <v>0.17</v>
      </c>
      <c r="AP205" s="123">
        <v>0</v>
      </c>
      <c r="AQ205" s="124">
        <v>0.17</v>
      </c>
      <c r="AR205" s="125">
        <v>0.48</v>
      </c>
      <c r="AS205" s="123">
        <v>0.13</v>
      </c>
      <c r="AT205" s="123">
        <v>0</v>
      </c>
      <c r="AU205" s="124">
        <v>0.57999999999999996</v>
      </c>
      <c r="AV205" s="125">
        <v>0.18</v>
      </c>
      <c r="AW205" s="123">
        <v>0.27</v>
      </c>
      <c r="AX205" s="123">
        <v>0</v>
      </c>
      <c r="AY205" s="124">
        <v>0.45</v>
      </c>
      <c r="AZ205" s="125">
        <v>0.25</v>
      </c>
      <c r="BA205" s="123">
        <v>0.31</v>
      </c>
      <c r="BB205" s="123">
        <v>0</v>
      </c>
      <c r="BC205" s="124">
        <v>0.56999999999999995</v>
      </c>
      <c r="BD205" s="126">
        <v>0.47</v>
      </c>
      <c r="BE205" s="125">
        <v>0.32</v>
      </c>
      <c r="BF205" s="123">
        <v>0</v>
      </c>
      <c r="BG205" s="123">
        <v>0</v>
      </c>
      <c r="BH205" s="124">
        <v>0.32</v>
      </c>
      <c r="BI205" s="125">
        <v>0.3</v>
      </c>
      <c r="BJ205" s="123">
        <v>0.16</v>
      </c>
      <c r="BK205" s="123">
        <v>0</v>
      </c>
      <c r="BL205" s="124">
        <v>0.46</v>
      </c>
      <c r="BM205" s="125">
        <v>1.19</v>
      </c>
      <c r="BN205" s="123">
        <v>1.32</v>
      </c>
      <c r="BO205" s="123">
        <v>3.1</v>
      </c>
      <c r="BP205" s="123">
        <v>0.92</v>
      </c>
      <c r="BQ205" s="123">
        <v>1.19</v>
      </c>
      <c r="BR205" s="123">
        <v>0.93</v>
      </c>
      <c r="BS205" s="123">
        <v>1.1299999999999999</v>
      </c>
      <c r="BT205" s="123">
        <v>1.65</v>
      </c>
      <c r="BU205" s="124">
        <v>1.1399999999999999</v>
      </c>
      <c r="BV205" s="79">
        <v>3703125</v>
      </c>
      <c r="BW205" s="110">
        <v>140</v>
      </c>
      <c r="BX205" s="110">
        <v>1580</v>
      </c>
      <c r="BY205" s="115">
        <v>15.7</v>
      </c>
      <c r="BZ205" s="111">
        <v>11.6</v>
      </c>
      <c r="CA205" s="120">
        <v>4.5900000000000003E-3</v>
      </c>
      <c r="CB205" s="110">
        <v>465</v>
      </c>
      <c r="CC205" s="248">
        <v>4.0000000000000002E-4</v>
      </c>
      <c r="CD205" s="110">
        <v>599</v>
      </c>
      <c r="CE205" s="104">
        <f t="shared" si="11"/>
        <v>5.9674502712477387E-3</v>
      </c>
      <c r="CF205" s="105">
        <f t="shared" si="9"/>
        <v>0.53</v>
      </c>
    </row>
    <row r="206" spans="1:84" ht="24" hidden="1" x14ac:dyDescent="0.25">
      <c r="A206" s="106">
        <v>205</v>
      </c>
      <c r="B206" s="107"/>
      <c r="C206" s="108" t="s">
        <v>426</v>
      </c>
      <c r="D206" s="109">
        <v>1875</v>
      </c>
      <c r="E206" s="110">
        <v>1975</v>
      </c>
      <c r="F206" s="111">
        <f t="shared" si="10"/>
        <v>3703125</v>
      </c>
      <c r="G206" s="110">
        <v>140</v>
      </c>
      <c r="H206" s="110">
        <v>1580</v>
      </c>
      <c r="I206" s="112">
        <v>0.95</v>
      </c>
      <c r="J206" s="113">
        <v>28.3</v>
      </c>
      <c r="K206" s="114">
        <v>17.2</v>
      </c>
      <c r="L206" s="115">
        <v>25.7</v>
      </c>
      <c r="M206" s="116">
        <v>0.57999999999999996</v>
      </c>
      <c r="N206" s="111">
        <v>11.2</v>
      </c>
      <c r="O206" s="117" t="s">
        <v>206</v>
      </c>
      <c r="P206" s="118" t="s">
        <v>207</v>
      </c>
      <c r="Q206" s="119">
        <v>2.3E-3</v>
      </c>
      <c r="R206" s="110">
        <v>0</v>
      </c>
      <c r="S206" s="120">
        <v>4.5900000000000003E-3</v>
      </c>
      <c r="T206" s="110">
        <v>465</v>
      </c>
      <c r="U206" s="121">
        <v>1975</v>
      </c>
      <c r="V206" s="248">
        <v>2.9999999999999997E-4</v>
      </c>
      <c r="W206" s="110">
        <v>599</v>
      </c>
      <c r="X206" s="121">
        <v>625</v>
      </c>
      <c r="Y206" s="165">
        <v>0.62</v>
      </c>
      <c r="Z206" s="122">
        <v>1</v>
      </c>
      <c r="AA206" s="113">
        <v>1.6</v>
      </c>
      <c r="AB206" s="111">
        <v>7</v>
      </c>
      <c r="AC206" s="114">
        <v>4.3</v>
      </c>
      <c r="AD206" s="123">
        <v>0.43</v>
      </c>
      <c r="AE206" s="124">
        <v>0.54</v>
      </c>
      <c r="AF206" s="125">
        <v>0.33</v>
      </c>
      <c r="AG206" s="123">
        <v>0.08</v>
      </c>
      <c r="AH206" s="123">
        <v>0.16</v>
      </c>
      <c r="AI206" s="124">
        <v>0.56999999999999995</v>
      </c>
      <c r="AJ206" s="125">
        <v>0.41</v>
      </c>
      <c r="AK206" s="123">
        <v>0.12</v>
      </c>
      <c r="AL206" s="123">
        <v>0</v>
      </c>
      <c r="AM206" s="124">
        <v>0.53</v>
      </c>
      <c r="AN206" s="125">
        <v>0</v>
      </c>
      <c r="AO206" s="123">
        <v>0.13</v>
      </c>
      <c r="AP206" s="123">
        <v>0.2</v>
      </c>
      <c r="AQ206" s="124">
        <v>0.33</v>
      </c>
      <c r="AR206" s="125">
        <v>0.47</v>
      </c>
      <c r="AS206" s="123">
        <v>0.1</v>
      </c>
      <c r="AT206" s="123">
        <v>0.16</v>
      </c>
      <c r="AU206" s="124">
        <v>0.56000000000000005</v>
      </c>
      <c r="AV206" s="125">
        <v>0.18</v>
      </c>
      <c r="AW206" s="123">
        <v>0.2</v>
      </c>
      <c r="AX206" s="123">
        <v>0</v>
      </c>
      <c r="AY206" s="124">
        <v>0.38</v>
      </c>
      <c r="AZ206" s="125">
        <v>0.25</v>
      </c>
      <c r="BA206" s="123">
        <v>0.27</v>
      </c>
      <c r="BB206" s="123">
        <v>0.05</v>
      </c>
      <c r="BC206" s="124">
        <v>0.56999999999999995</v>
      </c>
      <c r="BD206" s="126">
        <v>0.46</v>
      </c>
      <c r="BE206" s="125">
        <v>0.32</v>
      </c>
      <c r="BF206" s="123">
        <v>0</v>
      </c>
      <c r="BG206" s="123">
        <v>0.15</v>
      </c>
      <c r="BH206" s="124">
        <v>0.47</v>
      </c>
      <c r="BI206" s="125">
        <v>0.3</v>
      </c>
      <c r="BJ206" s="123">
        <v>0.12</v>
      </c>
      <c r="BK206" s="123">
        <v>0.2</v>
      </c>
      <c r="BL206" s="124">
        <v>0.62</v>
      </c>
      <c r="BM206" s="125">
        <v>0.93</v>
      </c>
      <c r="BN206" s="123">
        <v>1.02</v>
      </c>
      <c r="BO206" s="123">
        <v>1.62</v>
      </c>
      <c r="BP206" s="123">
        <v>0.95</v>
      </c>
      <c r="BQ206" s="123">
        <v>1.43</v>
      </c>
      <c r="BR206" s="123">
        <v>0.95</v>
      </c>
      <c r="BS206" s="123">
        <v>1.17</v>
      </c>
      <c r="BT206" s="123">
        <v>1.1299999999999999</v>
      </c>
      <c r="BU206" s="124">
        <v>0.86</v>
      </c>
      <c r="BV206" s="79">
        <v>3703125</v>
      </c>
      <c r="BW206" s="110">
        <v>140</v>
      </c>
      <c r="BX206" s="110">
        <v>1580</v>
      </c>
      <c r="BY206" s="115">
        <v>25.7</v>
      </c>
      <c r="BZ206" s="111">
        <v>11.2</v>
      </c>
      <c r="CA206" s="120">
        <v>4.5900000000000003E-3</v>
      </c>
      <c r="CB206" s="110">
        <v>465</v>
      </c>
      <c r="CC206" s="248">
        <v>2.9999999999999997E-4</v>
      </c>
      <c r="CD206" s="110">
        <v>599</v>
      </c>
      <c r="CE206" s="104">
        <f t="shared" si="11"/>
        <v>4.0867992766726938E-3</v>
      </c>
      <c r="CF206" s="105">
        <f t="shared" si="9"/>
        <v>0.54</v>
      </c>
    </row>
    <row r="207" spans="1:84" ht="24" hidden="1" x14ac:dyDescent="0.25">
      <c r="A207" s="106">
        <v>206</v>
      </c>
      <c r="B207" s="107"/>
      <c r="C207" s="108" t="s">
        <v>427</v>
      </c>
      <c r="D207" s="109">
        <v>1875</v>
      </c>
      <c r="E207" s="110">
        <v>1975</v>
      </c>
      <c r="F207" s="111">
        <f t="shared" si="10"/>
        <v>3703125</v>
      </c>
      <c r="G207" s="110">
        <v>140</v>
      </c>
      <c r="H207" s="110">
        <v>1580</v>
      </c>
      <c r="I207" s="112">
        <v>0.95</v>
      </c>
      <c r="J207" s="113">
        <v>28.3</v>
      </c>
      <c r="K207" s="161">
        <v>17.899999999999999</v>
      </c>
      <c r="L207" s="115">
        <v>14.6</v>
      </c>
      <c r="M207" s="116">
        <v>0.51</v>
      </c>
      <c r="N207" s="111">
        <v>8.5</v>
      </c>
      <c r="O207" s="117" t="s">
        <v>206</v>
      </c>
      <c r="P207" s="118" t="s">
        <v>207</v>
      </c>
      <c r="Q207" s="119">
        <v>2.3E-3</v>
      </c>
      <c r="R207" s="110">
        <v>0</v>
      </c>
      <c r="S207" s="120">
        <v>4.5900000000000003E-3</v>
      </c>
      <c r="T207" s="110">
        <v>465</v>
      </c>
      <c r="U207" s="121">
        <v>1975</v>
      </c>
      <c r="V207" s="248">
        <v>4.0000000000000002E-4</v>
      </c>
      <c r="W207" s="110">
        <v>599</v>
      </c>
      <c r="X207" s="121">
        <v>469</v>
      </c>
      <c r="Y207" s="165">
        <v>0.6</v>
      </c>
      <c r="Z207" s="122">
        <v>1</v>
      </c>
      <c r="AA207" s="113">
        <v>1.8</v>
      </c>
      <c r="AB207" s="111">
        <v>7</v>
      </c>
      <c r="AC207" s="114">
        <v>3.9</v>
      </c>
      <c r="AD207" s="123">
        <v>0.47</v>
      </c>
      <c r="AE207" s="124">
        <v>0.61</v>
      </c>
      <c r="AF207" s="125">
        <v>0.28999999999999998</v>
      </c>
      <c r="AG207" s="123">
        <v>0.11</v>
      </c>
      <c r="AH207" s="123">
        <v>0.16</v>
      </c>
      <c r="AI207" s="124">
        <v>0.55000000000000004</v>
      </c>
      <c r="AJ207" s="125">
        <v>0.4</v>
      </c>
      <c r="AK207" s="123">
        <v>0.18</v>
      </c>
      <c r="AL207" s="123">
        <v>0</v>
      </c>
      <c r="AM207" s="124">
        <v>0.57999999999999996</v>
      </c>
      <c r="AN207" s="125">
        <v>0.01</v>
      </c>
      <c r="AO207" s="123">
        <v>0.17</v>
      </c>
      <c r="AP207" s="123">
        <v>0.19</v>
      </c>
      <c r="AQ207" s="124">
        <v>0.37</v>
      </c>
      <c r="AR207" s="125">
        <v>0.41</v>
      </c>
      <c r="AS207" s="123">
        <v>0.13</v>
      </c>
      <c r="AT207" s="123">
        <v>0.16</v>
      </c>
      <c r="AU207" s="124">
        <v>0.49</v>
      </c>
      <c r="AV207" s="125">
        <v>0.15</v>
      </c>
      <c r="AW207" s="123">
        <v>0.27</v>
      </c>
      <c r="AX207" s="123">
        <v>0</v>
      </c>
      <c r="AY207" s="124">
        <v>0.42</v>
      </c>
      <c r="AZ207" s="125">
        <v>0.22</v>
      </c>
      <c r="BA207" s="123">
        <v>0.31</v>
      </c>
      <c r="BB207" s="123">
        <v>0.04</v>
      </c>
      <c r="BC207" s="124">
        <v>0.57999999999999996</v>
      </c>
      <c r="BD207" s="126">
        <v>0.4</v>
      </c>
      <c r="BE207" s="125">
        <v>0.28000000000000003</v>
      </c>
      <c r="BF207" s="123">
        <v>0</v>
      </c>
      <c r="BG207" s="123">
        <v>0.15</v>
      </c>
      <c r="BH207" s="124">
        <v>0.43</v>
      </c>
      <c r="BI207" s="125">
        <v>0.27</v>
      </c>
      <c r="BJ207" s="123">
        <v>0.16</v>
      </c>
      <c r="BK207" s="123">
        <v>0.19</v>
      </c>
      <c r="BL207" s="124">
        <v>0.62</v>
      </c>
      <c r="BM207" s="125">
        <v>1.1000000000000001</v>
      </c>
      <c r="BN207" s="123">
        <v>1.05</v>
      </c>
      <c r="BO207" s="123">
        <v>1.65</v>
      </c>
      <c r="BP207" s="123">
        <v>1.24</v>
      </c>
      <c r="BQ207" s="123">
        <v>1.45</v>
      </c>
      <c r="BR207" s="123">
        <v>1.05</v>
      </c>
      <c r="BS207" s="123">
        <v>1.53</v>
      </c>
      <c r="BT207" s="123">
        <v>1.42</v>
      </c>
      <c r="BU207" s="124">
        <v>0.98</v>
      </c>
      <c r="BV207" s="79">
        <v>3703125</v>
      </c>
      <c r="BW207" s="110">
        <v>140</v>
      </c>
      <c r="BX207" s="110">
        <v>1580</v>
      </c>
      <c r="BY207" s="115">
        <v>14.6</v>
      </c>
      <c r="BZ207" s="111">
        <v>8.5</v>
      </c>
      <c r="CA207" s="120">
        <v>4.5900000000000003E-3</v>
      </c>
      <c r="CB207" s="110">
        <v>465</v>
      </c>
      <c r="CC207" s="248">
        <v>4.0000000000000002E-4</v>
      </c>
      <c r="CD207" s="110">
        <v>599</v>
      </c>
      <c r="CE207" s="104">
        <f t="shared" si="11"/>
        <v>5.1356238698010842E-3</v>
      </c>
      <c r="CF207" s="105">
        <f t="shared" si="9"/>
        <v>0.61</v>
      </c>
    </row>
    <row r="208" spans="1:84" ht="24" hidden="1" x14ac:dyDescent="0.25">
      <c r="A208" s="106">
        <v>207</v>
      </c>
      <c r="B208" s="107"/>
      <c r="C208" s="108" t="s">
        <v>428</v>
      </c>
      <c r="D208" s="109">
        <v>1875</v>
      </c>
      <c r="E208" s="110">
        <v>1975</v>
      </c>
      <c r="F208" s="111">
        <f t="shared" si="10"/>
        <v>3703125</v>
      </c>
      <c r="G208" s="110">
        <v>140</v>
      </c>
      <c r="H208" s="110">
        <v>1580</v>
      </c>
      <c r="I208" s="112">
        <v>0.95</v>
      </c>
      <c r="J208" s="113">
        <v>28.3</v>
      </c>
      <c r="K208" s="161">
        <v>17.899999999999999</v>
      </c>
      <c r="L208" s="115">
        <v>14.6</v>
      </c>
      <c r="M208" s="116">
        <v>0.51</v>
      </c>
      <c r="N208" s="111">
        <v>8.5</v>
      </c>
      <c r="O208" s="117" t="s">
        <v>206</v>
      </c>
      <c r="P208" s="118" t="s">
        <v>207</v>
      </c>
      <c r="Q208" s="119">
        <v>2.3E-3</v>
      </c>
      <c r="R208" s="110">
        <v>0</v>
      </c>
      <c r="S208" s="120">
        <v>4.5900000000000003E-3</v>
      </c>
      <c r="T208" s="110">
        <v>465</v>
      </c>
      <c r="U208" s="121">
        <v>1975</v>
      </c>
      <c r="V208" s="248">
        <v>4.0000000000000002E-4</v>
      </c>
      <c r="W208" s="110">
        <v>599</v>
      </c>
      <c r="X208" s="121">
        <v>469</v>
      </c>
      <c r="Y208" s="165">
        <v>0.6</v>
      </c>
      <c r="Z208" s="122">
        <v>1</v>
      </c>
      <c r="AA208" s="113">
        <v>1.8</v>
      </c>
      <c r="AB208" s="111">
        <v>8.1999999999999993</v>
      </c>
      <c r="AC208" s="114">
        <v>4.5</v>
      </c>
      <c r="AD208" s="123">
        <v>0.39</v>
      </c>
      <c r="AE208" s="124">
        <v>0.59</v>
      </c>
      <c r="AF208" s="125">
        <v>0.28999999999999998</v>
      </c>
      <c r="AG208" s="123">
        <v>0.11</v>
      </c>
      <c r="AH208" s="123">
        <v>0.16</v>
      </c>
      <c r="AI208" s="124">
        <v>0.55000000000000004</v>
      </c>
      <c r="AJ208" s="125">
        <v>0.4</v>
      </c>
      <c r="AK208" s="123">
        <v>0.18</v>
      </c>
      <c r="AL208" s="123">
        <v>0</v>
      </c>
      <c r="AM208" s="124">
        <v>0.57999999999999996</v>
      </c>
      <c r="AN208" s="125">
        <v>0</v>
      </c>
      <c r="AO208" s="123">
        <v>0.17</v>
      </c>
      <c r="AP208" s="123">
        <v>0.18</v>
      </c>
      <c r="AQ208" s="124">
        <v>0.36</v>
      </c>
      <c r="AR208" s="125">
        <v>0.41</v>
      </c>
      <c r="AS208" s="123">
        <v>0.13</v>
      </c>
      <c r="AT208" s="123">
        <v>0.16</v>
      </c>
      <c r="AU208" s="124">
        <v>0.49</v>
      </c>
      <c r="AV208" s="125">
        <v>0.15</v>
      </c>
      <c r="AW208" s="123">
        <v>0.27</v>
      </c>
      <c r="AX208" s="123">
        <v>0</v>
      </c>
      <c r="AY208" s="124">
        <v>0.42</v>
      </c>
      <c r="AZ208" s="125">
        <v>0.22</v>
      </c>
      <c r="BA208" s="123">
        <v>0.31</v>
      </c>
      <c r="BB208" s="123">
        <v>0.04</v>
      </c>
      <c r="BC208" s="124">
        <v>0.57999999999999996</v>
      </c>
      <c r="BD208" s="126">
        <v>0.4</v>
      </c>
      <c r="BE208" s="125">
        <v>0.28000000000000003</v>
      </c>
      <c r="BF208" s="123">
        <v>0</v>
      </c>
      <c r="BG208" s="123">
        <v>0.14000000000000001</v>
      </c>
      <c r="BH208" s="124">
        <v>0.43</v>
      </c>
      <c r="BI208" s="125">
        <v>0.27</v>
      </c>
      <c r="BJ208" s="123">
        <v>0.16</v>
      </c>
      <c r="BK208" s="123">
        <v>0.19</v>
      </c>
      <c r="BL208" s="124">
        <v>0.62</v>
      </c>
      <c r="BM208" s="125">
        <v>1.08</v>
      </c>
      <c r="BN208" s="123">
        <v>1.03</v>
      </c>
      <c r="BO208" s="123">
        <v>1.67</v>
      </c>
      <c r="BP208" s="123">
        <v>1.21</v>
      </c>
      <c r="BQ208" s="123">
        <v>1.42</v>
      </c>
      <c r="BR208" s="123">
        <v>1.02</v>
      </c>
      <c r="BS208" s="123">
        <v>1.49</v>
      </c>
      <c r="BT208" s="123">
        <v>1.39</v>
      </c>
      <c r="BU208" s="124">
        <v>0.96</v>
      </c>
      <c r="BV208" s="79">
        <v>3703125</v>
      </c>
      <c r="BW208" s="110">
        <v>140</v>
      </c>
      <c r="BX208" s="110">
        <v>1580</v>
      </c>
      <c r="BY208" s="115">
        <v>14.6</v>
      </c>
      <c r="BZ208" s="111">
        <v>8.5</v>
      </c>
      <c r="CA208" s="120">
        <v>4.5900000000000003E-3</v>
      </c>
      <c r="CB208" s="110">
        <v>465</v>
      </c>
      <c r="CC208" s="248">
        <v>4.0000000000000002E-4</v>
      </c>
      <c r="CD208" s="110">
        <v>599</v>
      </c>
      <c r="CE208" s="104">
        <f t="shared" si="11"/>
        <v>5.0271247739602162E-3</v>
      </c>
      <c r="CF208" s="105">
        <f t="shared" si="9"/>
        <v>0.59</v>
      </c>
    </row>
    <row r="209" spans="1:84" ht="24" hidden="1" x14ac:dyDescent="0.25">
      <c r="A209" s="133">
        <v>208</v>
      </c>
      <c r="B209" s="134"/>
      <c r="C209" s="135" t="s">
        <v>429</v>
      </c>
      <c r="D209" s="136">
        <v>1875</v>
      </c>
      <c r="E209" s="137">
        <v>1975</v>
      </c>
      <c r="F209" s="138">
        <f t="shared" si="10"/>
        <v>3703125</v>
      </c>
      <c r="G209" s="137">
        <v>140</v>
      </c>
      <c r="H209" s="137">
        <v>1580</v>
      </c>
      <c r="I209" s="139">
        <v>0.95</v>
      </c>
      <c r="J209" s="140">
        <v>28.3</v>
      </c>
      <c r="K209" s="141">
        <v>13.9</v>
      </c>
      <c r="L209" s="142">
        <v>22.8</v>
      </c>
      <c r="M209" s="143">
        <v>0.82</v>
      </c>
      <c r="N209" s="138">
        <v>11.8</v>
      </c>
      <c r="O209" s="144" t="s">
        <v>206</v>
      </c>
      <c r="P209" s="145" t="s">
        <v>207</v>
      </c>
      <c r="Q209" s="146">
        <v>2.3E-3</v>
      </c>
      <c r="R209" s="137">
        <v>0</v>
      </c>
      <c r="S209" s="147">
        <v>4.5900000000000003E-3</v>
      </c>
      <c r="T209" s="137">
        <v>465</v>
      </c>
      <c r="U209" s="148">
        <v>1975</v>
      </c>
      <c r="V209" s="249">
        <v>5.0000000000000001E-4</v>
      </c>
      <c r="W209" s="137">
        <v>599</v>
      </c>
      <c r="X209" s="148">
        <v>375</v>
      </c>
      <c r="Y209" s="172">
        <v>0.61</v>
      </c>
      <c r="Z209" s="149">
        <v>1</v>
      </c>
      <c r="AA209" s="140">
        <v>2.4</v>
      </c>
      <c r="AB209" s="138">
        <v>7.5</v>
      </c>
      <c r="AC209" s="141">
        <v>3.1</v>
      </c>
      <c r="AD209" s="150">
        <v>0.45</v>
      </c>
      <c r="AE209" s="151">
        <v>0.62</v>
      </c>
      <c r="AF209" s="152">
        <v>0.34</v>
      </c>
      <c r="AG209" s="150">
        <v>0.13</v>
      </c>
      <c r="AH209" s="150">
        <v>0.16</v>
      </c>
      <c r="AI209" s="151">
        <v>0.63</v>
      </c>
      <c r="AJ209" s="152">
        <v>0.4</v>
      </c>
      <c r="AK209" s="150">
        <v>0.24</v>
      </c>
      <c r="AL209" s="150">
        <v>0</v>
      </c>
      <c r="AM209" s="151">
        <v>0.64</v>
      </c>
      <c r="AN209" s="152">
        <v>0.22</v>
      </c>
      <c r="AO209" s="150">
        <v>0.21</v>
      </c>
      <c r="AP209" s="150">
        <v>0.2</v>
      </c>
      <c r="AQ209" s="151">
        <v>0.63</v>
      </c>
      <c r="AR209" s="152">
        <v>0.49</v>
      </c>
      <c r="AS209" s="150">
        <v>0.16</v>
      </c>
      <c r="AT209" s="150">
        <v>0.16</v>
      </c>
      <c r="AU209" s="151">
        <v>0.57999999999999996</v>
      </c>
      <c r="AV209" s="152">
        <v>0.18</v>
      </c>
      <c r="AW209" s="150">
        <v>0.33</v>
      </c>
      <c r="AX209" s="150">
        <v>0</v>
      </c>
      <c r="AY209" s="151">
        <v>0.51</v>
      </c>
      <c r="AZ209" s="152">
        <v>0.25</v>
      </c>
      <c r="BA209" s="150">
        <v>0.35</v>
      </c>
      <c r="BB209" s="150">
        <v>0.04</v>
      </c>
      <c r="BC209" s="151">
        <v>0.65</v>
      </c>
      <c r="BD209" s="153">
        <v>0.47</v>
      </c>
      <c r="BE209" s="152">
        <v>0.46</v>
      </c>
      <c r="BF209" s="150">
        <v>0</v>
      </c>
      <c r="BG209" s="150">
        <v>0.15</v>
      </c>
      <c r="BH209" s="151">
        <v>0.6</v>
      </c>
      <c r="BI209" s="152">
        <v>0.43</v>
      </c>
      <c r="BJ209" s="150">
        <v>0.2</v>
      </c>
      <c r="BK209" s="150">
        <v>0.19</v>
      </c>
      <c r="BL209" s="151">
        <v>0.83</v>
      </c>
      <c r="BM209" s="152">
        <v>0.98</v>
      </c>
      <c r="BN209" s="150">
        <v>0.96</v>
      </c>
      <c r="BO209" s="150">
        <v>0.98</v>
      </c>
      <c r="BP209" s="150">
        <v>1.07</v>
      </c>
      <c r="BQ209" s="150">
        <v>1.2</v>
      </c>
      <c r="BR209" s="150">
        <v>0.95</v>
      </c>
      <c r="BS209" s="150">
        <v>1.31</v>
      </c>
      <c r="BT209" s="150">
        <v>1.02</v>
      </c>
      <c r="BU209" s="151">
        <v>0.75</v>
      </c>
      <c r="BV209" s="79">
        <v>3703125</v>
      </c>
      <c r="BW209" s="137">
        <v>140</v>
      </c>
      <c r="BX209" s="137">
        <v>1580</v>
      </c>
      <c r="BY209" s="142">
        <v>22.8</v>
      </c>
      <c r="BZ209" s="138">
        <v>11.8</v>
      </c>
      <c r="CA209" s="147">
        <v>4.5900000000000003E-3</v>
      </c>
      <c r="CB209" s="137">
        <v>465</v>
      </c>
      <c r="CC209" s="249">
        <v>5.0000000000000001E-4</v>
      </c>
      <c r="CD209" s="137">
        <v>599</v>
      </c>
      <c r="CE209" s="104">
        <f t="shared" si="11"/>
        <v>3.6889692585895121E-3</v>
      </c>
      <c r="CF209" s="105">
        <f t="shared" si="9"/>
        <v>0.62</v>
      </c>
    </row>
    <row r="210" spans="1:84" ht="36" hidden="1" x14ac:dyDescent="0.25">
      <c r="A210" s="83">
        <v>209</v>
      </c>
      <c r="B210" s="84" t="s">
        <v>53</v>
      </c>
      <c r="C210" s="85" t="s">
        <v>430</v>
      </c>
      <c r="D210" s="86">
        <v>2600</v>
      </c>
      <c r="E210" s="87">
        <v>3620</v>
      </c>
      <c r="F210" s="88">
        <f t="shared" si="10"/>
        <v>9412000</v>
      </c>
      <c r="G210" s="87">
        <v>140</v>
      </c>
      <c r="H210" s="87">
        <v>2896</v>
      </c>
      <c r="I210" s="89">
        <v>0.72</v>
      </c>
      <c r="J210" s="90">
        <v>14.7</v>
      </c>
      <c r="K210" s="91">
        <v>17.5</v>
      </c>
      <c r="L210" s="92">
        <v>30.4</v>
      </c>
      <c r="M210" s="93">
        <v>0.76</v>
      </c>
      <c r="N210" s="88">
        <v>9.1999999999999993</v>
      </c>
      <c r="O210" s="94" t="s">
        <v>206</v>
      </c>
      <c r="P210" s="95" t="s">
        <v>207</v>
      </c>
      <c r="Q210" s="250">
        <v>1E-3</v>
      </c>
      <c r="R210" s="87">
        <v>0</v>
      </c>
      <c r="S210" s="251">
        <v>2E-3</v>
      </c>
      <c r="T210" s="87">
        <v>488</v>
      </c>
      <c r="U210" s="98">
        <v>0</v>
      </c>
      <c r="V210" s="86">
        <v>0</v>
      </c>
      <c r="W210" s="87">
        <v>615</v>
      </c>
      <c r="X210" s="98">
        <v>0</v>
      </c>
      <c r="Y210" s="99">
        <v>0</v>
      </c>
      <c r="Z210" s="99">
        <v>1</v>
      </c>
      <c r="AA210" s="90">
        <v>1.9</v>
      </c>
      <c r="AB210" s="88">
        <v>8.1</v>
      </c>
      <c r="AC210" s="91">
        <v>4.2</v>
      </c>
      <c r="AD210" s="100">
        <v>0.28000000000000003</v>
      </c>
      <c r="AE210" s="101">
        <v>0.6</v>
      </c>
      <c r="AF210" s="102">
        <v>0.43</v>
      </c>
      <c r="AG210" s="100">
        <v>0</v>
      </c>
      <c r="AH210" s="100">
        <v>0</v>
      </c>
      <c r="AI210" s="101">
        <v>0.43</v>
      </c>
      <c r="AJ210" s="102">
        <v>0.28999999999999998</v>
      </c>
      <c r="AK210" s="100">
        <v>0.14000000000000001</v>
      </c>
      <c r="AL210" s="100">
        <v>0</v>
      </c>
      <c r="AM210" s="101">
        <v>0.43</v>
      </c>
      <c r="AN210" s="102">
        <v>0</v>
      </c>
      <c r="AO210" s="100">
        <v>0</v>
      </c>
      <c r="AP210" s="100">
        <v>0</v>
      </c>
      <c r="AQ210" s="101">
        <v>0</v>
      </c>
      <c r="AR210" s="102">
        <v>0.69</v>
      </c>
      <c r="AS210" s="100">
        <v>0</v>
      </c>
      <c r="AT210" s="100">
        <v>0</v>
      </c>
      <c r="AU210" s="101">
        <v>0.68</v>
      </c>
      <c r="AV210" s="102">
        <v>0.24</v>
      </c>
      <c r="AW210" s="100">
        <v>0</v>
      </c>
      <c r="AX210" s="100">
        <v>0</v>
      </c>
      <c r="AY210" s="101">
        <v>0.24</v>
      </c>
      <c r="AZ210" s="102">
        <v>0.25</v>
      </c>
      <c r="BA210" s="100">
        <v>0</v>
      </c>
      <c r="BB210" s="100">
        <v>0</v>
      </c>
      <c r="BC210" s="101">
        <v>0.25</v>
      </c>
      <c r="BD210" s="103">
        <v>0.28000000000000003</v>
      </c>
      <c r="BE210" s="102">
        <v>0.74</v>
      </c>
      <c r="BF210" s="100">
        <v>0</v>
      </c>
      <c r="BG210" s="100">
        <v>0</v>
      </c>
      <c r="BH210" s="101">
        <v>0.74</v>
      </c>
      <c r="BI210" s="102">
        <v>0.53</v>
      </c>
      <c r="BJ210" s="100">
        <v>0</v>
      </c>
      <c r="BK210" s="100">
        <v>0</v>
      </c>
      <c r="BL210" s="101">
        <v>0.53</v>
      </c>
      <c r="BM210" s="102">
        <v>1.42</v>
      </c>
      <c r="BN210" s="100">
        <v>1.4</v>
      </c>
      <c r="BO210" s="195"/>
      <c r="BP210" s="100">
        <v>0.89</v>
      </c>
      <c r="BQ210" s="100">
        <v>2.5299999999999998</v>
      </c>
      <c r="BR210" s="100">
        <v>2.39</v>
      </c>
      <c r="BS210" s="100">
        <v>2.1800000000000002</v>
      </c>
      <c r="BT210" s="100">
        <v>0.81</v>
      </c>
      <c r="BU210" s="101">
        <v>1.1299999999999999</v>
      </c>
      <c r="BV210" s="79">
        <v>9412000</v>
      </c>
      <c r="BW210" s="87">
        <v>140</v>
      </c>
      <c r="BX210" s="87">
        <v>2896</v>
      </c>
      <c r="BY210" s="92">
        <v>30.4</v>
      </c>
      <c r="BZ210" s="88">
        <v>9.1999999999999993</v>
      </c>
      <c r="CA210" s="251">
        <v>2E-3</v>
      </c>
      <c r="CB210" s="87">
        <v>488</v>
      </c>
      <c r="CC210" s="86">
        <v>0</v>
      </c>
      <c r="CD210" s="87">
        <v>615</v>
      </c>
      <c r="CE210" s="104">
        <f t="shared" si="11"/>
        <v>1.5982636148382007E-3</v>
      </c>
      <c r="CF210" s="105">
        <f t="shared" si="9"/>
        <v>0.6</v>
      </c>
    </row>
    <row r="211" spans="1:84" ht="36" hidden="1" x14ac:dyDescent="0.25">
      <c r="A211" s="106">
        <v>210</v>
      </c>
      <c r="B211" s="107"/>
      <c r="C211" s="108" t="s">
        <v>431</v>
      </c>
      <c r="D211" s="109">
        <v>2600</v>
      </c>
      <c r="E211" s="110">
        <v>3620</v>
      </c>
      <c r="F211" s="111">
        <f t="shared" si="10"/>
        <v>9412000</v>
      </c>
      <c r="G211" s="110">
        <v>140</v>
      </c>
      <c r="H211" s="110">
        <v>2896</v>
      </c>
      <c r="I211" s="112">
        <v>0.72</v>
      </c>
      <c r="J211" s="113">
        <v>14.7</v>
      </c>
      <c r="K211" s="114">
        <v>17.5</v>
      </c>
      <c r="L211" s="115">
        <v>30.4</v>
      </c>
      <c r="M211" s="116">
        <v>0.76</v>
      </c>
      <c r="N211" s="111">
        <v>9.1999999999999993</v>
      </c>
      <c r="O211" s="117" t="s">
        <v>206</v>
      </c>
      <c r="P211" s="118" t="s">
        <v>207</v>
      </c>
      <c r="Q211" s="252">
        <v>1E-3</v>
      </c>
      <c r="R211" s="110">
        <v>0</v>
      </c>
      <c r="S211" s="253">
        <v>2E-3</v>
      </c>
      <c r="T211" s="110">
        <v>488</v>
      </c>
      <c r="U211" s="121">
        <v>0</v>
      </c>
      <c r="V211" s="109">
        <v>0</v>
      </c>
      <c r="W211" s="110">
        <v>615</v>
      </c>
      <c r="X211" s="121">
        <v>0</v>
      </c>
      <c r="Y211" s="122">
        <v>0</v>
      </c>
      <c r="Z211" s="122">
        <v>1</v>
      </c>
      <c r="AA211" s="113">
        <v>2.5</v>
      </c>
      <c r="AB211" s="111">
        <v>7.1</v>
      </c>
      <c r="AC211" s="114">
        <v>2.9</v>
      </c>
      <c r="AD211" s="123">
        <v>0.35</v>
      </c>
      <c r="AE211" s="124">
        <v>0.65</v>
      </c>
      <c r="AF211" s="125">
        <v>0.43</v>
      </c>
      <c r="AG211" s="123">
        <v>0</v>
      </c>
      <c r="AH211" s="123">
        <v>0</v>
      </c>
      <c r="AI211" s="124">
        <v>0.43</v>
      </c>
      <c r="AJ211" s="125">
        <v>0.28999999999999998</v>
      </c>
      <c r="AK211" s="123">
        <v>0.14000000000000001</v>
      </c>
      <c r="AL211" s="123">
        <v>0</v>
      </c>
      <c r="AM211" s="124">
        <v>0.43</v>
      </c>
      <c r="AN211" s="125">
        <v>0.35</v>
      </c>
      <c r="AO211" s="123">
        <v>0</v>
      </c>
      <c r="AP211" s="123">
        <v>0</v>
      </c>
      <c r="AQ211" s="124">
        <v>0.35</v>
      </c>
      <c r="AR211" s="125">
        <v>0.69</v>
      </c>
      <c r="AS211" s="123">
        <v>0</v>
      </c>
      <c r="AT211" s="123">
        <v>0</v>
      </c>
      <c r="AU211" s="124">
        <v>0.68</v>
      </c>
      <c r="AV211" s="125">
        <v>0.24</v>
      </c>
      <c r="AW211" s="123">
        <v>0</v>
      </c>
      <c r="AX211" s="123">
        <v>0</v>
      </c>
      <c r="AY211" s="124">
        <v>0.24</v>
      </c>
      <c r="AZ211" s="125">
        <v>0.25</v>
      </c>
      <c r="BA211" s="123">
        <v>0</v>
      </c>
      <c r="BB211" s="123">
        <v>0</v>
      </c>
      <c r="BC211" s="124">
        <v>0.25</v>
      </c>
      <c r="BD211" s="126">
        <v>0.28000000000000003</v>
      </c>
      <c r="BE211" s="125">
        <v>0.74</v>
      </c>
      <c r="BF211" s="123">
        <v>0</v>
      </c>
      <c r="BG211" s="123">
        <v>0</v>
      </c>
      <c r="BH211" s="124">
        <v>0.74</v>
      </c>
      <c r="BI211" s="125">
        <v>0.53</v>
      </c>
      <c r="BJ211" s="123">
        <v>0</v>
      </c>
      <c r="BK211" s="123">
        <v>0</v>
      </c>
      <c r="BL211" s="124">
        <v>0.53</v>
      </c>
      <c r="BM211" s="125">
        <v>1.52</v>
      </c>
      <c r="BN211" s="123">
        <v>1.5</v>
      </c>
      <c r="BO211" s="123">
        <v>1.86</v>
      </c>
      <c r="BP211" s="123">
        <v>0.95</v>
      </c>
      <c r="BQ211" s="123">
        <v>2.71</v>
      </c>
      <c r="BR211" s="123">
        <v>2.56</v>
      </c>
      <c r="BS211" s="123">
        <v>2.33</v>
      </c>
      <c r="BT211" s="123">
        <v>0.87</v>
      </c>
      <c r="BU211" s="124">
        <v>1.21</v>
      </c>
      <c r="BV211" s="79">
        <v>9412000</v>
      </c>
      <c r="BW211" s="110">
        <v>140</v>
      </c>
      <c r="BX211" s="110">
        <v>2896</v>
      </c>
      <c r="BY211" s="115">
        <v>30.4</v>
      </c>
      <c r="BZ211" s="111">
        <v>9.1999999999999993</v>
      </c>
      <c r="CA211" s="253">
        <v>2E-3</v>
      </c>
      <c r="CB211" s="110">
        <v>488</v>
      </c>
      <c r="CC211" s="109">
        <v>0</v>
      </c>
      <c r="CD211" s="110">
        <v>615</v>
      </c>
      <c r="CE211" s="104">
        <f t="shared" si="11"/>
        <v>1.7166535122336225E-3</v>
      </c>
      <c r="CF211" s="105">
        <f t="shared" si="9"/>
        <v>0.65</v>
      </c>
    </row>
    <row r="212" spans="1:84" ht="36" hidden="1" x14ac:dyDescent="0.25">
      <c r="A212" s="106">
        <v>211</v>
      </c>
      <c r="B212" s="107"/>
      <c r="C212" s="108" t="s">
        <v>432</v>
      </c>
      <c r="D212" s="109">
        <v>2600</v>
      </c>
      <c r="E212" s="110">
        <v>3620</v>
      </c>
      <c r="F212" s="111">
        <f t="shared" si="10"/>
        <v>9412000</v>
      </c>
      <c r="G212" s="110">
        <v>140</v>
      </c>
      <c r="H212" s="110">
        <v>2896</v>
      </c>
      <c r="I212" s="112">
        <v>0.72</v>
      </c>
      <c r="J212" s="113">
        <v>14.7</v>
      </c>
      <c r="K212" s="114">
        <v>17.5</v>
      </c>
      <c r="L212" s="115">
        <v>30.4</v>
      </c>
      <c r="M212" s="116">
        <v>0.76</v>
      </c>
      <c r="N212" s="111">
        <v>9.1999999999999993</v>
      </c>
      <c r="O212" s="117" t="s">
        <v>206</v>
      </c>
      <c r="P212" s="118" t="s">
        <v>207</v>
      </c>
      <c r="Q212" s="252">
        <v>1E-3</v>
      </c>
      <c r="R212" s="253">
        <v>2.0000000000000001E-4</v>
      </c>
      <c r="S212" s="253">
        <v>2.0999999999999999E-3</v>
      </c>
      <c r="T212" s="110">
        <v>488</v>
      </c>
      <c r="U212" s="121">
        <v>1810</v>
      </c>
      <c r="V212" s="109">
        <v>0</v>
      </c>
      <c r="W212" s="110">
        <v>615</v>
      </c>
      <c r="X212" s="121">
        <v>0</v>
      </c>
      <c r="Y212" s="122">
        <v>0</v>
      </c>
      <c r="Z212" s="122">
        <v>1</v>
      </c>
      <c r="AA212" s="113">
        <v>2.1</v>
      </c>
      <c r="AB212" s="111">
        <v>8.8000000000000007</v>
      </c>
      <c r="AC212" s="114">
        <v>4.3</v>
      </c>
      <c r="AD212" s="123">
        <v>0.35</v>
      </c>
      <c r="AE212" s="124">
        <v>0.51</v>
      </c>
      <c r="AF212" s="125">
        <v>0.43</v>
      </c>
      <c r="AG212" s="123">
        <v>0</v>
      </c>
      <c r="AH212" s="123">
        <v>0</v>
      </c>
      <c r="AI212" s="124">
        <v>0.43</v>
      </c>
      <c r="AJ212" s="125">
        <v>0.28999999999999998</v>
      </c>
      <c r="AK212" s="123">
        <v>0.14000000000000001</v>
      </c>
      <c r="AL212" s="123">
        <v>0</v>
      </c>
      <c r="AM212" s="124">
        <v>0.43</v>
      </c>
      <c r="AN212" s="125">
        <v>0</v>
      </c>
      <c r="AO212" s="123">
        <v>0</v>
      </c>
      <c r="AP212" s="123">
        <v>0</v>
      </c>
      <c r="AQ212" s="124">
        <v>0</v>
      </c>
      <c r="AR212" s="125">
        <v>0.69</v>
      </c>
      <c r="AS212" s="123">
        <v>0</v>
      </c>
      <c r="AT212" s="123">
        <v>0</v>
      </c>
      <c r="AU212" s="124">
        <v>0.68</v>
      </c>
      <c r="AV212" s="125">
        <v>0.24</v>
      </c>
      <c r="AW212" s="123">
        <v>0</v>
      </c>
      <c r="AX212" s="123">
        <v>0</v>
      </c>
      <c r="AY212" s="124">
        <v>0.24</v>
      </c>
      <c r="AZ212" s="125">
        <v>0.25</v>
      </c>
      <c r="BA212" s="123">
        <v>0.26</v>
      </c>
      <c r="BB212" s="123">
        <v>0</v>
      </c>
      <c r="BC212" s="124">
        <v>0.51</v>
      </c>
      <c r="BD212" s="126">
        <v>0.28000000000000003</v>
      </c>
      <c r="BE212" s="125">
        <v>0.74</v>
      </c>
      <c r="BF212" s="123">
        <v>0</v>
      </c>
      <c r="BG212" s="123">
        <v>0</v>
      </c>
      <c r="BH212" s="124">
        <v>0.74</v>
      </c>
      <c r="BI212" s="125">
        <v>0.53</v>
      </c>
      <c r="BJ212" s="123">
        <v>0</v>
      </c>
      <c r="BK212" s="123">
        <v>0</v>
      </c>
      <c r="BL212" s="124">
        <v>0.53</v>
      </c>
      <c r="BM212" s="125">
        <v>1.21</v>
      </c>
      <c r="BN212" s="123">
        <v>1.19</v>
      </c>
      <c r="BO212" s="129"/>
      <c r="BP212" s="123">
        <v>0.76</v>
      </c>
      <c r="BQ212" s="123">
        <v>2.15</v>
      </c>
      <c r="BR212" s="123">
        <v>1.01</v>
      </c>
      <c r="BS212" s="123">
        <v>1.85</v>
      </c>
      <c r="BT212" s="123">
        <v>0.69</v>
      </c>
      <c r="BU212" s="124">
        <v>0.97</v>
      </c>
      <c r="BV212" s="79">
        <v>9412000</v>
      </c>
      <c r="BW212" s="110">
        <v>140</v>
      </c>
      <c r="BX212" s="110">
        <v>2896</v>
      </c>
      <c r="BY212" s="115">
        <v>30.4</v>
      </c>
      <c r="BZ212" s="111">
        <v>9.1999999999999993</v>
      </c>
      <c r="CA212" s="253">
        <v>2.0999999999999999E-3</v>
      </c>
      <c r="CB212" s="110">
        <v>488</v>
      </c>
      <c r="CC212" s="109">
        <v>0</v>
      </c>
      <c r="CD212" s="110">
        <v>615</v>
      </c>
      <c r="CE212" s="104">
        <f t="shared" si="11"/>
        <v>1.3614838200473559E-3</v>
      </c>
      <c r="CF212" s="105">
        <f t="shared" si="9"/>
        <v>0.51</v>
      </c>
    </row>
    <row r="213" spans="1:84" ht="36" hidden="1" x14ac:dyDescent="0.25">
      <c r="A213" s="127">
        <v>212</v>
      </c>
      <c r="B213" s="107"/>
      <c r="C213" s="108" t="s">
        <v>433</v>
      </c>
      <c r="D213" s="132">
        <v>2600</v>
      </c>
      <c r="E213" s="129">
        <v>3620</v>
      </c>
      <c r="F213" s="111">
        <f t="shared" si="10"/>
        <v>9412000</v>
      </c>
      <c r="G213" s="129">
        <v>140</v>
      </c>
      <c r="H213" s="129">
        <v>2896</v>
      </c>
      <c r="I213" s="130">
        <v>0.72</v>
      </c>
      <c r="J213" s="132">
        <v>14.7</v>
      </c>
      <c r="K213" s="130">
        <v>17.5</v>
      </c>
      <c r="L213" s="115">
        <v>30.4</v>
      </c>
      <c r="M213" s="116">
        <v>0.76</v>
      </c>
      <c r="N213" s="111">
        <v>9.1999999999999993</v>
      </c>
      <c r="O213" s="117" t="s">
        <v>206</v>
      </c>
      <c r="P213" s="118" t="s">
        <v>207</v>
      </c>
      <c r="Q213" s="252">
        <v>1E-3</v>
      </c>
      <c r="R213" s="253">
        <v>2.9999999999999997E-4</v>
      </c>
      <c r="S213" s="253">
        <v>2.2000000000000001E-3</v>
      </c>
      <c r="T213" s="110">
        <v>488</v>
      </c>
      <c r="U213" s="121">
        <v>1206</v>
      </c>
      <c r="V213" s="109">
        <v>0</v>
      </c>
      <c r="W213" s="110">
        <v>615</v>
      </c>
      <c r="X213" s="121">
        <v>0</v>
      </c>
      <c r="Y213" s="122">
        <v>0</v>
      </c>
      <c r="Z213" s="122">
        <v>1</v>
      </c>
      <c r="AA213" s="113">
        <v>2.2000000000000002</v>
      </c>
      <c r="AB213" s="111">
        <v>5.7</v>
      </c>
      <c r="AC213" s="114">
        <v>2.7</v>
      </c>
      <c r="AD213" s="123">
        <v>0.43</v>
      </c>
      <c r="AE213" s="124">
        <v>0.62</v>
      </c>
      <c r="AF213" s="125">
        <v>0.43</v>
      </c>
      <c r="AG213" s="123">
        <v>0</v>
      </c>
      <c r="AH213" s="123">
        <v>0</v>
      </c>
      <c r="AI213" s="124">
        <v>0.43</v>
      </c>
      <c r="AJ213" s="125">
        <v>0.28999999999999998</v>
      </c>
      <c r="AK213" s="123">
        <v>0.14000000000000001</v>
      </c>
      <c r="AL213" s="123">
        <v>0</v>
      </c>
      <c r="AM213" s="124">
        <v>0.43</v>
      </c>
      <c r="AN213" s="125">
        <v>0.42</v>
      </c>
      <c r="AO213" s="123">
        <v>0</v>
      </c>
      <c r="AP213" s="123">
        <v>0</v>
      </c>
      <c r="AQ213" s="124">
        <v>0.42</v>
      </c>
      <c r="AR213" s="125">
        <v>0.69</v>
      </c>
      <c r="AS213" s="123">
        <v>0</v>
      </c>
      <c r="AT213" s="123">
        <v>0</v>
      </c>
      <c r="AU213" s="124">
        <v>0.68</v>
      </c>
      <c r="AV213" s="125">
        <v>0.24</v>
      </c>
      <c r="AW213" s="123">
        <v>0</v>
      </c>
      <c r="AX213" s="123">
        <v>0</v>
      </c>
      <c r="AY213" s="124">
        <v>0.24</v>
      </c>
      <c r="AZ213" s="125">
        <v>0.25</v>
      </c>
      <c r="BA213" s="123">
        <v>0.31</v>
      </c>
      <c r="BB213" s="123">
        <v>0</v>
      </c>
      <c r="BC213" s="124">
        <v>0.56999999999999995</v>
      </c>
      <c r="BD213" s="126">
        <v>0.28000000000000003</v>
      </c>
      <c r="BE213" s="125">
        <v>0.74</v>
      </c>
      <c r="BF213" s="123">
        <v>0</v>
      </c>
      <c r="BG213" s="123">
        <v>0</v>
      </c>
      <c r="BH213" s="124">
        <v>0.74</v>
      </c>
      <c r="BI213" s="125">
        <v>0.53</v>
      </c>
      <c r="BJ213" s="123">
        <v>0</v>
      </c>
      <c r="BK213" s="123">
        <v>0</v>
      </c>
      <c r="BL213" s="124">
        <v>0.53</v>
      </c>
      <c r="BM213" s="125">
        <v>1.45</v>
      </c>
      <c r="BN213" s="123">
        <v>1.44</v>
      </c>
      <c r="BO213" s="123">
        <v>1.47</v>
      </c>
      <c r="BP213" s="123">
        <v>0.91</v>
      </c>
      <c r="BQ213" s="123">
        <v>2.59</v>
      </c>
      <c r="BR213" s="123">
        <v>1.0900000000000001</v>
      </c>
      <c r="BS213" s="123">
        <v>2.23</v>
      </c>
      <c r="BT213" s="123">
        <v>0.83</v>
      </c>
      <c r="BU213" s="124">
        <v>1.1599999999999999</v>
      </c>
      <c r="BV213" s="79">
        <v>9412000</v>
      </c>
      <c r="BW213" s="129">
        <v>140</v>
      </c>
      <c r="BX213" s="129">
        <v>2896</v>
      </c>
      <c r="BY213" s="115">
        <v>30.4</v>
      </c>
      <c r="BZ213" s="111">
        <v>9.1999999999999993</v>
      </c>
      <c r="CA213" s="253">
        <v>2.2000000000000001E-3</v>
      </c>
      <c r="CB213" s="110">
        <v>488</v>
      </c>
      <c r="CC213" s="109">
        <v>0</v>
      </c>
      <c r="CD213" s="110">
        <v>615</v>
      </c>
      <c r="CE213" s="104">
        <f t="shared" si="11"/>
        <v>1.6377269139700079E-3</v>
      </c>
      <c r="CF213" s="105">
        <f t="shared" si="9"/>
        <v>0.62</v>
      </c>
    </row>
    <row r="214" spans="1:84" ht="36" x14ac:dyDescent="0.25">
      <c r="A214" s="127">
        <v>213</v>
      </c>
      <c r="B214" s="107"/>
      <c r="C214" s="108" t="s">
        <v>434</v>
      </c>
      <c r="D214" s="132">
        <v>2257</v>
      </c>
      <c r="E214" s="129">
        <v>3621</v>
      </c>
      <c r="F214" s="111">
        <f t="shared" si="10"/>
        <v>8172597</v>
      </c>
      <c r="G214" s="129">
        <v>141</v>
      </c>
      <c r="H214" s="129">
        <v>2897</v>
      </c>
      <c r="I214" s="130">
        <v>0.62</v>
      </c>
      <c r="J214" s="160">
        <v>19.2</v>
      </c>
      <c r="K214" s="242">
        <v>17.899999999999999</v>
      </c>
      <c r="L214" s="115">
        <v>53.9</v>
      </c>
      <c r="M214" s="116">
        <v>0.47</v>
      </c>
      <c r="N214" s="111">
        <v>4.8</v>
      </c>
      <c r="O214" s="117" t="s">
        <v>206</v>
      </c>
      <c r="P214" s="118" t="s">
        <v>216</v>
      </c>
      <c r="Q214" s="248">
        <v>5.0000000000000001E-4</v>
      </c>
      <c r="R214" s="253">
        <v>2.9999999999999997E-4</v>
      </c>
      <c r="S214" s="253">
        <v>1.1999999999999999E-3</v>
      </c>
      <c r="T214" s="110">
        <v>488</v>
      </c>
      <c r="U214" s="121">
        <v>1207</v>
      </c>
      <c r="V214" s="248">
        <v>1E-4</v>
      </c>
      <c r="W214" s="110">
        <v>615</v>
      </c>
      <c r="X214" s="121">
        <v>1354</v>
      </c>
      <c r="Y214" s="122">
        <v>0</v>
      </c>
      <c r="Z214" s="122">
        <v>1</v>
      </c>
      <c r="AA214" s="113">
        <v>1.8</v>
      </c>
      <c r="AB214" s="111">
        <v>7.4</v>
      </c>
      <c r="AC214" s="114">
        <v>4.2</v>
      </c>
      <c r="AD214" s="123">
        <v>0.22</v>
      </c>
      <c r="AE214" s="124">
        <v>0.38</v>
      </c>
      <c r="AF214" s="125">
        <v>0.38</v>
      </c>
      <c r="AG214" s="123">
        <v>0.06</v>
      </c>
      <c r="AH214" s="123">
        <v>0</v>
      </c>
      <c r="AI214" s="124">
        <v>0.44</v>
      </c>
      <c r="AJ214" s="125">
        <v>0.34</v>
      </c>
      <c r="AK214" s="123">
        <v>0.16</v>
      </c>
      <c r="AL214" s="123">
        <v>0</v>
      </c>
      <c r="AM214" s="124">
        <v>0.5</v>
      </c>
      <c r="AN214" s="125">
        <v>0</v>
      </c>
      <c r="AO214" s="123">
        <v>0.09</v>
      </c>
      <c r="AP214" s="123">
        <v>0</v>
      </c>
      <c r="AQ214" s="124">
        <v>0.09</v>
      </c>
      <c r="AR214" s="125">
        <v>0.62</v>
      </c>
      <c r="AS214" s="123">
        <v>7.0000000000000007E-2</v>
      </c>
      <c r="AT214" s="123">
        <v>0</v>
      </c>
      <c r="AU214" s="124">
        <v>0.56000000000000005</v>
      </c>
      <c r="AV214" s="125">
        <v>0.23</v>
      </c>
      <c r="AW214" s="123">
        <v>0.14000000000000001</v>
      </c>
      <c r="AX214" s="123">
        <v>0</v>
      </c>
      <c r="AY214" s="124">
        <v>0.37</v>
      </c>
      <c r="AZ214" s="125">
        <v>0.21</v>
      </c>
      <c r="BA214" s="123">
        <v>0.64</v>
      </c>
      <c r="BB214" s="123">
        <v>0</v>
      </c>
      <c r="BC214" s="124">
        <v>0.85</v>
      </c>
      <c r="BD214" s="126">
        <v>0.49</v>
      </c>
      <c r="BE214" s="125">
        <v>0.61</v>
      </c>
      <c r="BF214" s="123">
        <v>0</v>
      </c>
      <c r="BG214" s="123">
        <v>0</v>
      </c>
      <c r="BH214" s="124">
        <v>0.61</v>
      </c>
      <c r="BI214" s="125">
        <v>0.38</v>
      </c>
      <c r="BJ214" s="123">
        <v>0.09</v>
      </c>
      <c r="BK214" s="123">
        <v>0</v>
      </c>
      <c r="BL214" s="124">
        <v>0.47</v>
      </c>
      <c r="BM214" s="125">
        <v>0.87</v>
      </c>
      <c r="BN214" s="123">
        <v>0.77</v>
      </c>
      <c r="BO214" s="123">
        <v>4.2</v>
      </c>
      <c r="BP214" s="123">
        <v>0.68</v>
      </c>
      <c r="BQ214" s="123">
        <v>1.04</v>
      </c>
      <c r="BR214" s="123">
        <v>0.45</v>
      </c>
      <c r="BS214" s="123">
        <v>0.79</v>
      </c>
      <c r="BT214" s="123">
        <v>0.63</v>
      </c>
      <c r="BU214" s="124">
        <v>0.83</v>
      </c>
      <c r="BV214" s="79">
        <v>8172597</v>
      </c>
      <c r="BW214" s="129">
        <v>141</v>
      </c>
      <c r="BX214" s="129">
        <v>2897</v>
      </c>
      <c r="BY214" s="115">
        <v>53.9</v>
      </c>
      <c r="BZ214" s="111">
        <v>4.8</v>
      </c>
      <c r="CA214" s="253">
        <v>1.1999999999999999E-3</v>
      </c>
      <c r="CB214" s="110">
        <v>488</v>
      </c>
      <c r="CC214" s="248">
        <v>1E-4</v>
      </c>
      <c r="CD214" s="110">
        <v>615</v>
      </c>
      <c r="CE214" s="104">
        <f t="shared" si="11"/>
        <v>1.2339367871811594E-3</v>
      </c>
      <c r="CF214" s="105">
        <f t="shared" si="9"/>
        <v>0.38</v>
      </c>
    </row>
    <row r="215" spans="1:84" ht="36" x14ac:dyDescent="0.25">
      <c r="A215" s="106">
        <v>214</v>
      </c>
      <c r="B215" s="107"/>
      <c r="C215" s="108" t="s">
        <v>435</v>
      </c>
      <c r="D215" s="109">
        <v>2257</v>
      </c>
      <c r="E215" s="110">
        <v>3622</v>
      </c>
      <c r="F215" s="111">
        <f t="shared" si="10"/>
        <v>8174854</v>
      </c>
      <c r="G215" s="110">
        <v>140</v>
      </c>
      <c r="H215" s="110">
        <v>2898</v>
      </c>
      <c r="I215" s="112">
        <v>0.62</v>
      </c>
      <c r="J215" s="160">
        <v>19.2</v>
      </c>
      <c r="K215" s="161">
        <v>17.899999999999999</v>
      </c>
      <c r="L215" s="115">
        <v>53.9</v>
      </c>
      <c r="M215" s="116">
        <v>0.47</v>
      </c>
      <c r="N215" s="111">
        <v>4.8</v>
      </c>
      <c r="O215" s="117" t="s">
        <v>206</v>
      </c>
      <c r="P215" s="118" t="s">
        <v>216</v>
      </c>
      <c r="Q215" s="248">
        <v>5.0000000000000001E-4</v>
      </c>
      <c r="R215" s="253">
        <v>2.9999999999999997E-4</v>
      </c>
      <c r="S215" s="253">
        <v>1.1999999999999999E-3</v>
      </c>
      <c r="T215" s="110">
        <v>488</v>
      </c>
      <c r="U215" s="121">
        <v>1207</v>
      </c>
      <c r="V215" s="248">
        <v>1E-4</v>
      </c>
      <c r="W215" s="110">
        <v>615</v>
      </c>
      <c r="X215" s="121">
        <v>1354</v>
      </c>
      <c r="Y215" s="122">
        <v>0</v>
      </c>
      <c r="Z215" s="122">
        <v>1</v>
      </c>
      <c r="AA215" s="113">
        <v>1.9</v>
      </c>
      <c r="AB215" s="111">
        <v>9.1</v>
      </c>
      <c r="AC215" s="114">
        <v>4.8</v>
      </c>
      <c r="AD215" s="123">
        <v>0.27</v>
      </c>
      <c r="AE215" s="124">
        <v>0.43</v>
      </c>
      <c r="AF215" s="125">
        <v>0.38</v>
      </c>
      <c r="AG215" s="123">
        <v>0.06</v>
      </c>
      <c r="AH215" s="123">
        <v>0</v>
      </c>
      <c r="AI215" s="124">
        <v>0.44</v>
      </c>
      <c r="AJ215" s="125">
        <v>0.34</v>
      </c>
      <c r="AK215" s="123">
        <v>0.16</v>
      </c>
      <c r="AL215" s="123">
        <v>0</v>
      </c>
      <c r="AM215" s="124">
        <v>0.5</v>
      </c>
      <c r="AN215" s="125">
        <v>0</v>
      </c>
      <c r="AO215" s="123">
        <v>0.09</v>
      </c>
      <c r="AP215" s="123">
        <v>0</v>
      </c>
      <c r="AQ215" s="124">
        <v>0.09</v>
      </c>
      <c r="AR215" s="125">
        <v>0.62</v>
      </c>
      <c r="AS215" s="123">
        <v>7.0000000000000007E-2</v>
      </c>
      <c r="AT215" s="123">
        <v>0</v>
      </c>
      <c r="AU215" s="124">
        <v>0.56000000000000005</v>
      </c>
      <c r="AV215" s="125">
        <v>0.23</v>
      </c>
      <c r="AW215" s="123">
        <v>0.14000000000000001</v>
      </c>
      <c r="AX215" s="123">
        <v>0</v>
      </c>
      <c r="AY215" s="124">
        <v>0.37</v>
      </c>
      <c r="AZ215" s="125">
        <v>0.21</v>
      </c>
      <c r="BA215" s="123">
        <v>0.65</v>
      </c>
      <c r="BB215" s="123">
        <v>0</v>
      </c>
      <c r="BC215" s="124">
        <v>0.85</v>
      </c>
      <c r="BD215" s="126">
        <v>0.49</v>
      </c>
      <c r="BE215" s="125">
        <v>0.61</v>
      </c>
      <c r="BF215" s="123">
        <v>0</v>
      </c>
      <c r="BG215" s="123">
        <v>0</v>
      </c>
      <c r="BH215" s="124">
        <v>0.61</v>
      </c>
      <c r="BI215" s="125">
        <v>0.38</v>
      </c>
      <c r="BJ215" s="123">
        <v>0.09</v>
      </c>
      <c r="BK215" s="123">
        <v>0</v>
      </c>
      <c r="BL215" s="124">
        <v>0.47</v>
      </c>
      <c r="BM215" s="125">
        <v>0.97</v>
      </c>
      <c r="BN215" s="123">
        <v>0.86</v>
      </c>
      <c r="BO215" s="123">
        <v>4.63</v>
      </c>
      <c r="BP215" s="123">
        <v>0.76</v>
      </c>
      <c r="BQ215" s="123">
        <v>1.1499999999999999</v>
      </c>
      <c r="BR215" s="123">
        <v>0.5</v>
      </c>
      <c r="BS215" s="123">
        <v>0.88</v>
      </c>
      <c r="BT215" s="123">
        <v>0.7</v>
      </c>
      <c r="BU215" s="124">
        <v>0.92</v>
      </c>
      <c r="BV215" s="79">
        <v>8174854</v>
      </c>
      <c r="BW215" s="110">
        <v>140</v>
      </c>
      <c r="BX215" s="110">
        <v>2898</v>
      </c>
      <c r="BY215" s="115">
        <v>53.9</v>
      </c>
      <c r="BZ215" s="111">
        <v>4.8</v>
      </c>
      <c r="CA215" s="253">
        <v>1.1999999999999999E-3</v>
      </c>
      <c r="CB215" s="110">
        <v>488</v>
      </c>
      <c r="CC215" s="248">
        <v>1E-4</v>
      </c>
      <c r="CD215" s="110">
        <v>615</v>
      </c>
      <c r="CE215" s="104">
        <f t="shared" si="11"/>
        <v>1.3804527885146326E-3</v>
      </c>
      <c r="CF215" s="105">
        <f t="shared" si="9"/>
        <v>0.43</v>
      </c>
    </row>
    <row r="216" spans="1:84" ht="36" x14ac:dyDescent="0.25">
      <c r="A216" s="106">
        <v>215</v>
      </c>
      <c r="B216" s="107"/>
      <c r="C216" s="108" t="s">
        <v>436</v>
      </c>
      <c r="D216" s="109">
        <v>2253</v>
      </c>
      <c r="E216" s="110">
        <v>3631</v>
      </c>
      <c r="F216" s="111">
        <f t="shared" si="10"/>
        <v>8180643</v>
      </c>
      <c r="G216" s="110">
        <v>140</v>
      </c>
      <c r="H216" s="110">
        <v>2905</v>
      </c>
      <c r="I216" s="112">
        <v>0.62</v>
      </c>
      <c r="J216" s="160">
        <v>19.2</v>
      </c>
      <c r="K216" s="161">
        <v>17.899999999999999</v>
      </c>
      <c r="L216" s="115">
        <v>53.9</v>
      </c>
      <c r="M216" s="116">
        <v>0.47</v>
      </c>
      <c r="N216" s="111">
        <v>4.8</v>
      </c>
      <c r="O216" s="117" t="s">
        <v>206</v>
      </c>
      <c r="P216" s="118" t="s">
        <v>216</v>
      </c>
      <c r="Q216" s="248">
        <v>5.0000000000000001E-4</v>
      </c>
      <c r="R216" s="253">
        <v>4.0000000000000002E-4</v>
      </c>
      <c r="S216" s="253">
        <v>1.2999999999999999E-3</v>
      </c>
      <c r="T216" s="110">
        <v>488</v>
      </c>
      <c r="U216" s="121">
        <v>908</v>
      </c>
      <c r="V216" s="248">
        <v>1E-4</v>
      </c>
      <c r="W216" s="110">
        <v>615</v>
      </c>
      <c r="X216" s="121">
        <v>1352</v>
      </c>
      <c r="Y216" s="122">
        <v>0</v>
      </c>
      <c r="Z216" s="122">
        <v>1</v>
      </c>
      <c r="AA216" s="113">
        <v>2.6</v>
      </c>
      <c r="AB216" s="111">
        <v>10.4</v>
      </c>
      <c r="AC216" s="114">
        <v>4.0999999999999996</v>
      </c>
      <c r="AD216" s="123">
        <v>0.31</v>
      </c>
      <c r="AE216" s="124">
        <v>0.44</v>
      </c>
      <c r="AF216" s="125">
        <v>0.39</v>
      </c>
      <c r="AG216" s="123">
        <v>0.06</v>
      </c>
      <c r="AH216" s="123">
        <v>0</v>
      </c>
      <c r="AI216" s="124">
        <v>0.45</v>
      </c>
      <c r="AJ216" s="125">
        <v>0.34</v>
      </c>
      <c r="AK216" s="123">
        <v>0.16</v>
      </c>
      <c r="AL216" s="123">
        <v>0</v>
      </c>
      <c r="AM216" s="124">
        <v>0.5</v>
      </c>
      <c r="AN216" s="125">
        <v>0</v>
      </c>
      <c r="AO216" s="123">
        <v>0.09</v>
      </c>
      <c r="AP216" s="123">
        <v>0</v>
      </c>
      <c r="AQ216" s="124">
        <v>0.09</v>
      </c>
      <c r="AR216" s="125">
        <v>0.62</v>
      </c>
      <c r="AS216" s="123">
        <v>7.0000000000000007E-2</v>
      </c>
      <c r="AT216" s="123">
        <v>0</v>
      </c>
      <c r="AU216" s="124">
        <v>0.56000000000000005</v>
      </c>
      <c r="AV216" s="125">
        <v>0.23</v>
      </c>
      <c r="AW216" s="123">
        <v>0.15</v>
      </c>
      <c r="AX216" s="123">
        <v>0</v>
      </c>
      <c r="AY216" s="124">
        <v>0.37</v>
      </c>
      <c r="AZ216" s="125">
        <v>0.21</v>
      </c>
      <c r="BA216" s="123">
        <v>0.7</v>
      </c>
      <c r="BB216" s="123">
        <v>0</v>
      </c>
      <c r="BC216" s="124">
        <v>0.91</v>
      </c>
      <c r="BD216" s="126">
        <v>0.49</v>
      </c>
      <c r="BE216" s="125">
        <v>0.62</v>
      </c>
      <c r="BF216" s="123">
        <v>0</v>
      </c>
      <c r="BG216" s="123">
        <v>0</v>
      </c>
      <c r="BH216" s="124">
        <v>0.62</v>
      </c>
      <c r="BI216" s="125">
        <v>0.38</v>
      </c>
      <c r="BJ216" s="123">
        <v>0.09</v>
      </c>
      <c r="BK216" s="123">
        <v>0</v>
      </c>
      <c r="BL216" s="124">
        <v>0.47</v>
      </c>
      <c r="BM216" s="125">
        <v>0.98</v>
      </c>
      <c r="BN216" s="123">
        <v>0.88</v>
      </c>
      <c r="BO216" s="123">
        <v>4.71</v>
      </c>
      <c r="BP216" s="123">
        <v>0.77</v>
      </c>
      <c r="BQ216" s="123">
        <v>1.17</v>
      </c>
      <c r="BR216" s="123">
        <v>0.48</v>
      </c>
      <c r="BS216" s="123">
        <v>0.89</v>
      </c>
      <c r="BT216" s="123">
        <v>0.71</v>
      </c>
      <c r="BU216" s="124">
        <v>0.93</v>
      </c>
      <c r="BV216" s="79">
        <v>8180643</v>
      </c>
      <c r="BW216" s="110">
        <v>140</v>
      </c>
      <c r="BX216" s="110">
        <v>2905</v>
      </c>
      <c r="BY216" s="115">
        <v>53.9</v>
      </c>
      <c r="BZ216" s="111">
        <v>4.8</v>
      </c>
      <c r="CA216" s="253">
        <v>1.2999999999999999E-3</v>
      </c>
      <c r="CB216" s="110">
        <v>488</v>
      </c>
      <c r="CC216" s="248">
        <v>1E-4</v>
      </c>
      <c r="CD216" s="110">
        <v>615</v>
      </c>
      <c r="CE216" s="104">
        <f t="shared" si="11"/>
        <v>1.3967029940590943E-3</v>
      </c>
      <c r="CF216" s="105">
        <f t="shared" si="9"/>
        <v>0.44</v>
      </c>
    </row>
    <row r="217" spans="1:84" ht="36" x14ac:dyDescent="0.25">
      <c r="A217" s="133">
        <v>216</v>
      </c>
      <c r="B217" s="134"/>
      <c r="C217" s="135" t="s">
        <v>437</v>
      </c>
      <c r="D217" s="136">
        <v>2253</v>
      </c>
      <c r="E217" s="137">
        <v>3644</v>
      </c>
      <c r="F217" s="138">
        <f t="shared" si="10"/>
        <v>8209932</v>
      </c>
      <c r="G217" s="137">
        <v>141</v>
      </c>
      <c r="H217" s="137">
        <v>2915</v>
      </c>
      <c r="I217" s="139">
        <v>0.62</v>
      </c>
      <c r="J217" s="169">
        <v>19.2</v>
      </c>
      <c r="K217" s="170">
        <v>17.899999999999999</v>
      </c>
      <c r="L217" s="142">
        <v>53.9</v>
      </c>
      <c r="M217" s="143">
        <v>0.47</v>
      </c>
      <c r="N217" s="138">
        <v>4.8</v>
      </c>
      <c r="O217" s="144" t="s">
        <v>206</v>
      </c>
      <c r="P217" s="145" t="s">
        <v>216</v>
      </c>
      <c r="Q217" s="249">
        <v>5.0000000000000001E-4</v>
      </c>
      <c r="R217" s="254">
        <v>4.0000000000000002E-4</v>
      </c>
      <c r="S217" s="254">
        <v>1.2999999999999999E-3</v>
      </c>
      <c r="T217" s="137">
        <v>488</v>
      </c>
      <c r="U217" s="148">
        <v>911</v>
      </c>
      <c r="V217" s="249">
        <v>1E-4</v>
      </c>
      <c r="W217" s="137">
        <v>615</v>
      </c>
      <c r="X217" s="148">
        <v>1352</v>
      </c>
      <c r="Y217" s="149">
        <v>0</v>
      </c>
      <c r="Z217" s="149">
        <v>1</v>
      </c>
      <c r="AA217" s="140">
        <v>2.6</v>
      </c>
      <c r="AB217" s="138">
        <v>11.7</v>
      </c>
      <c r="AC217" s="141">
        <v>4.5999999999999996</v>
      </c>
      <c r="AD217" s="150">
        <v>0.27</v>
      </c>
      <c r="AE217" s="151">
        <v>0.42</v>
      </c>
      <c r="AF217" s="152">
        <v>0.39</v>
      </c>
      <c r="AG217" s="150">
        <v>0.06</v>
      </c>
      <c r="AH217" s="150">
        <v>0</v>
      </c>
      <c r="AI217" s="151">
        <v>0.45</v>
      </c>
      <c r="AJ217" s="152">
        <v>0.34</v>
      </c>
      <c r="AK217" s="150">
        <v>0.16</v>
      </c>
      <c r="AL217" s="150">
        <v>0</v>
      </c>
      <c r="AM217" s="151">
        <v>0.5</v>
      </c>
      <c r="AN217" s="152">
        <v>0</v>
      </c>
      <c r="AO217" s="150">
        <v>0.09</v>
      </c>
      <c r="AP217" s="150">
        <v>0</v>
      </c>
      <c r="AQ217" s="151">
        <v>0.09</v>
      </c>
      <c r="AR217" s="152">
        <v>0.63</v>
      </c>
      <c r="AS217" s="150">
        <v>7.0000000000000007E-2</v>
      </c>
      <c r="AT217" s="150">
        <v>0</v>
      </c>
      <c r="AU217" s="151">
        <v>0.56999999999999995</v>
      </c>
      <c r="AV217" s="152">
        <v>0.23</v>
      </c>
      <c r="AW217" s="150">
        <v>0.14000000000000001</v>
      </c>
      <c r="AX217" s="150">
        <v>0</v>
      </c>
      <c r="AY217" s="151">
        <v>0.38</v>
      </c>
      <c r="AZ217" s="152">
        <v>0.21</v>
      </c>
      <c r="BA217" s="150">
        <v>0.7</v>
      </c>
      <c r="BB217" s="150">
        <v>0</v>
      </c>
      <c r="BC217" s="151">
        <v>0.91</v>
      </c>
      <c r="BD217" s="153">
        <v>0.49</v>
      </c>
      <c r="BE217" s="152">
        <v>0.62</v>
      </c>
      <c r="BF217" s="150">
        <v>0</v>
      </c>
      <c r="BG217" s="150">
        <v>0</v>
      </c>
      <c r="BH217" s="151">
        <v>0.62</v>
      </c>
      <c r="BI217" s="152">
        <v>0.38</v>
      </c>
      <c r="BJ217" s="150">
        <v>0.09</v>
      </c>
      <c r="BK217" s="150">
        <v>0</v>
      </c>
      <c r="BL217" s="151">
        <v>0.47</v>
      </c>
      <c r="BM217" s="152">
        <v>0.93</v>
      </c>
      <c r="BN217" s="150">
        <v>0.83</v>
      </c>
      <c r="BO217" s="150">
        <v>4.49</v>
      </c>
      <c r="BP217" s="150">
        <v>0.73</v>
      </c>
      <c r="BQ217" s="150">
        <v>1.1100000000000001</v>
      </c>
      <c r="BR217" s="150">
        <v>0.46</v>
      </c>
      <c r="BS217" s="150">
        <v>0.84</v>
      </c>
      <c r="BT217" s="150">
        <v>0.67</v>
      </c>
      <c r="BU217" s="151">
        <v>0.88</v>
      </c>
      <c r="BV217" s="79">
        <v>8209932</v>
      </c>
      <c r="BW217" s="137">
        <v>141</v>
      </c>
      <c r="BX217" s="137">
        <v>2915</v>
      </c>
      <c r="BY217" s="142">
        <v>53.9</v>
      </c>
      <c r="BZ217" s="138">
        <v>4.8</v>
      </c>
      <c r="CA217" s="254">
        <v>1.2999999999999999E-3</v>
      </c>
      <c r="CB217" s="137">
        <v>488</v>
      </c>
      <c r="CC217" s="249">
        <v>1E-4</v>
      </c>
      <c r="CD217" s="137">
        <v>615</v>
      </c>
      <c r="CE217" s="184">
        <f t="shared" si="11"/>
        <v>1.3039991903527415E-3</v>
      </c>
      <c r="CF217" s="185">
        <f t="shared" si="9"/>
        <v>0.42</v>
      </c>
    </row>
    <row r="218" spans="1:84" ht="24" x14ac:dyDescent="0.25">
      <c r="A218" s="83">
        <v>217</v>
      </c>
      <c r="B218" s="84" t="s">
        <v>55</v>
      </c>
      <c r="C218" s="85" t="s">
        <v>438</v>
      </c>
      <c r="D218" s="86">
        <v>1915</v>
      </c>
      <c r="E218" s="87">
        <v>2030</v>
      </c>
      <c r="F218" s="100">
        <f t="shared" si="10"/>
        <v>3887450</v>
      </c>
      <c r="G218" s="87">
        <v>140</v>
      </c>
      <c r="H218" s="87">
        <v>1624</v>
      </c>
      <c r="I218" s="89">
        <v>0.94</v>
      </c>
      <c r="J218" s="93">
        <v>10.26</v>
      </c>
      <c r="K218" s="155">
        <v>17.899999999999999</v>
      </c>
      <c r="L218" s="156">
        <v>27.8</v>
      </c>
      <c r="M218" s="93">
        <v>0.18</v>
      </c>
      <c r="N218" s="100">
        <v>4.29</v>
      </c>
      <c r="O218" s="94" t="s">
        <v>206</v>
      </c>
      <c r="P218" s="95" t="s">
        <v>216</v>
      </c>
      <c r="Q218" s="255">
        <v>2.2000000000000001E-3</v>
      </c>
      <c r="R218" s="87">
        <v>0</v>
      </c>
      <c r="S218" s="251">
        <v>4.4999999999999997E-3</v>
      </c>
      <c r="T218" s="87">
        <v>474</v>
      </c>
      <c r="U218" s="98">
        <v>0</v>
      </c>
      <c r="V218" s="255">
        <v>0</v>
      </c>
      <c r="W218" s="87">
        <v>593</v>
      </c>
      <c r="X218" s="98">
        <v>0</v>
      </c>
      <c r="Y218" s="158">
        <v>0</v>
      </c>
      <c r="Z218" s="99">
        <v>1</v>
      </c>
      <c r="AA218" s="90">
        <v>1.3</v>
      </c>
      <c r="AB218" s="88">
        <v>10</v>
      </c>
      <c r="AC218" s="91">
        <v>7.5</v>
      </c>
      <c r="AD218" s="100">
        <v>0.14000000000000001</v>
      </c>
      <c r="AE218" s="101">
        <v>0.37</v>
      </c>
      <c r="AF218" s="102">
        <v>0.21</v>
      </c>
      <c r="AG218" s="100">
        <v>0</v>
      </c>
      <c r="AH218" s="100">
        <v>0</v>
      </c>
      <c r="AI218" s="101">
        <v>0.21</v>
      </c>
      <c r="AJ218" s="102">
        <v>0.22</v>
      </c>
      <c r="AK218" s="100">
        <v>0.12</v>
      </c>
      <c r="AL218" s="100">
        <v>0</v>
      </c>
      <c r="AM218" s="101">
        <v>0.34</v>
      </c>
      <c r="AN218" s="102">
        <v>0</v>
      </c>
      <c r="AO218" s="100">
        <v>0</v>
      </c>
      <c r="AP218" s="100">
        <v>0</v>
      </c>
      <c r="AQ218" s="101">
        <v>0</v>
      </c>
      <c r="AR218" s="102">
        <v>0.3</v>
      </c>
      <c r="AS218" s="100">
        <v>0</v>
      </c>
      <c r="AT218" s="100">
        <v>0</v>
      </c>
      <c r="AU218" s="101">
        <v>0.3</v>
      </c>
      <c r="AV218" s="102">
        <v>0.11</v>
      </c>
      <c r="AW218" s="100">
        <v>0</v>
      </c>
      <c r="AX218" s="100">
        <v>0</v>
      </c>
      <c r="AY218" s="101">
        <v>0.11</v>
      </c>
      <c r="AZ218" s="102">
        <v>0.19</v>
      </c>
      <c r="BA218" s="100">
        <v>0</v>
      </c>
      <c r="BB218" s="100">
        <v>0</v>
      </c>
      <c r="BC218" s="101">
        <v>0.19</v>
      </c>
      <c r="BD218" s="103">
        <v>0.13</v>
      </c>
      <c r="BE218" s="102">
        <v>0.1</v>
      </c>
      <c r="BF218" s="100">
        <v>0</v>
      </c>
      <c r="BG218" s="100">
        <v>0</v>
      </c>
      <c r="BH218" s="101">
        <v>0.1</v>
      </c>
      <c r="BI218" s="102">
        <v>0.1</v>
      </c>
      <c r="BJ218" s="100">
        <v>0</v>
      </c>
      <c r="BK218" s="100">
        <v>0</v>
      </c>
      <c r="BL218" s="101">
        <v>0.1</v>
      </c>
      <c r="BM218" s="102">
        <v>1.79</v>
      </c>
      <c r="BN218" s="100">
        <v>1.08</v>
      </c>
      <c r="BO218" s="195"/>
      <c r="BP218" s="100">
        <v>1.24</v>
      </c>
      <c r="BQ218" s="100">
        <v>3.36</v>
      </c>
      <c r="BR218" s="100">
        <v>1.95</v>
      </c>
      <c r="BS218" s="100">
        <v>2.79</v>
      </c>
      <c r="BT218" s="100">
        <v>3.64</v>
      </c>
      <c r="BU218" s="101">
        <v>3.85</v>
      </c>
      <c r="BV218" s="79">
        <v>3887450</v>
      </c>
      <c r="BW218" s="87">
        <v>140</v>
      </c>
      <c r="BX218" s="87">
        <v>1624</v>
      </c>
      <c r="BY218" s="156">
        <v>27.8</v>
      </c>
      <c r="BZ218" s="100">
        <v>4.29</v>
      </c>
      <c r="CA218" s="251">
        <v>4.4999999999999997E-3</v>
      </c>
      <c r="CB218" s="87">
        <v>474</v>
      </c>
      <c r="CC218" s="255">
        <v>0</v>
      </c>
      <c r="CD218" s="87">
        <v>593</v>
      </c>
      <c r="CE218" s="104">
        <f t="shared" si="11"/>
        <v>1.2807881773399015E-2</v>
      </c>
      <c r="CF218" s="105">
        <f t="shared" si="9"/>
        <v>0.37</v>
      </c>
    </row>
    <row r="219" spans="1:84" ht="24" x14ac:dyDescent="0.25">
      <c r="A219" s="106">
        <v>218</v>
      </c>
      <c r="B219" s="107"/>
      <c r="C219" s="108" t="s">
        <v>439</v>
      </c>
      <c r="D219" s="109">
        <v>1915</v>
      </c>
      <c r="E219" s="110">
        <v>2030</v>
      </c>
      <c r="F219" s="123">
        <f t="shared" si="10"/>
        <v>3887450</v>
      </c>
      <c r="G219" s="110">
        <v>140</v>
      </c>
      <c r="H219" s="110">
        <v>1624</v>
      </c>
      <c r="I219" s="112">
        <v>0.94</v>
      </c>
      <c r="J219" s="116">
        <v>10.26</v>
      </c>
      <c r="K219" s="161">
        <v>17.899999999999999</v>
      </c>
      <c r="L219" s="162">
        <v>27.8</v>
      </c>
      <c r="M219" s="116">
        <v>0.18</v>
      </c>
      <c r="N219" s="123">
        <v>4.29</v>
      </c>
      <c r="O219" s="117" t="s">
        <v>206</v>
      </c>
      <c r="P219" s="118" t="s">
        <v>216</v>
      </c>
      <c r="Q219" s="248">
        <v>2.2000000000000001E-3</v>
      </c>
      <c r="R219" s="110">
        <v>0</v>
      </c>
      <c r="S219" s="253">
        <v>4.4999999999999997E-3</v>
      </c>
      <c r="T219" s="110">
        <v>474</v>
      </c>
      <c r="U219" s="121">
        <v>0</v>
      </c>
      <c r="V219" s="248">
        <v>2.9999999999999997E-4</v>
      </c>
      <c r="W219" s="110">
        <v>593</v>
      </c>
      <c r="X219" s="121">
        <v>638</v>
      </c>
      <c r="Y219" s="165">
        <v>0.59</v>
      </c>
      <c r="Z219" s="122">
        <v>1</v>
      </c>
      <c r="AA219" s="113">
        <v>1.4</v>
      </c>
      <c r="AB219" s="111">
        <v>8.9</v>
      </c>
      <c r="AC219" s="114">
        <v>6.3</v>
      </c>
      <c r="AD219" s="123">
        <v>0.27</v>
      </c>
      <c r="AE219" s="124">
        <v>0.5</v>
      </c>
      <c r="AF219" s="125">
        <v>0.21</v>
      </c>
      <c r="AG219" s="123">
        <v>0.08</v>
      </c>
      <c r="AH219" s="123">
        <v>0.16</v>
      </c>
      <c r="AI219" s="124">
        <v>0.44</v>
      </c>
      <c r="AJ219" s="125">
        <v>0.4</v>
      </c>
      <c r="AK219" s="123">
        <v>0.12</v>
      </c>
      <c r="AL219" s="123">
        <v>0</v>
      </c>
      <c r="AM219" s="124">
        <v>0.52</v>
      </c>
      <c r="AN219" s="125">
        <v>0</v>
      </c>
      <c r="AO219" s="123">
        <v>0.12</v>
      </c>
      <c r="AP219" s="123">
        <v>0.16</v>
      </c>
      <c r="AQ219" s="124">
        <v>0.28999999999999998</v>
      </c>
      <c r="AR219" s="125">
        <v>0.3</v>
      </c>
      <c r="AS219" s="123">
        <v>0.09</v>
      </c>
      <c r="AT219" s="123">
        <v>0.16</v>
      </c>
      <c r="AU219" s="124">
        <v>0.35</v>
      </c>
      <c r="AV219" s="125">
        <v>0.11</v>
      </c>
      <c r="AW219" s="123">
        <v>0.19</v>
      </c>
      <c r="AX219" s="123">
        <v>0</v>
      </c>
      <c r="AY219" s="124">
        <v>0.3</v>
      </c>
      <c r="AZ219" s="125">
        <v>0.19</v>
      </c>
      <c r="BA219" s="123">
        <v>0.27</v>
      </c>
      <c r="BB219" s="123">
        <v>0.04</v>
      </c>
      <c r="BC219" s="124">
        <v>0.5</v>
      </c>
      <c r="BD219" s="126">
        <v>0.28999999999999998</v>
      </c>
      <c r="BE219" s="125">
        <v>0.1</v>
      </c>
      <c r="BF219" s="123">
        <v>0</v>
      </c>
      <c r="BG219" s="123">
        <v>0.14000000000000001</v>
      </c>
      <c r="BH219" s="124">
        <v>0.25</v>
      </c>
      <c r="BI219" s="125">
        <v>0.1</v>
      </c>
      <c r="BJ219" s="123">
        <v>0.12</v>
      </c>
      <c r="BK219" s="123">
        <v>0.19</v>
      </c>
      <c r="BL219" s="124">
        <v>0.4</v>
      </c>
      <c r="BM219" s="125">
        <v>1.1399999999999999</v>
      </c>
      <c r="BN219" s="123">
        <v>0.97</v>
      </c>
      <c r="BO219" s="123">
        <v>1.74</v>
      </c>
      <c r="BP219" s="123">
        <v>1.43</v>
      </c>
      <c r="BQ219" s="123">
        <v>1.65</v>
      </c>
      <c r="BR219" s="123">
        <v>1</v>
      </c>
      <c r="BS219" s="123">
        <v>1.76</v>
      </c>
      <c r="BT219" s="123">
        <v>2.04</v>
      </c>
      <c r="BU219" s="124">
        <v>1.25</v>
      </c>
      <c r="BV219" s="79">
        <v>3887450</v>
      </c>
      <c r="BW219" s="110">
        <v>140</v>
      </c>
      <c r="BX219" s="110">
        <v>1624</v>
      </c>
      <c r="BY219" s="162">
        <v>27.8</v>
      </c>
      <c r="BZ219" s="123">
        <v>4.29</v>
      </c>
      <c r="CA219" s="253">
        <v>4.4999999999999997E-3</v>
      </c>
      <c r="CB219" s="110">
        <v>474</v>
      </c>
      <c r="CC219" s="248">
        <v>2.9999999999999997E-4</v>
      </c>
      <c r="CD219" s="110">
        <v>593</v>
      </c>
      <c r="CE219" s="104">
        <f t="shared" si="11"/>
        <v>7.1780436312456012E-3</v>
      </c>
      <c r="CF219" s="105">
        <f t="shared" si="9"/>
        <v>0.5</v>
      </c>
    </row>
    <row r="220" spans="1:84" ht="24" x14ac:dyDescent="0.25">
      <c r="A220" s="106">
        <v>219</v>
      </c>
      <c r="B220" s="107"/>
      <c r="C220" s="108" t="s">
        <v>440</v>
      </c>
      <c r="D220" s="109">
        <v>1915</v>
      </c>
      <c r="E220" s="110">
        <v>2030</v>
      </c>
      <c r="F220" s="123">
        <f t="shared" si="10"/>
        <v>3887450</v>
      </c>
      <c r="G220" s="110">
        <v>140</v>
      </c>
      <c r="H220" s="110">
        <v>1624</v>
      </c>
      <c r="I220" s="112">
        <v>0.94</v>
      </c>
      <c r="J220" s="116">
        <v>10.26</v>
      </c>
      <c r="K220" s="161">
        <v>17.899999999999999</v>
      </c>
      <c r="L220" s="162">
        <v>27.8</v>
      </c>
      <c r="M220" s="116">
        <v>0.18</v>
      </c>
      <c r="N220" s="123">
        <v>4.29</v>
      </c>
      <c r="O220" s="117" t="s">
        <v>206</v>
      </c>
      <c r="P220" s="118" t="s">
        <v>216</v>
      </c>
      <c r="Q220" s="248">
        <v>2.2000000000000001E-3</v>
      </c>
      <c r="R220" s="110">
        <v>0</v>
      </c>
      <c r="S220" s="253">
        <v>4.4999999999999997E-3</v>
      </c>
      <c r="T220" s="110">
        <v>474</v>
      </c>
      <c r="U220" s="121">
        <v>0</v>
      </c>
      <c r="V220" s="248">
        <v>2.9999999999999997E-4</v>
      </c>
      <c r="W220" s="110">
        <v>593</v>
      </c>
      <c r="X220" s="121">
        <v>638</v>
      </c>
      <c r="Y220" s="165">
        <v>0.6</v>
      </c>
      <c r="Z220" s="122">
        <v>1</v>
      </c>
      <c r="AA220" s="113">
        <v>1.5</v>
      </c>
      <c r="AB220" s="111">
        <v>9.9</v>
      </c>
      <c r="AC220" s="114">
        <v>6.5</v>
      </c>
      <c r="AD220" s="123">
        <v>0.3</v>
      </c>
      <c r="AE220" s="124">
        <v>0.54</v>
      </c>
      <c r="AF220" s="125">
        <v>0.21</v>
      </c>
      <c r="AG220" s="123">
        <v>0.08</v>
      </c>
      <c r="AH220" s="123">
        <v>0.16</v>
      </c>
      <c r="AI220" s="124">
        <v>0.44</v>
      </c>
      <c r="AJ220" s="125">
        <v>0.4</v>
      </c>
      <c r="AK220" s="123">
        <v>0.12</v>
      </c>
      <c r="AL220" s="123">
        <v>0</v>
      </c>
      <c r="AM220" s="124">
        <v>0.52</v>
      </c>
      <c r="AN220" s="125">
        <v>0</v>
      </c>
      <c r="AO220" s="123">
        <v>0.12</v>
      </c>
      <c r="AP220" s="123">
        <v>0.17</v>
      </c>
      <c r="AQ220" s="124">
        <v>0.28999999999999998</v>
      </c>
      <c r="AR220" s="125">
        <v>0.3</v>
      </c>
      <c r="AS220" s="123">
        <v>0.09</v>
      </c>
      <c r="AT220" s="123">
        <v>0.16</v>
      </c>
      <c r="AU220" s="124">
        <v>0.35</v>
      </c>
      <c r="AV220" s="125">
        <v>0.11</v>
      </c>
      <c r="AW220" s="123">
        <v>0.19</v>
      </c>
      <c r="AX220" s="123">
        <v>0</v>
      </c>
      <c r="AY220" s="124">
        <v>0.3</v>
      </c>
      <c r="AZ220" s="125">
        <v>0.19</v>
      </c>
      <c r="BA220" s="123">
        <v>0.27</v>
      </c>
      <c r="BB220" s="123">
        <v>0.04</v>
      </c>
      <c r="BC220" s="124">
        <v>0.5</v>
      </c>
      <c r="BD220" s="126">
        <v>0.28999999999999998</v>
      </c>
      <c r="BE220" s="125">
        <v>0.1</v>
      </c>
      <c r="BF220" s="123">
        <v>0</v>
      </c>
      <c r="BG220" s="123">
        <v>0.15</v>
      </c>
      <c r="BH220" s="124">
        <v>0.25</v>
      </c>
      <c r="BI220" s="125">
        <v>0.1</v>
      </c>
      <c r="BJ220" s="123">
        <v>0.12</v>
      </c>
      <c r="BK220" s="123">
        <v>0.19</v>
      </c>
      <c r="BL220" s="124">
        <v>0.4</v>
      </c>
      <c r="BM220" s="125">
        <v>1.23</v>
      </c>
      <c r="BN220" s="123">
        <v>1.05</v>
      </c>
      <c r="BO220" s="123">
        <v>1.87</v>
      </c>
      <c r="BP220" s="123">
        <v>1.55</v>
      </c>
      <c r="BQ220" s="123">
        <v>1.79</v>
      </c>
      <c r="BR220" s="123">
        <v>1.08</v>
      </c>
      <c r="BS220" s="123">
        <v>1.91</v>
      </c>
      <c r="BT220" s="123">
        <v>2.2000000000000002</v>
      </c>
      <c r="BU220" s="124">
        <v>1.35</v>
      </c>
      <c r="BV220" s="79">
        <v>3887450</v>
      </c>
      <c r="BW220" s="110">
        <v>140</v>
      </c>
      <c r="BX220" s="110">
        <v>1624</v>
      </c>
      <c r="BY220" s="162">
        <v>27.8</v>
      </c>
      <c r="BZ220" s="123">
        <v>4.29</v>
      </c>
      <c r="CA220" s="253">
        <v>4.4999999999999997E-3</v>
      </c>
      <c r="CB220" s="110">
        <v>474</v>
      </c>
      <c r="CC220" s="248">
        <v>2.9999999999999997E-4</v>
      </c>
      <c r="CD220" s="110">
        <v>593</v>
      </c>
      <c r="CE220" s="104">
        <f t="shared" si="11"/>
        <v>7.7410274454609443E-3</v>
      </c>
      <c r="CF220" s="105">
        <f t="shared" si="9"/>
        <v>0.54</v>
      </c>
    </row>
    <row r="221" spans="1:84" ht="24" x14ac:dyDescent="0.25">
      <c r="A221" s="106">
        <v>220</v>
      </c>
      <c r="B221" s="107"/>
      <c r="C221" s="108" t="s">
        <v>441</v>
      </c>
      <c r="D221" s="109">
        <v>1915</v>
      </c>
      <c r="E221" s="110">
        <v>2030</v>
      </c>
      <c r="F221" s="123">
        <f t="shared" si="10"/>
        <v>3887450</v>
      </c>
      <c r="G221" s="110">
        <v>140</v>
      </c>
      <c r="H221" s="110">
        <v>1624</v>
      </c>
      <c r="I221" s="112">
        <v>0.94</v>
      </c>
      <c r="J221" s="116">
        <v>10.26</v>
      </c>
      <c r="K221" s="161">
        <v>17.899999999999999</v>
      </c>
      <c r="L221" s="162">
        <v>27.8</v>
      </c>
      <c r="M221" s="116">
        <v>0.24</v>
      </c>
      <c r="N221" s="123">
        <v>5.27</v>
      </c>
      <c r="O221" s="117" t="s">
        <v>206</v>
      </c>
      <c r="P221" s="118" t="s">
        <v>216</v>
      </c>
      <c r="Q221" s="248">
        <v>2.2000000000000001E-3</v>
      </c>
      <c r="R221" s="110">
        <v>0</v>
      </c>
      <c r="S221" s="253">
        <v>4.4999999999999997E-3</v>
      </c>
      <c r="T221" s="110">
        <v>474</v>
      </c>
      <c r="U221" s="121">
        <v>0</v>
      </c>
      <c r="V221" s="248">
        <v>4.0000000000000002E-4</v>
      </c>
      <c r="W221" s="110">
        <v>593</v>
      </c>
      <c r="X221" s="121">
        <v>479</v>
      </c>
      <c r="Y221" s="165">
        <v>0</v>
      </c>
      <c r="Z221" s="122">
        <v>1</v>
      </c>
      <c r="AA221" s="113">
        <v>1.2</v>
      </c>
      <c r="AB221" s="111">
        <v>9.9</v>
      </c>
      <c r="AC221" s="114">
        <v>8.1999999999999993</v>
      </c>
      <c r="AD221" s="123">
        <v>0.2</v>
      </c>
      <c r="AE221" s="124">
        <v>0.46</v>
      </c>
      <c r="AF221" s="125">
        <v>0.23</v>
      </c>
      <c r="AG221" s="123">
        <v>0.1</v>
      </c>
      <c r="AH221" s="123">
        <v>0</v>
      </c>
      <c r="AI221" s="124">
        <v>0.33</v>
      </c>
      <c r="AJ221" s="125">
        <v>0.22</v>
      </c>
      <c r="AK221" s="123">
        <v>0.18</v>
      </c>
      <c r="AL221" s="123">
        <v>0</v>
      </c>
      <c r="AM221" s="124">
        <v>0.4</v>
      </c>
      <c r="AN221" s="125">
        <v>0</v>
      </c>
      <c r="AO221" s="123">
        <v>0.17</v>
      </c>
      <c r="AP221" s="123">
        <v>0</v>
      </c>
      <c r="AQ221" s="124">
        <v>0.17</v>
      </c>
      <c r="AR221" s="125">
        <v>0.33</v>
      </c>
      <c r="AS221" s="123">
        <v>0.12</v>
      </c>
      <c r="AT221" s="123">
        <v>0</v>
      </c>
      <c r="AU221" s="124">
        <v>0.39</v>
      </c>
      <c r="AV221" s="125">
        <v>0.12</v>
      </c>
      <c r="AW221" s="123">
        <v>0.26</v>
      </c>
      <c r="AX221" s="123">
        <v>0</v>
      </c>
      <c r="AY221" s="124">
        <v>0.38</v>
      </c>
      <c r="AZ221" s="125">
        <v>0.2</v>
      </c>
      <c r="BA221" s="123">
        <v>0.31</v>
      </c>
      <c r="BB221" s="123">
        <v>0</v>
      </c>
      <c r="BC221" s="124">
        <v>0.51</v>
      </c>
      <c r="BD221" s="126">
        <v>0.32</v>
      </c>
      <c r="BE221" s="125">
        <v>0.13</v>
      </c>
      <c r="BF221" s="123">
        <v>0</v>
      </c>
      <c r="BG221" s="123">
        <v>0</v>
      </c>
      <c r="BH221" s="124">
        <v>0.13</v>
      </c>
      <c r="BI221" s="125">
        <v>0.13</v>
      </c>
      <c r="BJ221" s="123">
        <v>0.16</v>
      </c>
      <c r="BK221" s="123">
        <v>0</v>
      </c>
      <c r="BL221" s="124">
        <v>0.28000000000000003</v>
      </c>
      <c r="BM221" s="125">
        <v>1.38</v>
      </c>
      <c r="BN221" s="123">
        <v>1.1499999999999999</v>
      </c>
      <c r="BO221" s="123">
        <v>2.74</v>
      </c>
      <c r="BP221" s="123">
        <v>1.17</v>
      </c>
      <c r="BQ221" s="123">
        <v>1.2</v>
      </c>
      <c r="BR221" s="123">
        <v>0.9</v>
      </c>
      <c r="BS221" s="123">
        <v>1.44</v>
      </c>
      <c r="BT221" s="123">
        <v>3.38</v>
      </c>
      <c r="BU221" s="124">
        <v>1.61</v>
      </c>
      <c r="BV221" s="79">
        <v>3887450</v>
      </c>
      <c r="BW221" s="110">
        <v>140</v>
      </c>
      <c r="BX221" s="110">
        <v>1624</v>
      </c>
      <c r="BY221" s="162">
        <v>27.8</v>
      </c>
      <c r="BZ221" s="123">
        <v>5.27</v>
      </c>
      <c r="CA221" s="253">
        <v>4.4999999999999997E-3</v>
      </c>
      <c r="CB221" s="110">
        <v>474</v>
      </c>
      <c r="CC221" s="248">
        <v>4.0000000000000002E-4</v>
      </c>
      <c r="CD221" s="110">
        <v>593</v>
      </c>
      <c r="CE221" s="104">
        <f t="shared" si="11"/>
        <v>1.1893033075299084E-2</v>
      </c>
      <c r="CF221" s="105">
        <f t="shared" si="9"/>
        <v>0.46</v>
      </c>
    </row>
    <row r="222" spans="1:84" ht="24" x14ac:dyDescent="0.25">
      <c r="A222" s="106">
        <v>221</v>
      </c>
      <c r="B222" s="107"/>
      <c r="C222" s="108" t="s">
        <v>442</v>
      </c>
      <c r="D222" s="109">
        <v>1915</v>
      </c>
      <c r="E222" s="110">
        <v>2030</v>
      </c>
      <c r="F222" s="123">
        <f t="shared" si="10"/>
        <v>3887450</v>
      </c>
      <c r="G222" s="110">
        <v>140</v>
      </c>
      <c r="H222" s="110">
        <v>1624</v>
      </c>
      <c r="I222" s="112">
        <v>0.94</v>
      </c>
      <c r="J222" s="116">
        <v>10.26</v>
      </c>
      <c r="K222" s="161">
        <v>17.899999999999999</v>
      </c>
      <c r="L222" s="162">
        <v>27.8</v>
      </c>
      <c r="M222" s="116">
        <v>0.24</v>
      </c>
      <c r="N222" s="123">
        <v>5.27</v>
      </c>
      <c r="O222" s="117" t="s">
        <v>206</v>
      </c>
      <c r="P222" s="118" t="s">
        <v>216</v>
      </c>
      <c r="Q222" s="248">
        <v>2.2000000000000001E-3</v>
      </c>
      <c r="R222" s="110">
        <v>0</v>
      </c>
      <c r="S222" s="253">
        <v>4.4999999999999997E-3</v>
      </c>
      <c r="T222" s="110">
        <v>474</v>
      </c>
      <c r="U222" s="121">
        <v>0</v>
      </c>
      <c r="V222" s="248">
        <v>4.0000000000000002E-4</v>
      </c>
      <c r="W222" s="110">
        <v>593</v>
      </c>
      <c r="X222" s="121">
        <v>479</v>
      </c>
      <c r="Y222" s="165">
        <v>0</v>
      </c>
      <c r="Z222" s="122">
        <v>1</v>
      </c>
      <c r="AA222" s="113">
        <v>1.5</v>
      </c>
      <c r="AB222" s="111">
        <v>9.8000000000000007</v>
      </c>
      <c r="AC222" s="114">
        <v>6.6</v>
      </c>
      <c r="AD222" s="123">
        <v>0.22</v>
      </c>
      <c r="AE222" s="124">
        <v>0.5</v>
      </c>
      <c r="AF222" s="125">
        <v>0.23</v>
      </c>
      <c r="AG222" s="123">
        <v>0.1</v>
      </c>
      <c r="AH222" s="123">
        <v>0</v>
      </c>
      <c r="AI222" s="124">
        <v>0.33</v>
      </c>
      <c r="AJ222" s="125">
        <v>0.22</v>
      </c>
      <c r="AK222" s="123">
        <v>0.18</v>
      </c>
      <c r="AL222" s="123">
        <v>0</v>
      </c>
      <c r="AM222" s="124">
        <v>0.4</v>
      </c>
      <c r="AN222" s="125">
        <v>0</v>
      </c>
      <c r="AO222" s="123">
        <v>0.17</v>
      </c>
      <c r="AP222" s="123">
        <v>0</v>
      </c>
      <c r="AQ222" s="124">
        <v>0.17</v>
      </c>
      <c r="AR222" s="125">
        <v>0.33</v>
      </c>
      <c r="AS222" s="123">
        <v>0.12</v>
      </c>
      <c r="AT222" s="123">
        <v>0</v>
      </c>
      <c r="AU222" s="124">
        <v>0.39</v>
      </c>
      <c r="AV222" s="125">
        <v>0.12</v>
      </c>
      <c r="AW222" s="123">
        <v>0.26</v>
      </c>
      <c r="AX222" s="123">
        <v>0</v>
      </c>
      <c r="AY222" s="124">
        <v>0.38</v>
      </c>
      <c r="AZ222" s="125">
        <v>0.2</v>
      </c>
      <c r="BA222" s="123">
        <v>0.31</v>
      </c>
      <c r="BB222" s="123">
        <v>0</v>
      </c>
      <c r="BC222" s="124">
        <v>0.51</v>
      </c>
      <c r="BD222" s="126">
        <v>0.32</v>
      </c>
      <c r="BE222" s="125">
        <v>0.13</v>
      </c>
      <c r="BF222" s="123">
        <v>0</v>
      </c>
      <c r="BG222" s="123">
        <v>0</v>
      </c>
      <c r="BH222" s="124">
        <v>0.13</v>
      </c>
      <c r="BI222" s="125">
        <v>0.13</v>
      </c>
      <c r="BJ222" s="123">
        <v>0.16</v>
      </c>
      <c r="BK222" s="123">
        <v>0</v>
      </c>
      <c r="BL222" s="124">
        <v>0.28000000000000003</v>
      </c>
      <c r="BM222" s="125">
        <v>1.52</v>
      </c>
      <c r="BN222" s="123">
        <v>1.26</v>
      </c>
      <c r="BO222" s="123">
        <v>3.02</v>
      </c>
      <c r="BP222" s="123">
        <v>1.29</v>
      </c>
      <c r="BQ222" s="123">
        <v>1.32</v>
      </c>
      <c r="BR222" s="123">
        <v>0.99</v>
      </c>
      <c r="BS222" s="123">
        <v>1.59</v>
      </c>
      <c r="BT222" s="123">
        <v>3.72</v>
      </c>
      <c r="BU222" s="124">
        <v>1.77</v>
      </c>
      <c r="BV222" s="79">
        <v>3887450</v>
      </c>
      <c r="BW222" s="110">
        <v>140</v>
      </c>
      <c r="BX222" s="110">
        <v>1624</v>
      </c>
      <c r="BY222" s="162">
        <v>27.8</v>
      </c>
      <c r="BZ222" s="123">
        <v>5.27</v>
      </c>
      <c r="CA222" s="253">
        <v>4.4999999999999997E-3</v>
      </c>
      <c r="CB222" s="110">
        <v>474</v>
      </c>
      <c r="CC222" s="248">
        <v>4.0000000000000002E-4</v>
      </c>
      <c r="CD222" s="110">
        <v>593</v>
      </c>
      <c r="CE222" s="104">
        <f t="shared" si="11"/>
        <v>1.3089373680506687E-2</v>
      </c>
      <c r="CF222" s="105">
        <f t="shared" si="9"/>
        <v>0.5</v>
      </c>
    </row>
    <row r="223" spans="1:84" ht="24" x14ac:dyDescent="0.25">
      <c r="A223" s="106">
        <v>222</v>
      </c>
      <c r="B223" s="107"/>
      <c r="C223" s="108" t="s">
        <v>443</v>
      </c>
      <c r="D223" s="109">
        <v>1915</v>
      </c>
      <c r="E223" s="110">
        <v>2030</v>
      </c>
      <c r="F223" s="123">
        <f t="shared" si="10"/>
        <v>3887450</v>
      </c>
      <c r="G223" s="110">
        <v>140</v>
      </c>
      <c r="H223" s="110">
        <v>1624</v>
      </c>
      <c r="I223" s="112">
        <v>0.94</v>
      </c>
      <c r="J223" s="116">
        <v>10.26</v>
      </c>
      <c r="K223" s="161">
        <v>17.899999999999999</v>
      </c>
      <c r="L223" s="162">
        <v>27.8</v>
      </c>
      <c r="M223" s="116">
        <v>0.24</v>
      </c>
      <c r="N223" s="123">
        <v>5.27</v>
      </c>
      <c r="O223" s="117" t="s">
        <v>206</v>
      </c>
      <c r="P223" s="118" t="s">
        <v>216</v>
      </c>
      <c r="Q223" s="248">
        <v>2.2000000000000001E-3</v>
      </c>
      <c r="R223" s="110">
        <v>0</v>
      </c>
      <c r="S223" s="253">
        <v>4.4999999999999997E-3</v>
      </c>
      <c r="T223" s="110">
        <v>474</v>
      </c>
      <c r="U223" s="121">
        <v>0</v>
      </c>
      <c r="V223" s="248">
        <v>4.0000000000000002E-4</v>
      </c>
      <c r="W223" s="110">
        <v>593</v>
      </c>
      <c r="X223" s="121">
        <v>479</v>
      </c>
      <c r="Y223" s="165">
        <v>0.59</v>
      </c>
      <c r="Z223" s="122">
        <v>1</v>
      </c>
      <c r="AA223" s="113">
        <v>1.4</v>
      </c>
      <c r="AB223" s="111">
        <v>7.7</v>
      </c>
      <c r="AC223" s="114">
        <v>5.6</v>
      </c>
      <c r="AD223" s="123">
        <v>0.33</v>
      </c>
      <c r="AE223" s="124">
        <v>0.56999999999999995</v>
      </c>
      <c r="AF223" s="125">
        <v>0.23</v>
      </c>
      <c r="AG223" s="123">
        <v>0.1</v>
      </c>
      <c r="AH223" s="123">
        <v>0.16</v>
      </c>
      <c r="AI223" s="124">
        <v>0.49</v>
      </c>
      <c r="AJ223" s="125">
        <v>0.4</v>
      </c>
      <c r="AK223" s="123">
        <v>0.18</v>
      </c>
      <c r="AL223" s="123">
        <v>0</v>
      </c>
      <c r="AM223" s="124">
        <v>0.56999999999999995</v>
      </c>
      <c r="AN223" s="125">
        <v>0</v>
      </c>
      <c r="AO223" s="123">
        <v>0.17</v>
      </c>
      <c r="AP223" s="123">
        <v>0.17</v>
      </c>
      <c r="AQ223" s="124">
        <v>0.34</v>
      </c>
      <c r="AR223" s="125">
        <v>0.33</v>
      </c>
      <c r="AS223" s="123">
        <v>0.12</v>
      </c>
      <c r="AT223" s="123">
        <v>0.16</v>
      </c>
      <c r="AU223" s="124">
        <v>0.39</v>
      </c>
      <c r="AV223" s="125">
        <v>0.12</v>
      </c>
      <c r="AW223" s="123">
        <v>0.26</v>
      </c>
      <c r="AX223" s="123">
        <v>0</v>
      </c>
      <c r="AY223" s="124">
        <v>0.38</v>
      </c>
      <c r="AZ223" s="125">
        <v>0.2</v>
      </c>
      <c r="BA223" s="123">
        <v>0.31</v>
      </c>
      <c r="BB223" s="123">
        <v>0.04</v>
      </c>
      <c r="BC223" s="124">
        <v>0.55000000000000004</v>
      </c>
      <c r="BD223" s="126">
        <v>0.32</v>
      </c>
      <c r="BE223" s="125">
        <v>0.13</v>
      </c>
      <c r="BF223" s="123">
        <v>0</v>
      </c>
      <c r="BG223" s="123">
        <v>0.14000000000000001</v>
      </c>
      <c r="BH223" s="124">
        <v>0.28000000000000003</v>
      </c>
      <c r="BI223" s="125">
        <v>0.13</v>
      </c>
      <c r="BJ223" s="123">
        <v>0.16</v>
      </c>
      <c r="BK223" s="123">
        <v>0.19</v>
      </c>
      <c r="BL223" s="124">
        <v>0.47</v>
      </c>
      <c r="BM223" s="125">
        <v>1.17</v>
      </c>
      <c r="BN223" s="123">
        <v>1</v>
      </c>
      <c r="BO223" s="123">
        <v>1.69</v>
      </c>
      <c r="BP223" s="123">
        <v>1.47</v>
      </c>
      <c r="BQ223" s="123">
        <v>1.5</v>
      </c>
      <c r="BR223" s="123">
        <v>1.04</v>
      </c>
      <c r="BS223" s="123">
        <v>1.81</v>
      </c>
      <c r="BT223" s="123">
        <v>2.04</v>
      </c>
      <c r="BU223" s="124">
        <v>1.21</v>
      </c>
      <c r="BV223" s="79">
        <v>3887450</v>
      </c>
      <c r="BW223" s="110">
        <v>140</v>
      </c>
      <c r="BX223" s="110">
        <v>1624</v>
      </c>
      <c r="BY223" s="162">
        <v>27.8</v>
      </c>
      <c r="BZ223" s="123">
        <v>5.27</v>
      </c>
      <c r="CA223" s="253">
        <v>4.4999999999999997E-3</v>
      </c>
      <c r="CB223" s="110">
        <v>474</v>
      </c>
      <c r="CC223" s="248">
        <v>4.0000000000000002E-4</v>
      </c>
      <c r="CD223" s="110">
        <v>593</v>
      </c>
      <c r="CE223" s="104">
        <f t="shared" si="11"/>
        <v>7.1780436312456012E-3</v>
      </c>
      <c r="CF223" s="105">
        <f t="shared" si="9"/>
        <v>0.56999999999999995</v>
      </c>
    </row>
    <row r="224" spans="1:84" ht="24" x14ac:dyDescent="0.25">
      <c r="A224" s="106">
        <v>223</v>
      </c>
      <c r="B224" s="107"/>
      <c r="C224" s="108" t="s">
        <v>444</v>
      </c>
      <c r="D224" s="109">
        <v>1915</v>
      </c>
      <c r="E224" s="110">
        <v>2030</v>
      </c>
      <c r="F224" s="123">
        <f t="shared" si="10"/>
        <v>3887450</v>
      </c>
      <c r="G224" s="110">
        <v>140</v>
      </c>
      <c r="H224" s="110">
        <v>1624</v>
      </c>
      <c r="I224" s="112">
        <v>0.94</v>
      </c>
      <c r="J224" s="116">
        <v>10.26</v>
      </c>
      <c r="K224" s="161">
        <v>17.899999999999999</v>
      </c>
      <c r="L224" s="162">
        <v>27.8</v>
      </c>
      <c r="M224" s="116">
        <v>0.24</v>
      </c>
      <c r="N224" s="123">
        <v>5.27</v>
      </c>
      <c r="O224" s="117" t="s">
        <v>206</v>
      </c>
      <c r="P224" s="118" t="s">
        <v>216</v>
      </c>
      <c r="Q224" s="248">
        <v>2.2000000000000001E-3</v>
      </c>
      <c r="R224" s="110">
        <v>0</v>
      </c>
      <c r="S224" s="253">
        <v>4.4999999999999997E-3</v>
      </c>
      <c r="T224" s="110">
        <v>474</v>
      </c>
      <c r="U224" s="121">
        <v>0</v>
      </c>
      <c r="V224" s="248">
        <v>4.0000000000000002E-4</v>
      </c>
      <c r="W224" s="110">
        <v>593</v>
      </c>
      <c r="X224" s="121">
        <v>479</v>
      </c>
      <c r="Y224" s="165">
        <v>0.59</v>
      </c>
      <c r="Z224" s="122">
        <v>1</v>
      </c>
      <c r="AA224" s="113">
        <v>1.5</v>
      </c>
      <c r="AB224" s="111">
        <v>9.5</v>
      </c>
      <c r="AC224" s="114">
        <v>6.2</v>
      </c>
      <c r="AD224" s="123">
        <v>0.34</v>
      </c>
      <c r="AE224" s="124">
        <v>0.61</v>
      </c>
      <c r="AF224" s="125">
        <v>0.23</v>
      </c>
      <c r="AG224" s="123">
        <v>0.1</v>
      </c>
      <c r="AH224" s="123">
        <v>0.16</v>
      </c>
      <c r="AI224" s="124">
        <v>0.49</v>
      </c>
      <c r="AJ224" s="125">
        <v>0.4</v>
      </c>
      <c r="AK224" s="123">
        <v>0.18</v>
      </c>
      <c r="AL224" s="123">
        <v>0</v>
      </c>
      <c r="AM224" s="124">
        <v>0.56999999999999995</v>
      </c>
      <c r="AN224" s="125">
        <v>0</v>
      </c>
      <c r="AO224" s="123">
        <v>0.17</v>
      </c>
      <c r="AP224" s="123">
        <v>0.17</v>
      </c>
      <c r="AQ224" s="124">
        <v>0.34</v>
      </c>
      <c r="AR224" s="125">
        <v>0.33</v>
      </c>
      <c r="AS224" s="123">
        <v>0.12</v>
      </c>
      <c r="AT224" s="123">
        <v>0.16</v>
      </c>
      <c r="AU224" s="124">
        <v>0.39</v>
      </c>
      <c r="AV224" s="125">
        <v>0.12</v>
      </c>
      <c r="AW224" s="123">
        <v>0.26</v>
      </c>
      <c r="AX224" s="123">
        <v>0</v>
      </c>
      <c r="AY224" s="124">
        <v>0.38</v>
      </c>
      <c r="AZ224" s="125">
        <v>0.2</v>
      </c>
      <c r="BA224" s="123">
        <v>0.31</v>
      </c>
      <c r="BB224" s="123">
        <v>0.04</v>
      </c>
      <c r="BC224" s="124">
        <v>0.55000000000000004</v>
      </c>
      <c r="BD224" s="126">
        <v>0.32</v>
      </c>
      <c r="BE224" s="125">
        <v>0.13</v>
      </c>
      <c r="BF224" s="123">
        <v>0</v>
      </c>
      <c r="BG224" s="123">
        <v>0.14000000000000001</v>
      </c>
      <c r="BH224" s="124">
        <v>0.28000000000000003</v>
      </c>
      <c r="BI224" s="125">
        <v>0.13</v>
      </c>
      <c r="BJ224" s="123">
        <v>0.16</v>
      </c>
      <c r="BK224" s="123">
        <v>0.19</v>
      </c>
      <c r="BL224" s="124">
        <v>0.47</v>
      </c>
      <c r="BM224" s="125">
        <v>1.25</v>
      </c>
      <c r="BN224" s="123">
        <v>1.07</v>
      </c>
      <c r="BO224" s="123">
        <v>1.81</v>
      </c>
      <c r="BP224" s="123">
        <v>1.57</v>
      </c>
      <c r="BQ224" s="123">
        <v>1.6</v>
      </c>
      <c r="BR224" s="123">
        <v>1.1100000000000001</v>
      </c>
      <c r="BS224" s="123">
        <v>1.93</v>
      </c>
      <c r="BT224" s="123">
        <v>2.19</v>
      </c>
      <c r="BU224" s="124">
        <v>1.3</v>
      </c>
      <c r="BV224" s="79">
        <v>3887450</v>
      </c>
      <c r="BW224" s="110">
        <v>140</v>
      </c>
      <c r="BX224" s="110">
        <v>1624</v>
      </c>
      <c r="BY224" s="162">
        <v>27.8</v>
      </c>
      <c r="BZ224" s="123">
        <v>5.27</v>
      </c>
      <c r="CA224" s="253">
        <v>4.4999999999999997E-3</v>
      </c>
      <c r="CB224" s="110">
        <v>474</v>
      </c>
      <c r="CC224" s="248">
        <v>4.0000000000000002E-4</v>
      </c>
      <c r="CD224" s="110">
        <v>593</v>
      </c>
      <c r="CE224" s="104">
        <f t="shared" si="11"/>
        <v>7.705840957072484E-3</v>
      </c>
      <c r="CF224" s="105">
        <f t="shared" si="9"/>
        <v>0.61</v>
      </c>
    </row>
    <row r="225" spans="1:84" ht="24" x14ac:dyDescent="0.25">
      <c r="A225" s="106">
        <v>224</v>
      </c>
      <c r="B225" s="107"/>
      <c r="C225" s="108" t="s">
        <v>445</v>
      </c>
      <c r="D225" s="109">
        <v>1915</v>
      </c>
      <c r="E225" s="110">
        <v>2030</v>
      </c>
      <c r="F225" s="123">
        <f t="shared" si="10"/>
        <v>3887450</v>
      </c>
      <c r="G225" s="110">
        <v>140</v>
      </c>
      <c r="H225" s="110">
        <v>1624</v>
      </c>
      <c r="I225" s="112">
        <v>0.94</v>
      </c>
      <c r="J225" s="116">
        <v>10.26</v>
      </c>
      <c r="K225" s="161">
        <v>17.899999999999999</v>
      </c>
      <c r="L225" s="162">
        <v>27.8</v>
      </c>
      <c r="M225" s="116">
        <v>0.3</v>
      </c>
      <c r="N225" s="123">
        <v>4.3600000000000003</v>
      </c>
      <c r="O225" s="117" t="s">
        <v>206</v>
      </c>
      <c r="P225" s="118" t="s">
        <v>216</v>
      </c>
      <c r="Q225" s="248">
        <v>2.2000000000000001E-3</v>
      </c>
      <c r="R225" s="110">
        <v>0</v>
      </c>
      <c r="S225" s="253">
        <v>4.4999999999999997E-3</v>
      </c>
      <c r="T225" s="110">
        <v>474</v>
      </c>
      <c r="U225" s="121">
        <v>0</v>
      </c>
      <c r="V225" s="248">
        <v>5.0000000000000001E-4</v>
      </c>
      <c r="W225" s="110">
        <v>593</v>
      </c>
      <c r="X225" s="121">
        <v>383</v>
      </c>
      <c r="Y225" s="165">
        <v>0.61</v>
      </c>
      <c r="Z225" s="122">
        <v>1</v>
      </c>
      <c r="AA225" s="113">
        <v>1.5</v>
      </c>
      <c r="AB225" s="111">
        <v>9.8000000000000007</v>
      </c>
      <c r="AC225" s="114">
        <v>6.4</v>
      </c>
      <c r="AD225" s="123">
        <v>0.28000000000000003</v>
      </c>
      <c r="AE225" s="124">
        <v>0.53</v>
      </c>
      <c r="AF225" s="125">
        <v>0.21</v>
      </c>
      <c r="AG225" s="123">
        <v>0.13</v>
      </c>
      <c r="AH225" s="123">
        <v>0.16</v>
      </c>
      <c r="AI225" s="124">
        <v>0.5</v>
      </c>
      <c r="AJ225" s="125">
        <v>0.4</v>
      </c>
      <c r="AK225" s="123">
        <v>0.23</v>
      </c>
      <c r="AL225" s="123">
        <v>0</v>
      </c>
      <c r="AM225" s="124">
        <v>0.64</v>
      </c>
      <c r="AN225" s="125">
        <v>0</v>
      </c>
      <c r="AO225" s="123">
        <v>0.21</v>
      </c>
      <c r="AP225" s="123">
        <v>0.17</v>
      </c>
      <c r="AQ225" s="124">
        <v>0.38</v>
      </c>
      <c r="AR225" s="125">
        <v>0.3</v>
      </c>
      <c r="AS225" s="123">
        <v>0.16</v>
      </c>
      <c r="AT225" s="123">
        <v>0.16</v>
      </c>
      <c r="AU225" s="124">
        <v>0.35</v>
      </c>
      <c r="AV225" s="125">
        <v>0.11</v>
      </c>
      <c r="AW225" s="123">
        <v>0.32</v>
      </c>
      <c r="AX225" s="123">
        <v>0</v>
      </c>
      <c r="AY225" s="124">
        <v>0.44</v>
      </c>
      <c r="AZ225" s="125">
        <v>0.19</v>
      </c>
      <c r="BA225" s="123">
        <v>0.35</v>
      </c>
      <c r="BB225" s="123">
        <v>0.04</v>
      </c>
      <c r="BC225" s="124">
        <v>0.57999999999999996</v>
      </c>
      <c r="BD225" s="126">
        <v>0.28999999999999998</v>
      </c>
      <c r="BE225" s="125">
        <v>0.17</v>
      </c>
      <c r="BF225" s="123">
        <v>0</v>
      </c>
      <c r="BG225" s="123">
        <v>0.15</v>
      </c>
      <c r="BH225" s="124">
        <v>0.32</v>
      </c>
      <c r="BI225" s="125">
        <v>0.16</v>
      </c>
      <c r="BJ225" s="123">
        <v>0.19</v>
      </c>
      <c r="BK225" s="123">
        <v>0.19</v>
      </c>
      <c r="BL225" s="124">
        <v>0.55000000000000004</v>
      </c>
      <c r="BM225" s="125">
        <v>1.07</v>
      </c>
      <c r="BN225" s="123">
        <v>0.83</v>
      </c>
      <c r="BO225" s="123">
        <v>1.41</v>
      </c>
      <c r="BP225" s="123">
        <v>1.5</v>
      </c>
      <c r="BQ225" s="123">
        <v>1.22</v>
      </c>
      <c r="BR225" s="123">
        <v>0.91</v>
      </c>
      <c r="BS225" s="123">
        <v>1.84</v>
      </c>
      <c r="BT225" s="123">
        <v>1.67</v>
      </c>
      <c r="BU225" s="124">
        <v>0.97</v>
      </c>
      <c r="BV225" s="79">
        <v>3887450</v>
      </c>
      <c r="BW225" s="110">
        <v>140</v>
      </c>
      <c r="BX225" s="110">
        <v>1624</v>
      </c>
      <c r="BY225" s="162">
        <v>27.8</v>
      </c>
      <c r="BZ225" s="123">
        <v>4.3600000000000003</v>
      </c>
      <c r="CA225" s="253">
        <v>4.4999999999999997E-3</v>
      </c>
      <c r="CB225" s="110">
        <v>474</v>
      </c>
      <c r="CC225" s="248">
        <v>5.0000000000000001E-4</v>
      </c>
      <c r="CD225" s="110">
        <v>593</v>
      </c>
      <c r="CE225" s="104">
        <f t="shared" si="11"/>
        <v>5.8761435608726247E-3</v>
      </c>
      <c r="CF225" s="105">
        <f t="shared" si="9"/>
        <v>0.53</v>
      </c>
    </row>
    <row r="226" spans="1:84" ht="24" x14ac:dyDescent="0.25">
      <c r="A226" s="133">
        <v>225</v>
      </c>
      <c r="B226" s="134"/>
      <c r="C226" s="135" t="s">
        <v>446</v>
      </c>
      <c r="D226" s="136">
        <v>1915</v>
      </c>
      <c r="E226" s="137">
        <v>2030</v>
      </c>
      <c r="F226" s="150">
        <f t="shared" si="10"/>
        <v>3887450</v>
      </c>
      <c r="G226" s="137">
        <v>140</v>
      </c>
      <c r="H226" s="137">
        <v>1624</v>
      </c>
      <c r="I226" s="139">
        <v>0.94</v>
      </c>
      <c r="J226" s="143">
        <v>10.26</v>
      </c>
      <c r="K226" s="170">
        <v>17.899999999999999</v>
      </c>
      <c r="L226" s="186">
        <v>27.8</v>
      </c>
      <c r="M226" s="143">
        <v>0.3</v>
      </c>
      <c r="N226" s="150">
        <v>4.3600000000000003</v>
      </c>
      <c r="O226" s="144" t="s">
        <v>206</v>
      </c>
      <c r="P226" s="145" t="s">
        <v>216</v>
      </c>
      <c r="Q226" s="249">
        <v>2.2000000000000001E-3</v>
      </c>
      <c r="R226" s="137">
        <v>0</v>
      </c>
      <c r="S226" s="254">
        <v>4.4999999999999997E-3</v>
      </c>
      <c r="T226" s="137">
        <v>474</v>
      </c>
      <c r="U226" s="148">
        <v>0</v>
      </c>
      <c r="V226" s="249">
        <v>5.0000000000000001E-4</v>
      </c>
      <c r="W226" s="137">
        <v>593</v>
      </c>
      <c r="X226" s="148">
        <v>383</v>
      </c>
      <c r="Y226" s="172">
        <v>0.61</v>
      </c>
      <c r="Z226" s="149">
        <v>1</v>
      </c>
      <c r="AA226" s="140">
        <v>1.5</v>
      </c>
      <c r="AB226" s="138">
        <v>11.7</v>
      </c>
      <c r="AC226" s="141">
        <v>7.8</v>
      </c>
      <c r="AD226" s="150">
        <v>0.28000000000000003</v>
      </c>
      <c r="AE226" s="151">
        <v>0.6</v>
      </c>
      <c r="AF226" s="152">
        <v>0.21</v>
      </c>
      <c r="AG226" s="150">
        <v>0.13</v>
      </c>
      <c r="AH226" s="150">
        <v>0.16</v>
      </c>
      <c r="AI226" s="151">
        <v>0.5</v>
      </c>
      <c r="AJ226" s="152">
        <v>0.4</v>
      </c>
      <c r="AK226" s="150">
        <v>0.23</v>
      </c>
      <c r="AL226" s="150">
        <v>0</v>
      </c>
      <c r="AM226" s="151">
        <v>0.64</v>
      </c>
      <c r="AN226" s="152">
        <v>0</v>
      </c>
      <c r="AO226" s="150">
        <v>0.21</v>
      </c>
      <c r="AP226" s="150">
        <v>0.17</v>
      </c>
      <c r="AQ226" s="151">
        <v>0.38</v>
      </c>
      <c r="AR226" s="152">
        <v>0.3</v>
      </c>
      <c r="AS226" s="150">
        <v>0.16</v>
      </c>
      <c r="AT226" s="150">
        <v>0.16</v>
      </c>
      <c r="AU226" s="151">
        <v>0.35</v>
      </c>
      <c r="AV226" s="152">
        <v>0.11</v>
      </c>
      <c r="AW226" s="150">
        <v>0.32</v>
      </c>
      <c r="AX226" s="150">
        <v>0</v>
      </c>
      <c r="AY226" s="151">
        <v>0.44</v>
      </c>
      <c r="AZ226" s="152">
        <v>0.19</v>
      </c>
      <c r="BA226" s="150">
        <v>0.35</v>
      </c>
      <c r="BB226" s="150">
        <v>0.05</v>
      </c>
      <c r="BC226" s="151">
        <v>0.57999999999999996</v>
      </c>
      <c r="BD226" s="153">
        <v>0.28999999999999998</v>
      </c>
      <c r="BE226" s="152">
        <v>0.17</v>
      </c>
      <c r="BF226" s="150">
        <v>0</v>
      </c>
      <c r="BG226" s="150">
        <v>0.15</v>
      </c>
      <c r="BH226" s="151">
        <v>0.32</v>
      </c>
      <c r="BI226" s="152">
        <v>0.16</v>
      </c>
      <c r="BJ226" s="150">
        <v>0.19</v>
      </c>
      <c r="BK226" s="150">
        <v>0.19</v>
      </c>
      <c r="BL226" s="151">
        <v>0.55000000000000004</v>
      </c>
      <c r="BM226" s="152">
        <v>1.21</v>
      </c>
      <c r="BN226" s="150">
        <v>0.94</v>
      </c>
      <c r="BO226" s="150">
        <v>1.6</v>
      </c>
      <c r="BP226" s="150">
        <v>1.7</v>
      </c>
      <c r="BQ226" s="150">
        <v>1.38</v>
      </c>
      <c r="BR226" s="150">
        <v>1.04</v>
      </c>
      <c r="BS226" s="150">
        <v>2.09</v>
      </c>
      <c r="BT226" s="150">
        <v>1.9</v>
      </c>
      <c r="BU226" s="151">
        <v>1.1000000000000001</v>
      </c>
      <c r="BV226" s="79">
        <v>3887450</v>
      </c>
      <c r="BW226" s="137">
        <v>140</v>
      </c>
      <c r="BX226" s="137">
        <v>1624</v>
      </c>
      <c r="BY226" s="186">
        <v>27.8</v>
      </c>
      <c r="BZ226" s="150">
        <v>4.3600000000000003</v>
      </c>
      <c r="CA226" s="254">
        <v>4.4999999999999997E-3</v>
      </c>
      <c r="CB226" s="137">
        <v>474</v>
      </c>
      <c r="CC226" s="249">
        <v>5.0000000000000001E-4</v>
      </c>
      <c r="CD226" s="137">
        <v>593</v>
      </c>
      <c r="CE226" s="184">
        <f t="shared" si="11"/>
        <v>6.6854327938071778E-3</v>
      </c>
      <c r="CF226" s="185">
        <f t="shared" si="9"/>
        <v>0.6</v>
      </c>
    </row>
    <row r="227" spans="1:84" ht="14.25" hidden="1" customHeight="1" x14ac:dyDescent="0.25">
      <c r="A227" s="83">
        <v>226</v>
      </c>
      <c r="B227" s="84" t="s">
        <v>447</v>
      </c>
      <c r="C227" s="85" t="s">
        <v>448</v>
      </c>
      <c r="D227" s="86">
        <v>1170</v>
      </c>
      <c r="E227" s="87">
        <v>1040</v>
      </c>
      <c r="F227" s="100">
        <f t="shared" si="10"/>
        <v>1216800</v>
      </c>
      <c r="G227" s="256">
        <v>140</v>
      </c>
      <c r="H227" s="87">
        <v>832</v>
      </c>
      <c r="I227" s="89">
        <v>1.1299999999999999</v>
      </c>
      <c r="J227" s="257">
        <v>21.88</v>
      </c>
      <c r="K227" s="155">
        <v>17.899999999999999</v>
      </c>
      <c r="L227" s="156">
        <v>27.8</v>
      </c>
      <c r="M227" s="258">
        <v>0.18</v>
      </c>
      <c r="N227" s="100">
        <v>3.93</v>
      </c>
      <c r="O227" s="94" t="s">
        <v>206</v>
      </c>
      <c r="P227" s="95" t="s">
        <v>207</v>
      </c>
      <c r="Q227" s="255">
        <v>8.0000000000000004E-4</v>
      </c>
      <c r="R227" s="87">
        <v>0</v>
      </c>
      <c r="S227" s="251">
        <v>1.6000000000000001E-3</v>
      </c>
      <c r="T227" s="87">
        <v>420</v>
      </c>
      <c r="U227" s="98">
        <v>1040</v>
      </c>
      <c r="V227" s="86">
        <v>0</v>
      </c>
      <c r="W227" s="87">
        <v>0</v>
      </c>
      <c r="X227" s="98">
        <v>0</v>
      </c>
      <c r="Y227" s="99">
        <v>0</v>
      </c>
      <c r="Z227" s="99">
        <v>1</v>
      </c>
      <c r="AA227" s="90">
        <v>1.4</v>
      </c>
      <c r="AB227" s="88">
        <v>7.1</v>
      </c>
      <c r="AC227" s="91">
        <v>5</v>
      </c>
      <c r="AD227" s="100">
        <v>0.15</v>
      </c>
      <c r="AE227" s="101">
        <v>0.26</v>
      </c>
      <c r="AF227" s="102">
        <v>0.19</v>
      </c>
      <c r="AG227" s="100">
        <v>0</v>
      </c>
      <c r="AH227" s="100">
        <v>0</v>
      </c>
      <c r="AI227" s="101">
        <v>0.19</v>
      </c>
      <c r="AJ227" s="102">
        <v>0.21</v>
      </c>
      <c r="AK227" s="100">
        <v>0</v>
      </c>
      <c r="AL227" s="100">
        <v>0</v>
      </c>
      <c r="AM227" s="101">
        <v>0.21</v>
      </c>
      <c r="AN227" s="102">
        <v>0</v>
      </c>
      <c r="AO227" s="100">
        <v>0</v>
      </c>
      <c r="AP227" s="100">
        <v>0</v>
      </c>
      <c r="AQ227" s="101">
        <v>0</v>
      </c>
      <c r="AR227" s="102">
        <v>0.25</v>
      </c>
      <c r="AS227" s="100">
        <v>0</v>
      </c>
      <c r="AT227" s="100">
        <v>0</v>
      </c>
      <c r="AU227" s="101">
        <v>0.25</v>
      </c>
      <c r="AV227" s="102">
        <v>0.1</v>
      </c>
      <c r="AW227" s="100">
        <v>0</v>
      </c>
      <c r="AX227" s="100">
        <v>0</v>
      </c>
      <c r="AY227" s="101">
        <v>0.1</v>
      </c>
      <c r="AZ227" s="102">
        <v>0.12</v>
      </c>
      <c r="BA227" s="100">
        <v>0</v>
      </c>
      <c r="BB227" s="100">
        <v>0</v>
      </c>
      <c r="BC227" s="101">
        <v>0.12</v>
      </c>
      <c r="BD227" s="103">
        <v>0.12</v>
      </c>
      <c r="BE227" s="102">
        <v>0.08</v>
      </c>
      <c r="BF227" s="100">
        <v>0</v>
      </c>
      <c r="BG227" s="100">
        <v>0</v>
      </c>
      <c r="BH227" s="101">
        <v>0.08</v>
      </c>
      <c r="BI227" s="102">
        <v>0.09</v>
      </c>
      <c r="BJ227" s="100">
        <v>0</v>
      </c>
      <c r="BK227" s="100">
        <v>0</v>
      </c>
      <c r="BL227" s="101">
        <v>0.09</v>
      </c>
      <c r="BM227" s="102">
        <v>1.4</v>
      </c>
      <c r="BN227" s="100">
        <v>1.24</v>
      </c>
      <c r="BO227" s="195"/>
      <c r="BP227" s="100">
        <v>1.02</v>
      </c>
      <c r="BQ227" s="100">
        <v>2.63</v>
      </c>
      <c r="BR227" s="100">
        <v>2.11</v>
      </c>
      <c r="BS227" s="100">
        <v>2.19</v>
      </c>
      <c r="BT227" s="100">
        <v>3.23</v>
      </c>
      <c r="BU227" s="101">
        <v>2.87</v>
      </c>
      <c r="BV227" s="79">
        <v>1216800</v>
      </c>
      <c r="BW227" s="256">
        <v>140</v>
      </c>
      <c r="BX227" s="87">
        <v>832</v>
      </c>
      <c r="BY227" s="156">
        <v>27.8</v>
      </c>
      <c r="BZ227" s="100">
        <v>3.93</v>
      </c>
      <c r="CA227" s="251">
        <v>1.6000000000000001E-3</v>
      </c>
      <c r="CB227" s="87">
        <v>420</v>
      </c>
      <c r="CC227" s="86">
        <v>0</v>
      </c>
      <c r="CD227" s="87">
        <v>0</v>
      </c>
      <c r="CE227" s="104">
        <f t="shared" si="11"/>
        <v>2.2184065934065932E-2</v>
      </c>
      <c r="CF227" s="105">
        <f t="shared" si="9"/>
        <v>0.26</v>
      </c>
    </row>
    <row r="228" spans="1:84" hidden="1" x14ac:dyDescent="0.25">
      <c r="A228" s="106">
        <v>227</v>
      </c>
      <c r="B228" s="107"/>
      <c r="C228" s="108" t="s">
        <v>449</v>
      </c>
      <c r="D228" s="109">
        <v>1170</v>
      </c>
      <c r="E228" s="110">
        <v>1040</v>
      </c>
      <c r="F228" s="123">
        <f t="shared" si="10"/>
        <v>1216800</v>
      </c>
      <c r="G228" s="259">
        <v>140</v>
      </c>
      <c r="H228" s="110">
        <v>832</v>
      </c>
      <c r="I228" s="112">
        <v>1.1299999999999999</v>
      </c>
      <c r="J228" s="260">
        <v>21.88</v>
      </c>
      <c r="K228" s="161">
        <v>17.899999999999999</v>
      </c>
      <c r="L228" s="162">
        <v>27.8</v>
      </c>
      <c r="M228" s="261">
        <v>0.18</v>
      </c>
      <c r="N228" s="123">
        <v>3.93</v>
      </c>
      <c r="O228" s="117" t="s">
        <v>206</v>
      </c>
      <c r="P228" s="118" t="s">
        <v>207</v>
      </c>
      <c r="Q228" s="248">
        <v>8.0000000000000004E-4</v>
      </c>
      <c r="R228" s="110">
        <v>0</v>
      </c>
      <c r="S228" s="253">
        <v>1.6000000000000001E-3</v>
      </c>
      <c r="T228" s="110">
        <v>420</v>
      </c>
      <c r="U228" s="121">
        <v>1040</v>
      </c>
      <c r="V228" s="109">
        <v>0</v>
      </c>
      <c r="W228" s="110">
        <v>0</v>
      </c>
      <c r="X228" s="121">
        <v>0</v>
      </c>
      <c r="Y228" s="122">
        <v>0</v>
      </c>
      <c r="Z228" s="122">
        <v>1</v>
      </c>
      <c r="AA228" s="113">
        <v>0.4</v>
      </c>
      <c r="AB228" s="111">
        <v>8.5</v>
      </c>
      <c r="AC228" s="114">
        <v>23.4</v>
      </c>
      <c r="AD228" s="123">
        <v>0.11</v>
      </c>
      <c r="AE228" s="124">
        <v>0.24</v>
      </c>
      <c r="AF228" s="125">
        <v>0.19</v>
      </c>
      <c r="AG228" s="123">
        <v>0</v>
      </c>
      <c r="AH228" s="123">
        <v>0</v>
      </c>
      <c r="AI228" s="124">
        <v>0.19</v>
      </c>
      <c r="AJ228" s="125">
        <v>0.21</v>
      </c>
      <c r="AK228" s="123">
        <v>0</v>
      </c>
      <c r="AL228" s="123">
        <v>0</v>
      </c>
      <c r="AM228" s="124">
        <v>0.21</v>
      </c>
      <c r="AN228" s="125">
        <v>0</v>
      </c>
      <c r="AO228" s="123">
        <v>0</v>
      </c>
      <c r="AP228" s="123">
        <v>0</v>
      </c>
      <c r="AQ228" s="124">
        <v>0</v>
      </c>
      <c r="AR228" s="125">
        <v>0.25</v>
      </c>
      <c r="AS228" s="123">
        <v>0</v>
      </c>
      <c r="AT228" s="123">
        <v>0</v>
      </c>
      <c r="AU228" s="124">
        <v>0.25</v>
      </c>
      <c r="AV228" s="125">
        <v>0.1</v>
      </c>
      <c r="AW228" s="123">
        <v>0</v>
      </c>
      <c r="AX228" s="123">
        <v>0</v>
      </c>
      <c r="AY228" s="124">
        <v>0.1</v>
      </c>
      <c r="AZ228" s="125">
        <v>0.12</v>
      </c>
      <c r="BA228" s="123">
        <v>0</v>
      </c>
      <c r="BB228" s="123">
        <v>0</v>
      </c>
      <c r="BC228" s="124">
        <v>0.12</v>
      </c>
      <c r="BD228" s="126">
        <v>0.12</v>
      </c>
      <c r="BE228" s="125">
        <v>0.08</v>
      </c>
      <c r="BF228" s="123">
        <v>0</v>
      </c>
      <c r="BG228" s="123">
        <v>0</v>
      </c>
      <c r="BH228" s="124">
        <v>0.08</v>
      </c>
      <c r="BI228" s="125">
        <v>0.09</v>
      </c>
      <c r="BJ228" s="123">
        <v>0</v>
      </c>
      <c r="BK228" s="123">
        <v>0</v>
      </c>
      <c r="BL228" s="124">
        <v>0.09</v>
      </c>
      <c r="BM228" s="125">
        <v>1.3</v>
      </c>
      <c r="BN228" s="123">
        <v>1.1399999999999999</v>
      </c>
      <c r="BO228" s="129"/>
      <c r="BP228" s="123">
        <v>0.95</v>
      </c>
      <c r="BQ228" s="123">
        <v>2.4300000000000002</v>
      </c>
      <c r="BR228" s="123">
        <v>1.95</v>
      </c>
      <c r="BS228" s="123">
        <v>2.02</v>
      </c>
      <c r="BT228" s="123">
        <v>2.98</v>
      </c>
      <c r="BU228" s="124">
        <v>2.65</v>
      </c>
      <c r="BV228" s="79">
        <v>1216800</v>
      </c>
      <c r="BW228" s="259">
        <v>140</v>
      </c>
      <c r="BX228" s="110">
        <v>832</v>
      </c>
      <c r="BY228" s="162">
        <v>27.8</v>
      </c>
      <c r="BZ228" s="123">
        <v>3.93</v>
      </c>
      <c r="CA228" s="253">
        <v>1.6000000000000001E-3</v>
      </c>
      <c r="CB228" s="110">
        <v>420</v>
      </c>
      <c r="CC228" s="109">
        <v>0</v>
      </c>
      <c r="CD228" s="110">
        <v>0</v>
      </c>
      <c r="CE228" s="104">
        <f t="shared" si="11"/>
        <v>2.0467032967032964E-2</v>
      </c>
      <c r="CF228" s="105">
        <f t="shared" si="9"/>
        <v>0.24</v>
      </c>
    </row>
    <row r="229" spans="1:84" hidden="1" x14ac:dyDescent="0.25">
      <c r="A229" s="106">
        <v>228</v>
      </c>
      <c r="B229" s="107"/>
      <c r="C229" s="108" t="s">
        <v>450</v>
      </c>
      <c r="D229" s="109">
        <v>1170</v>
      </c>
      <c r="E229" s="110">
        <v>1040</v>
      </c>
      <c r="F229" s="123">
        <f t="shared" si="10"/>
        <v>1216800</v>
      </c>
      <c r="G229" s="259">
        <v>140</v>
      </c>
      <c r="H229" s="110">
        <v>832</v>
      </c>
      <c r="I229" s="112">
        <v>1.1299999999999999</v>
      </c>
      <c r="J229" s="260">
        <v>21.88</v>
      </c>
      <c r="K229" s="161">
        <v>17.899999999999999</v>
      </c>
      <c r="L229" s="162">
        <v>27.8</v>
      </c>
      <c r="M229" s="261">
        <v>0.48</v>
      </c>
      <c r="N229" s="123">
        <v>6.65</v>
      </c>
      <c r="O229" s="117" t="s">
        <v>215</v>
      </c>
      <c r="P229" s="118" t="s">
        <v>207</v>
      </c>
      <c r="Q229" s="248">
        <v>8.0000000000000004E-4</v>
      </c>
      <c r="R229" s="110">
        <v>0</v>
      </c>
      <c r="S229" s="253">
        <v>1.6000000000000001E-3</v>
      </c>
      <c r="T229" s="110">
        <v>420</v>
      </c>
      <c r="U229" s="121">
        <v>1040</v>
      </c>
      <c r="V229" s="109">
        <v>0</v>
      </c>
      <c r="W229" s="110">
        <v>0</v>
      </c>
      <c r="X229" s="121">
        <v>0</v>
      </c>
      <c r="Y229" s="122">
        <v>0</v>
      </c>
      <c r="Z229" s="122">
        <v>1</v>
      </c>
      <c r="AA229" s="113">
        <v>0.7</v>
      </c>
      <c r="AB229" s="111">
        <v>9.5</v>
      </c>
      <c r="AC229" s="114">
        <v>13.3</v>
      </c>
      <c r="AD229" s="123">
        <v>0.14000000000000001</v>
      </c>
      <c r="AE229" s="124">
        <v>0.34</v>
      </c>
      <c r="AF229" s="125">
        <v>0.48</v>
      </c>
      <c r="AG229" s="123">
        <v>0</v>
      </c>
      <c r="AH229" s="123">
        <v>0</v>
      </c>
      <c r="AI229" s="124">
        <v>0.48</v>
      </c>
      <c r="AJ229" s="125">
        <v>0.21</v>
      </c>
      <c r="AK229" s="123">
        <v>0</v>
      </c>
      <c r="AL229" s="123">
        <v>0</v>
      </c>
      <c r="AM229" s="124">
        <v>0.21</v>
      </c>
      <c r="AN229" s="125">
        <v>0</v>
      </c>
      <c r="AO229" s="123">
        <v>0</v>
      </c>
      <c r="AP229" s="123">
        <v>0</v>
      </c>
      <c r="AQ229" s="124">
        <v>0</v>
      </c>
      <c r="AR229" s="125">
        <v>0.33</v>
      </c>
      <c r="AS229" s="123">
        <v>0</v>
      </c>
      <c r="AT229" s="123">
        <v>0</v>
      </c>
      <c r="AU229" s="124">
        <v>0.33</v>
      </c>
      <c r="AV229" s="125">
        <v>0.26</v>
      </c>
      <c r="AW229" s="123">
        <v>0</v>
      </c>
      <c r="AX229" s="123">
        <v>0</v>
      </c>
      <c r="AY229" s="124">
        <v>0.26</v>
      </c>
      <c r="AZ229" s="125">
        <v>0.14000000000000001</v>
      </c>
      <c r="BA229" s="123">
        <v>0</v>
      </c>
      <c r="BB229" s="123">
        <v>0</v>
      </c>
      <c r="BC229" s="124">
        <v>0.14000000000000001</v>
      </c>
      <c r="BD229" s="126">
        <v>0.15</v>
      </c>
      <c r="BE229" s="125">
        <v>0.21</v>
      </c>
      <c r="BF229" s="123">
        <v>0</v>
      </c>
      <c r="BG229" s="123">
        <v>0</v>
      </c>
      <c r="BH229" s="124">
        <v>0.21</v>
      </c>
      <c r="BI229" s="125">
        <v>0.24</v>
      </c>
      <c r="BJ229" s="123">
        <v>0</v>
      </c>
      <c r="BK229" s="123">
        <v>0</v>
      </c>
      <c r="BL229" s="124">
        <v>0.24</v>
      </c>
      <c r="BM229" s="125">
        <v>0.71</v>
      </c>
      <c r="BN229" s="123">
        <v>1.62</v>
      </c>
      <c r="BO229" s="129"/>
      <c r="BP229" s="123">
        <v>1.03</v>
      </c>
      <c r="BQ229" s="123">
        <v>1.32</v>
      </c>
      <c r="BR229" s="123">
        <v>2.4500000000000002</v>
      </c>
      <c r="BS229" s="123">
        <v>2.2000000000000002</v>
      </c>
      <c r="BT229" s="123">
        <v>1.6</v>
      </c>
      <c r="BU229" s="124">
        <v>1.42</v>
      </c>
      <c r="BV229" s="79">
        <v>1216800</v>
      </c>
      <c r="BW229" s="259">
        <v>140</v>
      </c>
      <c r="BX229" s="110">
        <v>832</v>
      </c>
      <c r="BY229" s="162">
        <v>27.8</v>
      </c>
      <c r="BZ229" s="123">
        <v>6.65</v>
      </c>
      <c r="CA229" s="253">
        <v>1.6000000000000001E-3</v>
      </c>
      <c r="CB229" s="110">
        <v>420</v>
      </c>
      <c r="CC229" s="109">
        <v>0</v>
      </c>
      <c r="CD229" s="110">
        <v>0</v>
      </c>
      <c r="CE229" s="104">
        <f t="shared" si="11"/>
        <v>1.098901098901099E-2</v>
      </c>
      <c r="CF229" s="105">
        <f t="shared" si="9"/>
        <v>0.34</v>
      </c>
    </row>
    <row r="230" spans="1:84" hidden="1" x14ac:dyDescent="0.25">
      <c r="A230" s="106">
        <v>229</v>
      </c>
      <c r="B230" s="107"/>
      <c r="C230" s="108" t="s">
        <v>451</v>
      </c>
      <c r="D230" s="109">
        <v>1170</v>
      </c>
      <c r="E230" s="110">
        <v>1040</v>
      </c>
      <c r="F230" s="123">
        <f t="shared" si="10"/>
        <v>1216800</v>
      </c>
      <c r="G230" s="259">
        <v>140</v>
      </c>
      <c r="H230" s="110">
        <v>832</v>
      </c>
      <c r="I230" s="112">
        <v>1.1299999999999999</v>
      </c>
      <c r="J230" s="260">
        <v>21.88</v>
      </c>
      <c r="K230" s="161">
        <v>17.899999999999999</v>
      </c>
      <c r="L230" s="162">
        <v>27.8</v>
      </c>
      <c r="M230" s="261">
        <v>0.48</v>
      </c>
      <c r="N230" s="123">
        <v>6.65</v>
      </c>
      <c r="O230" s="117" t="s">
        <v>215</v>
      </c>
      <c r="P230" s="118" t="s">
        <v>207</v>
      </c>
      <c r="Q230" s="248">
        <v>8.0000000000000004E-4</v>
      </c>
      <c r="R230" s="110">
        <v>0</v>
      </c>
      <c r="S230" s="253">
        <v>1.6000000000000001E-3</v>
      </c>
      <c r="T230" s="110">
        <v>420</v>
      </c>
      <c r="U230" s="121">
        <v>1040</v>
      </c>
      <c r="V230" s="109">
        <v>0</v>
      </c>
      <c r="W230" s="110">
        <v>0</v>
      </c>
      <c r="X230" s="121">
        <v>0</v>
      </c>
      <c r="Y230" s="122">
        <v>0</v>
      </c>
      <c r="Z230" s="122">
        <v>1</v>
      </c>
      <c r="AA230" s="113">
        <v>3.6</v>
      </c>
      <c r="AB230" s="111">
        <v>5.4</v>
      </c>
      <c r="AC230" s="114">
        <v>1.5</v>
      </c>
      <c r="AD230" s="123">
        <v>0.32</v>
      </c>
      <c r="AE230" s="124">
        <v>0.34</v>
      </c>
      <c r="AF230" s="125">
        <v>0.48</v>
      </c>
      <c r="AG230" s="123">
        <v>0</v>
      </c>
      <c r="AH230" s="123">
        <v>0</v>
      </c>
      <c r="AI230" s="124">
        <v>0.48</v>
      </c>
      <c r="AJ230" s="125">
        <v>0.21</v>
      </c>
      <c r="AK230" s="123">
        <v>0</v>
      </c>
      <c r="AL230" s="123">
        <v>0</v>
      </c>
      <c r="AM230" s="124">
        <v>0.21</v>
      </c>
      <c r="AN230" s="125">
        <v>0.4</v>
      </c>
      <c r="AO230" s="123">
        <v>0</v>
      </c>
      <c r="AP230" s="123">
        <v>0</v>
      </c>
      <c r="AQ230" s="124">
        <v>0.4</v>
      </c>
      <c r="AR230" s="125">
        <v>0.33</v>
      </c>
      <c r="AS230" s="123">
        <v>0</v>
      </c>
      <c r="AT230" s="123">
        <v>0</v>
      </c>
      <c r="AU230" s="124">
        <v>0.33</v>
      </c>
      <c r="AV230" s="125">
        <v>0.26</v>
      </c>
      <c r="AW230" s="123">
        <v>0</v>
      </c>
      <c r="AX230" s="123">
        <v>0</v>
      </c>
      <c r="AY230" s="124">
        <v>0.26</v>
      </c>
      <c r="AZ230" s="125">
        <v>0.14000000000000001</v>
      </c>
      <c r="BA230" s="123">
        <v>0</v>
      </c>
      <c r="BB230" s="123">
        <v>0</v>
      </c>
      <c r="BC230" s="124">
        <v>0.14000000000000001</v>
      </c>
      <c r="BD230" s="126">
        <v>0.15</v>
      </c>
      <c r="BE230" s="125">
        <v>0.21</v>
      </c>
      <c r="BF230" s="123">
        <v>0</v>
      </c>
      <c r="BG230" s="123">
        <v>0</v>
      </c>
      <c r="BH230" s="124">
        <v>0.21</v>
      </c>
      <c r="BI230" s="125">
        <v>0.24</v>
      </c>
      <c r="BJ230" s="123">
        <v>0</v>
      </c>
      <c r="BK230" s="123">
        <v>0</v>
      </c>
      <c r="BL230" s="124">
        <v>0.24</v>
      </c>
      <c r="BM230" s="125">
        <v>0.71</v>
      </c>
      <c r="BN230" s="123">
        <v>1.62</v>
      </c>
      <c r="BO230" s="123">
        <v>0.85</v>
      </c>
      <c r="BP230" s="123">
        <v>1.03</v>
      </c>
      <c r="BQ230" s="123">
        <v>1.32</v>
      </c>
      <c r="BR230" s="123">
        <v>2.4500000000000002</v>
      </c>
      <c r="BS230" s="123">
        <v>2.2000000000000002</v>
      </c>
      <c r="BT230" s="123">
        <v>1.6</v>
      </c>
      <c r="BU230" s="124">
        <v>1.42</v>
      </c>
      <c r="BV230" s="79">
        <v>1216800</v>
      </c>
      <c r="BW230" s="259">
        <v>140</v>
      </c>
      <c r="BX230" s="110">
        <v>832</v>
      </c>
      <c r="BY230" s="162">
        <v>27.8</v>
      </c>
      <c r="BZ230" s="123">
        <v>6.65</v>
      </c>
      <c r="CA230" s="253">
        <v>1.6000000000000001E-3</v>
      </c>
      <c r="CB230" s="110">
        <v>420</v>
      </c>
      <c r="CC230" s="109">
        <v>0</v>
      </c>
      <c r="CD230" s="110">
        <v>0</v>
      </c>
      <c r="CE230" s="104">
        <f t="shared" si="11"/>
        <v>1.098901098901099E-2</v>
      </c>
      <c r="CF230" s="105">
        <f t="shared" si="9"/>
        <v>0.34</v>
      </c>
    </row>
    <row r="231" spans="1:84" hidden="1" x14ac:dyDescent="0.25">
      <c r="A231" s="106">
        <v>230</v>
      </c>
      <c r="B231" s="107"/>
      <c r="C231" s="108" t="s">
        <v>452</v>
      </c>
      <c r="D231" s="109">
        <v>1170</v>
      </c>
      <c r="E231" s="110">
        <v>1040</v>
      </c>
      <c r="F231" s="111">
        <f t="shared" si="10"/>
        <v>1216800</v>
      </c>
      <c r="G231" s="259">
        <v>140</v>
      </c>
      <c r="H231" s="110">
        <v>832</v>
      </c>
      <c r="I231" s="112">
        <v>1.1299999999999999</v>
      </c>
      <c r="J231" s="260">
        <v>21.88</v>
      </c>
      <c r="K231" s="161">
        <v>17.899999999999999</v>
      </c>
      <c r="L231" s="162">
        <v>27.8</v>
      </c>
      <c r="M231" s="261">
        <v>0.5</v>
      </c>
      <c r="N231" s="111">
        <v>6.9</v>
      </c>
      <c r="O231" s="117" t="s">
        <v>215</v>
      </c>
      <c r="P231" s="118" t="s">
        <v>207</v>
      </c>
      <c r="Q231" s="248">
        <v>8.0000000000000004E-4</v>
      </c>
      <c r="R231" s="110">
        <v>0</v>
      </c>
      <c r="S231" s="253">
        <v>1.6000000000000001E-3</v>
      </c>
      <c r="T231" s="110">
        <v>420</v>
      </c>
      <c r="U231" s="121">
        <v>1040</v>
      </c>
      <c r="V231" s="109">
        <v>0</v>
      </c>
      <c r="W231" s="110">
        <v>0</v>
      </c>
      <c r="X231" s="121">
        <v>0</v>
      </c>
      <c r="Y231" s="122">
        <v>0</v>
      </c>
      <c r="Z231" s="122">
        <v>1</v>
      </c>
      <c r="AA231" s="113">
        <v>0.8</v>
      </c>
      <c r="AB231" s="111">
        <v>5.5</v>
      </c>
      <c r="AC231" s="114">
        <v>6.6</v>
      </c>
      <c r="AD231" s="123">
        <v>0.18</v>
      </c>
      <c r="AE231" s="124">
        <v>0.28999999999999998</v>
      </c>
      <c r="AF231" s="125">
        <v>0.49</v>
      </c>
      <c r="AG231" s="123">
        <v>0</v>
      </c>
      <c r="AH231" s="123">
        <v>0</v>
      </c>
      <c r="AI231" s="124">
        <v>0.49</v>
      </c>
      <c r="AJ231" s="125">
        <v>0.21</v>
      </c>
      <c r="AK231" s="123">
        <v>0</v>
      </c>
      <c r="AL231" s="123">
        <v>0</v>
      </c>
      <c r="AM231" s="124">
        <v>0.21</v>
      </c>
      <c r="AN231" s="125">
        <v>0</v>
      </c>
      <c r="AO231" s="123">
        <v>0</v>
      </c>
      <c r="AP231" s="123">
        <v>0</v>
      </c>
      <c r="AQ231" s="124">
        <v>0</v>
      </c>
      <c r="AR231" s="125">
        <v>0.34</v>
      </c>
      <c r="AS231" s="123">
        <v>0</v>
      </c>
      <c r="AT231" s="123">
        <v>0</v>
      </c>
      <c r="AU231" s="124">
        <v>0.34</v>
      </c>
      <c r="AV231" s="125">
        <v>0.26</v>
      </c>
      <c r="AW231" s="123">
        <v>0</v>
      </c>
      <c r="AX231" s="123">
        <v>0</v>
      </c>
      <c r="AY231" s="124">
        <v>0.26</v>
      </c>
      <c r="AZ231" s="125">
        <v>0.14000000000000001</v>
      </c>
      <c r="BA231" s="123">
        <v>0</v>
      </c>
      <c r="BB231" s="123">
        <v>0</v>
      </c>
      <c r="BC231" s="124">
        <v>0.14000000000000001</v>
      </c>
      <c r="BD231" s="126">
        <v>0.16</v>
      </c>
      <c r="BE231" s="125">
        <v>0.22</v>
      </c>
      <c r="BF231" s="123">
        <v>0</v>
      </c>
      <c r="BG231" s="123">
        <v>0</v>
      </c>
      <c r="BH231" s="124">
        <v>0.22</v>
      </c>
      <c r="BI231" s="125">
        <v>0.25</v>
      </c>
      <c r="BJ231" s="123">
        <v>0</v>
      </c>
      <c r="BK231" s="123">
        <v>0</v>
      </c>
      <c r="BL231" s="124">
        <v>0.25</v>
      </c>
      <c r="BM231" s="125">
        <v>0.59</v>
      </c>
      <c r="BN231" s="123">
        <v>1.38</v>
      </c>
      <c r="BO231" s="129"/>
      <c r="BP231" s="123">
        <v>0.86</v>
      </c>
      <c r="BQ231" s="123">
        <v>1.1100000000000001</v>
      </c>
      <c r="BR231" s="123">
        <v>2.0699999999999998</v>
      </c>
      <c r="BS231" s="123">
        <v>1.84</v>
      </c>
      <c r="BT231" s="123">
        <v>1.3</v>
      </c>
      <c r="BU231" s="124">
        <v>1.1599999999999999</v>
      </c>
      <c r="BV231" s="79">
        <v>1216800</v>
      </c>
      <c r="BW231" s="259">
        <v>140</v>
      </c>
      <c r="BX231" s="110">
        <v>832</v>
      </c>
      <c r="BY231" s="162">
        <v>27.8</v>
      </c>
      <c r="BZ231" s="111">
        <v>6.9</v>
      </c>
      <c r="CA231" s="253">
        <v>1.6000000000000001E-3</v>
      </c>
      <c r="CB231" s="110">
        <v>420</v>
      </c>
      <c r="CC231" s="109">
        <v>0</v>
      </c>
      <c r="CD231" s="110">
        <v>0</v>
      </c>
      <c r="CE231" s="104">
        <f t="shared" si="11"/>
        <v>8.9285714285714298E-3</v>
      </c>
      <c r="CF231" s="105">
        <f t="shared" si="9"/>
        <v>0.28999999999999998</v>
      </c>
    </row>
    <row r="232" spans="1:84" hidden="1" x14ac:dyDescent="0.25">
      <c r="A232" s="106">
        <v>231</v>
      </c>
      <c r="B232" s="107"/>
      <c r="C232" s="108" t="s">
        <v>453</v>
      </c>
      <c r="D232" s="109">
        <v>1170</v>
      </c>
      <c r="E232" s="110">
        <v>1040</v>
      </c>
      <c r="F232" s="111">
        <f t="shared" si="10"/>
        <v>1216800</v>
      </c>
      <c r="G232" s="259">
        <v>140</v>
      </c>
      <c r="H232" s="110">
        <v>832</v>
      </c>
      <c r="I232" s="112">
        <v>1.1299999999999999</v>
      </c>
      <c r="J232" s="260">
        <v>21.88</v>
      </c>
      <c r="K232" s="161">
        <v>17.899999999999999</v>
      </c>
      <c r="L232" s="162">
        <v>27.8</v>
      </c>
      <c r="M232" s="261">
        <v>0.5</v>
      </c>
      <c r="N232" s="111">
        <v>6.9</v>
      </c>
      <c r="O232" s="117" t="s">
        <v>215</v>
      </c>
      <c r="P232" s="118" t="s">
        <v>207</v>
      </c>
      <c r="Q232" s="248">
        <v>8.0000000000000004E-4</v>
      </c>
      <c r="R232" s="110">
        <v>0</v>
      </c>
      <c r="S232" s="253">
        <v>1.6000000000000001E-3</v>
      </c>
      <c r="T232" s="110">
        <v>420</v>
      </c>
      <c r="U232" s="121">
        <v>1040</v>
      </c>
      <c r="V232" s="109">
        <v>0</v>
      </c>
      <c r="W232" s="110">
        <v>0</v>
      </c>
      <c r="X232" s="121">
        <v>0</v>
      </c>
      <c r="Y232" s="122">
        <v>0</v>
      </c>
      <c r="Z232" s="122">
        <v>1</v>
      </c>
      <c r="AA232" s="128" t="s">
        <v>418</v>
      </c>
      <c r="AB232" s="111">
        <v>3.3</v>
      </c>
      <c r="AC232" s="118" t="s">
        <v>418</v>
      </c>
      <c r="AD232" s="117" t="s">
        <v>229</v>
      </c>
      <c r="AE232" s="180">
        <v>0.24</v>
      </c>
      <c r="AF232" s="125">
        <v>0.49</v>
      </c>
      <c r="AG232" s="123">
        <v>0</v>
      </c>
      <c r="AH232" s="123">
        <v>0</v>
      </c>
      <c r="AI232" s="124">
        <v>0.49</v>
      </c>
      <c r="AJ232" s="125">
        <v>0.21</v>
      </c>
      <c r="AK232" s="123">
        <v>0</v>
      </c>
      <c r="AL232" s="123">
        <v>0</v>
      </c>
      <c r="AM232" s="124">
        <v>0.21</v>
      </c>
      <c r="AN232" s="125">
        <v>0</v>
      </c>
      <c r="AO232" s="123">
        <v>0</v>
      </c>
      <c r="AP232" s="123">
        <v>0</v>
      </c>
      <c r="AQ232" s="124">
        <v>0</v>
      </c>
      <c r="AR232" s="125">
        <v>0.34</v>
      </c>
      <c r="AS232" s="123">
        <v>0</v>
      </c>
      <c r="AT232" s="123">
        <v>0</v>
      </c>
      <c r="AU232" s="124">
        <v>0.34</v>
      </c>
      <c r="AV232" s="125">
        <v>0.26</v>
      </c>
      <c r="AW232" s="123">
        <v>0</v>
      </c>
      <c r="AX232" s="123">
        <v>0</v>
      </c>
      <c r="AY232" s="124">
        <v>0.26</v>
      </c>
      <c r="AZ232" s="125">
        <v>0.14000000000000001</v>
      </c>
      <c r="BA232" s="123">
        <v>0</v>
      </c>
      <c r="BB232" s="123">
        <v>0</v>
      </c>
      <c r="BC232" s="124">
        <v>0.14000000000000001</v>
      </c>
      <c r="BD232" s="126">
        <v>0.16</v>
      </c>
      <c r="BE232" s="125">
        <v>0.22</v>
      </c>
      <c r="BF232" s="123">
        <v>0</v>
      </c>
      <c r="BG232" s="123">
        <v>0</v>
      </c>
      <c r="BH232" s="124">
        <v>0.22</v>
      </c>
      <c r="BI232" s="125">
        <v>0.25</v>
      </c>
      <c r="BJ232" s="123">
        <v>0</v>
      </c>
      <c r="BK232" s="123">
        <v>0</v>
      </c>
      <c r="BL232" s="124">
        <v>0.25</v>
      </c>
      <c r="BM232" s="125">
        <v>0.49</v>
      </c>
      <c r="BN232" s="123">
        <v>1.1399999999999999</v>
      </c>
      <c r="BO232" s="129"/>
      <c r="BP232" s="123">
        <v>0.71</v>
      </c>
      <c r="BQ232" s="123">
        <v>0.92</v>
      </c>
      <c r="BR232" s="123">
        <v>1.71</v>
      </c>
      <c r="BS232" s="123">
        <v>1.52</v>
      </c>
      <c r="BT232" s="123">
        <v>1.08</v>
      </c>
      <c r="BU232" s="124">
        <v>0.96</v>
      </c>
      <c r="BV232" s="79">
        <v>1216800</v>
      </c>
      <c r="BW232" s="259">
        <v>140</v>
      </c>
      <c r="BX232" s="110">
        <v>832</v>
      </c>
      <c r="BY232" s="162">
        <v>27.8</v>
      </c>
      <c r="BZ232" s="111">
        <v>6.9</v>
      </c>
      <c r="CA232" s="253">
        <v>1.6000000000000001E-3</v>
      </c>
      <c r="CB232" s="110">
        <v>420</v>
      </c>
      <c r="CC232" s="109">
        <v>0</v>
      </c>
      <c r="CD232" s="110">
        <v>0</v>
      </c>
      <c r="CE232" s="104">
        <f t="shared" si="11"/>
        <v>7.4175824175824181E-3</v>
      </c>
      <c r="CF232" s="105">
        <f t="shared" si="9"/>
        <v>0.24</v>
      </c>
    </row>
    <row r="233" spans="1:84" hidden="1" x14ac:dyDescent="0.25">
      <c r="A233" s="106">
        <v>232</v>
      </c>
      <c r="B233" s="107"/>
      <c r="C233" s="108" t="s">
        <v>454</v>
      </c>
      <c r="D233" s="109">
        <v>1170</v>
      </c>
      <c r="E233" s="110">
        <v>1040</v>
      </c>
      <c r="F233" s="123">
        <f t="shared" si="10"/>
        <v>1216800</v>
      </c>
      <c r="G233" s="259">
        <v>140</v>
      </c>
      <c r="H233" s="110">
        <v>832</v>
      </c>
      <c r="I233" s="112">
        <v>1.1299999999999999</v>
      </c>
      <c r="J233" s="260">
        <v>21.88</v>
      </c>
      <c r="K233" s="161">
        <v>17.899999999999999</v>
      </c>
      <c r="L233" s="162">
        <v>27.8</v>
      </c>
      <c r="M233" s="261">
        <v>0.67</v>
      </c>
      <c r="N233" s="123">
        <v>9.2799999999999994</v>
      </c>
      <c r="O233" s="117" t="s">
        <v>215</v>
      </c>
      <c r="P233" s="118" t="s">
        <v>207</v>
      </c>
      <c r="Q233" s="248">
        <v>8.0000000000000004E-4</v>
      </c>
      <c r="R233" s="110">
        <v>0</v>
      </c>
      <c r="S233" s="253">
        <v>1.6000000000000001E-3</v>
      </c>
      <c r="T233" s="110">
        <v>420</v>
      </c>
      <c r="U233" s="121">
        <v>1040</v>
      </c>
      <c r="V233" s="109">
        <v>0</v>
      </c>
      <c r="W233" s="110">
        <v>0</v>
      </c>
      <c r="X233" s="121">
        <v>0</v>
      </c>
      <c r="Y233" s="122">
        <v>0</v>
      </c>
      <c r="Z233" s="122">
        <v>1</v>
      </c>
      <c r="AA233" s="113">
        <v>3.2</v>
      </c>
      <c r="AB233" s="111">
        <v>7.2</v>
      </c>
      <c r="AC233" s="114">
        <v>2.2000000000000002</v>
      </c>
      <c r="AD233" s="123">
        <v>0.25</v>
      </c>
      <c r="AE233" s="124">
        <v>0.28000000000000003</v>
      </c>
      <c r="AF233" s="125">
        <v>0.56999999999999995</v>
      </c>
      <c r="AG233" s="123">
        <v>0</v>
      </c>
      <c r="AH233" s="123">
        <v>0</v>
      </c>
      <c r="AI233" s="124">
        <v>0.56999999999999995</v>
      </c>
      <c r="AJ233" s="125">
        <v>0.21</v>
      </c>
      <c r="AK233" s="123">
        <v>0</v>
      </c>
      <c r="AL233" s="123">
        <v>0</v>
      </c>
      <c r="AM233" s="124">
        <v>0.21</v>
      </c>
      <c r="AN233" s="125">
        <v>0.34</v>
      </c>
      <c r="AO233" s="123">
        <v>0</v>
      </c>
      <c r="AP233" s="123">
        <v>0</v>
      </c>
      <c r="AQ233" s="124">
        <v>0.34</v>
      </c>
      <c r="AR233" s="125">
        <v>0.39</v>
      </c>
      <c r="AS233" s="123">
        <v>0</v>
      </c>
      <c r="AT233" s="123">
        <v>0</v>
      </c>
      <c r="AU233" s="124">
        <v>0.39</v>
      </c>
      <c r="AV233" s="125">
        <v>0.3</v>
      </c>
      <c r="AW233" s="123">
        <v>0</v>
      </c>
      <c r="AX233" s="123">
        <v>0</v>
      </c>
      <c r="AY233" s="124">
        <v>0.3</v>
      </c>
      <c r="AZ233" s="125">
        <v>0.15</v>
      </c>
      <c r="BA233" s="123">
        <v>0</v>
      </c>
      <c r="BB233" s="123">
        <v>0</v>
      </c>
      <c r="BC233" s="124">
        <v>0.15</v>
      </c>
      <c r="BD233" s="126">
        <v>0.18</v>
      </c>
      <c r="BE233" s="125">
        <v>0.3</v>
      </c>
      <c r="BF233" s="123">
        <v>0</v>
      </c>
      <c r="BG233" s="123">
        <v>0</v>
      </c>
      <c r="BH233" s="124">
        <v>0.3</v>
      </c>
      <c r="BI233" s="125">
        <v>0.33</v>
      </c>
      <c r="BJ233" s="123">
        <v>0</v>
      </c>
      <c r="BK233" s="123">
        <v>0</v>
      </c>
      <c r="BL233" s="124">
        <v>0.33</v>
      </c>
      <c r="BM233" s="125">
        <v>0.49</v>
      </c>
      <c r="BN233" s="123">
        <v>1.33</v>
      </c>
      <c r="BO233" s="123">
        <v>0.83</v>
      </c>
      <c r="BP233" s="123">
        <v>0.72</v>
      </c>
      <c r="BQ233" s="123">
        <v>0.92</v>
      </c>
      <c r="BR233" s="123">
        <v>1.82</v>
      </c>
      <c r="BS233" s="123">
        <v>1.53</v>
      </c>
      <c r="BT233" s="123">
        <v>0.94</v>
      </c>
      <c r="BU233" s="124">
        <v>0.84</v>
      </c>
      <c r="BV233" s="79">
        <v>1216800</v>
      </c>
      <c r="BW233" s="259">
        <v>140</v>
      </c>
      <c r="BX233" s="110">
        <v>832</v>
      </c>
      <c r="BY233" s="162">
        <v>27.8</v>
      </c>
      <c r="BZ233" s="123">
        <v>9.2799999999999994</v>
      </c>
      <c r="CA233" s="253">
        <v>1.6000000000000001E-3</v>
      </c>
      <c r="CB233" s="110">
        <v>420</v>
      </c>
      <c r="CC233" s="109">
        <v>0</v>
      </c>
      <c r="CD233" s="110">
        <v>0</v>
      </c>
      <c r="CE233" s="104">
        <f t="shared" si="11"/>
        <v>6.4560439560439557E-3</v>
      </c>
      <c r="CF233" s="105">
        <f t="shared" si="9"/>
        <v>0.28000000000000003</v>
      </c>
    </row>
    <row r="234" spans="1:84" hidden="1" x14ac:dyDescent="0.25">
      <c r="A234" s="133">
        <v>233</v>
      </c>
      <c r="B234" s="134"/>
      <c r="C234" s="135" t="s">
        <v>455</v>
      </c>
      <c r="D234" s="136">
        <v>1170</v>
      </c>
      <c r="E234" s="137">
        <v>1040</v>
      </c>
      <c r="F234" s="150">
        <f t="shared" si="10"/>
        <v>1216800</v>
      </c>
      <c r="G234" s="262">
        <v>140</v>
      </c>
      <c r="H234" s="137">
        <v>832</v>
      </c>
      <c r="I234" s="139">
        <v>1.1299999999999999</v>
      </c>
      <c r="J234" s="263">
        <v>21.88</v>
      </c>
      <c r="K234" s="170">
        <v>17.899999999999999</v>
      </c>
      <c r="L234" s="186">
        <v>27.8</v>
      </c>
      <c r="M234" s="264">
        <v>0.67</v>
      </c>
      <c r="N234" s="150">
        <v>9.2799999999999994</v>
      </c>
      <c r="O234" s="144" t="s">
        <v>215</v>
      </c>
      <c r="P234" s="145" t="s">
        <v>207</v>
      </c>
      <c r="Q234" s="249">
        <v>8.0000000000000004E-4</v>
      </c>
      <c r="R234" s="137">
        <v>0</v>
      </c>
      <c r="S234" s="254">
        <v>1.6000000000000001E-3</v>
      </c>
      <c r="T234" s="137">
        <v>420</v>
      </c>
      <c r="U234" s="148">
        <v>1040</v>
      </c>
      <c r="V234" s="136">
        <v>0</v>
      </c>
      <c r="W234" s="137">
        <v>0</v>
      </c>
      <c r="X234" s="148">
        <v>0</v>
      </c>
      <c r="Y234" s="149">
        <v>0</v>
      </c>
      <c r="Z234" s="149">
        <v>1</v>
      </c>
      <c r="AA234" s="140">
        <v>1.7</v>
      </c>
      <c r="AB234" s="138">
        <v>6.2</v>
      </c>
      <c r="AC234" s="141">
        <v>3.7</v>
      </c>
      <c r="AD234" s="150">
        <v>0.2</v>
      </c>
      <c r="AE234" s="151">
        <v>0.31</v>
      </c>
      <c r="AF234" s="152">
        <v>0.56999999999999995</v>
      </c>
      <c r="AG234" s="150">
        <v>0</v>
      </c>
      <c r="AH234" s="150">
        <v>0</v>
      </c>
      <c r="AI234" s="151">
        <v>0.56999999999999995</v>
      </c>
      <c r="AJ234" s="152">
        <v>0.21</v>
      </c>
      <c r="AK234" s="150">
        <v>0</v>
      </c>
      <c r="AL234" s="150">
        <v>0</v>
      </c>
      <c r="AM234" s="151">
        <v>0.21</v>
      </c>
      <c r="AN234" s="152">
        <v>0.06</v>
      </c>
      <c r="AO234" s="150">
        <v>0</v>
      </c>
      <c r="AP234" s="150">
        <v>0</v>
      </c>
      <c r="AQ234" s="151">
        <v>0.06</v>
      </c>
      <c r="AR234" s="152">
        <v>0.39</v>
      </c>
      <c r="AS234" s="150">
        <v>0</v>
      </c>
      <c r="AT234" s="150">
        <v>0</v>
      </c>
      <c r="AU234" s="151">
        <v>0.39</v>
      </c>
      <c r="AV234" s="152">
        <v>0.3</v>
      </c>
      <c r="AW234" s="150">
        <v>0</v>
      </c>
      <c r="AX234" s="150">
        <v>0</v>
      </c>
      <c r="AY234" s="151">
        <v>0.3</v>
      </c>
      <c r="AZ234" s="152">
        <v>0.15</v>
      </c>
      <c r="BA234" s="150">
        <v>0</v>
      </c>
      <c r="BB234" s="150">
        <v>0</v>
      </c>
      <c r="BC234" s="151">
        <v>0.15</v>
      </c>
      <c r="BD234" s="153">
        <v>0.18</v>
      </c>
      <c r="BE234" s="152">
        <v>0.3</v>
      </c>
      <c r="BF234" s="150">
        <v>0</v>
      </c>
      <c r="BG234" s="150">
        <v>0</v>
      </c>
      <c r="BH234" s="151">
        <v>0.3</v>
      </c>
      <c r="BI234" s="152">
        <v>0.33</v>
      </c>
      <c r="BJ234" s="150">
        <v>0</v>
      </c>
      <c r="BK234" s="150">
        <v>0</v>
      </c>
      <c r="BL234" s="151">
        <v>0.33</v>
      </c>
      <c r="BM234" s="152">
        <v>0.54</v>
      </c>
      <c r="BN234" s="150">
        <v>1.48</v>
      </c>
      <c r="BO234" s="150">
        <v>5.56</v>
      </c>
      <c r="BP234" s="150">
        <v>0.8</v>
      </c>
      <c r="BQ234" s="150">
        <v>1.02</v>
      </c>
      <c r="BR234" s="150">
        <v>2.02</v>
      </c>
      <c r="BS234" s="150">
        <v>1.7</v>
      </c>
      <c r="BT234" s="150">
        <v>1.04</v>
      </c>
      <c r="BU234" s="151">
        <v>0.93</v>
      </c>
      <c r="BV234" s="79">
        <v>1216800</v>
      </c>
      <c r="BW234" s="262">
        <v>140</v>
      </c>
      <c r="BX234" s="137">
        <v>832</v>
      </c>
      <c r="BY234" s="186">
        <v>27.8</v>
      </c>
      <c r="BZ234" s="150">
        <v>9.2799999999999994</v>
      </c>
      <c r="CA234" s="254">
        <v>1.6000000000000001E-3</v>
      </c>
      <c r="CB234" s="137">
        <v>420</v>
      </c>
      <c r="CC234" s="136">
        <v>0</v>
      </c>
      <c r="CD234" s="137">
        <v>0</v>
      </c>
      <c r="CE234" s="104">
        <f t="shared" si="11"/>
        <v>7.1428571428571426E-3</v>
      </c>
      <c r="CF234" s="105">
        <f t="shared" si="9"/>
        <v>0.31</v>
      </c>
    </row>
    <row r="235" spans="1:84" ht="24" customHeight="1" x14ac:dyDescent="0.25">
      <c r="A235" s="83">
        <v>234</v>
      </c>
      <c r="B235" s="84" t="s">
        <v>456</v>
      </c>
      <c r="C235" s="85" t="s">
        <v>457</v>
      </c>
      <c r="D235" s="86">
        <v>1000</v>
      </c>
      <c r="E235" s="87">
        <v>1050</v>
      </c>
      <c r="F235" s="100">
        <f t="shared" si="10"/>
        <v>1050000</v>
      </c>
      <c r="G235" s="256">
        <v>140</v>
      </c>
      <c r="H235" s="87">
        <v>840</v>
      </c>
      <c r="I235" s="89">
        <v>0.95</v>
      </c>
      <c r="J235" s="257">
        <v>21.88</v>
      </c>
      <c r="K235" s="155">
        <v>17.899999999999999</v>
      </c>
      <c r="L235" s="156">
        <v>27.8</v>
      </c>
      <c r="M235" s="258">
        <v>1.01</v>
      </c>
      <c r="N235" s="100">
        <v>16.97</v>
      </c>
      <c r="O235" s="94" t="s">
        <v>206</v>
      </c>
      <c r="P235" s="95" t="s">
        <v>216</v>
      </c>
      <c r="Q235" s="255">
        <v>1.4E-3</v>
      </c>
      <c r="R235" s="87">
        <v>0</v>
      </c>
      <c r="S235" s="97">
        <v>2.7399999999999998E-3</v>
      </c>
      <c r="T235" s="87">
        <v>420</v>
      </c>
      <c r="U235" s="98">
        <v>1050</v>
      </c>
      <c r="V235" s="255">
        <v>5.9999999999999995E-4</v>
      </c>
      <c r="W235" s="87">
        <v>500</v>
      </c>
      <c r="X235" s="98">
        <v>400</v>
      </c>
      <c r="Y235" s="99">
        <v>0</v>
      </c>
      <c r="Z235" s="99">
        <v>1</v>
      </c>
      <c r="AA235" s="90">
        <v>2.2000000000000002</v>
      </c>
      <c r="AB235" s="88">
        <v>13.1</v>
      </c>
      <c r="AC235" s="91">
        <v>6</v>
      </c>
      <c r="AD235" s="100">
        <v>0.2</v>
      </c>
      <c r="AE235" s="101">
        <v>0.48</v>
      </c>
      <c r="AF235" s="102">
        <v>0.38</v>
      </c>
      <c r="AG235" s="100">
        <v>0.12</v>
      </c>
      <c r="AH235" s="100">
        <v>0</v>
      </c>
      <c r="AI235" s="101">
        <v>0.5</v>
      </c>
      <c r="AJ235" s="102">
        <v>0.21</v>
      </c>
      <c r="AK235" s="100">
        <v>0.32</v>
      </c>
      <c r="AL235" s="100">
        <v>0</v>
      </c>
      <c r="AM235" s="101">
        <v>0.53</v>
      </c>
      <c r="AN235" s="102">
        <v>0</v>
      </c>
      <c r="AO235" s="100">
        <v>0.19</v>
      </c>
      <c r="AP235" s="100">
        <v>0</v>
      </c>
      <c r="AQ235" s="101">
        <v>0.19</v>
      </c>
      <c r="AR235" s="102">
        <v>0.55000000000000004</v>
      </c>
      <c r="AS235" s="100">
        <v>0.14000000000000001</v>
      </c>
      <c r="AT235" s="100">
        <v>0</v>
      </c>
      <c r="AU235" s="101">
        <v>0.66</v>
      </c>
      <c r="AV235" s="102">
        <v>0.21</v>
      </c>
      <c r="AW235" s="100">
        <v>0.3</v>
      </c>
      <c r="AX235" s="100">
        <v>0</v>
      </c>
      <c r="AY235" s="101">
        <v>0.5</v>
      </c>
      <c r="AZ235" s="102">
        <v>0.25</v>
      </c>
      <c r="BA235" s="100">
        <v>0.32</v>
      </c>
      <c r="BB235" s="100">
        <v>0</v>
      </c>
      <c r="BC235" s="101">
        <v>0.56999999999999995</v>
      </c>
      <c r="BD235" s="103">
        <v>0.52</v>
      </c>
      <c r="BE235" s="102">
        <v>0.53</v>
      </c>
      <c r="BF235" s="100">
        <v>0</v>
      </c>
      <c r="BG235" s="100">
        <v>0</v>
      </c>
      <c r="BH235" s="101">
        <v>0.53</v>
      </c>
      <c r="BI235" s="102">
        <v>0.51</v>
      </c>
      <c r="BJ235" s="100">
        <v>0.18</v>
      </c>
      <c r="BK235" s="100">
        <v>0</v>
      </c>
      <c r="BL235" s="101">
        <v>0.68</v>
      </c>
      <c r="BM235" s="102">
        <v>0.96</v>
      </c>
      <c r="BN235" s="100">
        <v>0.91</v>
      </c>
      <c r="BO235" s="100">
        <v>2.57</v>
      </c>
      <c r="BP235" s="100">
        <v>0.73</v>
      </c>
      <c r="BQ235" s="100">
        <v>0.97</v>
      </c>
      <c r="BR235" s="100">
        <v>0.85</v>
      </c>
      <c r="BS235" s="100">
        <v>0.93</v>
      </c>
      <c r="BT235" s="100">
        <v>0.91</v>
      </c>
      <c r="BU235" s="101">
        <v>0.71</v>
      </c>
      <c r="BV235" s="79">
        <v>1050000</v>
      </c>
      <c r="BW235" s="256">
        <v>140</v>
      </c>
      <c r="BX235" s="87">
        <v>840</v>
      </c>
      <c r="BY235" s="156">
        <v>27.8</v>
      </c>
      <c r="BZ235" s="100">
        <v>16.97</v>
      </c>
      <c r="CA235" s="97">
        <v>2.7399999999999998E-3</v>
      </c>
      <c r="CB235" s="87">
        <v>420</v>
      </c>
      <c r="CC235" s="255">
        <v>5.9999999999999995E-4</v>
      </c>
      <c r="CD235" s="87">
        <v>500</v>
      </c>
      <c r="CE235" s="104">
        <f t="shared" si="11"/>
        <v>6.1904761904761907E-3</v>
      </c>
      <c r="CF235" s="105">
        <f t="shared" si="9"/>
        <v>0.48</v>
      </c>
    </row>
    <row r="236" spans="1:84" ht="24" x14ac:dyDescent="0.25">
      <c r="A236" s="106">
        <v>235</v>
      </c>
      <c r="B236" s="107"/>
      <c r="C236" s="108" t="s">
        <v>458</v>
      </c>
      <c r="D236" s="109">
        <v>1000</v>
      </c>
      <c r="E236" s="110">
        <v>1050</v>
      </c>
      <c r="F236" s="123">
        <f t="shared" si="10"/>
        <v>1050000</v>
      </c>
      <c r="G236" s="259">
        <v>140</v>
      </c>
      <c r="H236" s="110">
        <v>840</v>
      </c>
      <c r="I236" s="112">
        <v>0.95</v>
      </c>
      <c r="J236" s="260">
        <v>21.88</v>
      </c>
      <c r="K236" s="161">
        <v>17.899999999999999</v>
      </c>
      <c r="L236" s="162">
        <v>27.8</v>
      </c>
      <c r="M236" s="261">
        <v>1.01</v>
      </c>
      <c r="N236" s="123">
        <v>16.97</v>
      </c>
      <c r="O236" s="117" t="s">
        <v>206</v>
      </c>
      <c r="P236" s="118" t="s">
        <v>216</v>
      </c>
      <c r="Q236" s="248">
        <v>1.4E-3</v>
      </c>
      <c r="R236" s="110">
        <v>0</v>
      </c>
      <c r="S236" s="120">
        <v>2.7399999999999998E-3</v>
      </c>
      <c r="T236" s="110">
        <v>420</v>
      </c>
      <c r="U236" s="121">
        <v>1050</v>
      </c>
      <c r="V236" s="248">
        <v>1.1999999999999999E-3</v>
      </c>
      <c r="W236" s="110">
        <v>500</v>
      </c>
      <c r="X236" s="121">
        <v>200</v>
      </c>
      <c r="Y236" s="122">
        <v>0</v>
      </c>
      <c r="Z236" s="122">
        <v>1</v>
      </c>
      <c r="AA236" s="113">
        <v>1.8</v>
      </c>
      <c r="AB236" s="111">
        <v>15</v>
      </c>
      <c r="AC236" s="114">
        <v>8.3000000000000007</v>
      </c>
      <c r="AD236" s="123">
        <v>0.2</v>
      </c>
      <c r="AE236" s="124">
        <v>0.65</v>
      </c>
      <c r="AF236" s="125">
        <v>0.38</v>
      </c>
      <c r="AG236" s="123">
        <v>0.24</v>
      </c>
      <c r="AH236" s="123">
        <v>0</v>
      </c>
      <c r="AI236" s="124">
        <v>0.62</v>
      </c>
      <c r="AJ236" s="125">
        <v>0.21</v>
      </c>
      <c r="AK236" s="123">
        <v>0.53</v>
      </c>
      <c r="AL236" s="123">
        <v>0</v>
      </c>
      <c r="AM236" s="124">
        <v>0.74</v>
      </c>
      <c r="AN236" s="125">
        <v>0</v>
      </c>
      <c r="AO236" s="123">
        <v>0.38</v>
      </c>
      <c r="AP236" s="123">
        <v>0</v>
      </c>
      <c r="AQ236" s="124">
        <v>0.38</v>
      </c>
      <c r="AR236" s="125">
        <v>0.55000000000000004</v>
      </c>
      <c r="AS236" s="123">
        <v>0.28999999999999998</v>
      </c>
      <c r="AT236" s="123">
        <v>0</v>
      </c>
      <c r="AU236" s="124">
        <v>0.66</v>
      </c>
      <c r="AV236" s="125">
        <v>0.21</v>
      </c>
      <c r="AW236" s="123">
        <v>0.6</v>
      </c>
      <c r="AX236" s="123">
        <v>0</v>
      </c>
      <c r="AY236" s="124">
        <v>0.8</v>
      </c>
      <c r="AZ236" s="125">
        <v>0.25</v>
      </c>
      <c r="BA236" s="123">
        <v>0.46</v>
      </c>
      <c r="BB236" s="123">
        <v>0</v>
      </c>
      <c r="BC236" s="124">
        <v>0.71</v>
      </c>
      <c r="BD236" s="126">
        <v>0.52</v>
      </c>
      <c r="BE236" s="125">
        <v>0.53</v>
      </c>
      <c r="BF236" s="123">
        <v>0</v>
      </c>
      <c r="BG236" s="123">
        <v>0</v>
      </c>
      <c r="BH236" s="124">
        <v>0.53</v>
      </c>
      <c r="BI236" s="125">
        <v>0.51</v>
      </c>
      <c r="BJ236" s="123">
        <v>0.36</v>
      </c>
      <c r="BK236" s="123">
        <v>0</v>
      </c>
      <c r="BL236" s="124">
        <v>0.86</v>
      </c>
      <c r="BM236" s="125">
        <v>1.04</v>
      </c>
      <c r="BN236" s="123">
        <v>0.87</v>
      </c>
      <c r="BO236" s="123">
        <v>1.7</v>
      </c>
      <c r="BP236" s="123">
        <v>0.98</v>
      </c>
      <c r="BQ236" s="123">
        <v>0.81</v>
      </c>
      <c r="BR236" s="123">
        <v>0.91</v>
      </c>
      <c r="BS236" s="123">
        <v>1.24</v>
      </c>
      <c r="BT236" s="123">
        <v>1.22</v>
      </c>
      <c r="BU236" s="124">
        <v>0.75</v>
      </c>
      <c r="BV236" s="79">
        <v>1050000</v>
      </c>
      <c r="BW236" s="259">
        <v>140</v>
      </c>
      <c r="BX236" s="110">
        <v>840</v>
      </c>
      <c r="BY236" s="162">
        <v>27.8</v>
      </c>
      <c r="BZ236" s="123">
        <v>16.97</v>
      </c>
      <c r="CA236" s="120">
        <v>2.7399999999999998E-3</v>
      </c>
      <c r="CB236" s="110">
        <v>420</v>
      </c>
      <c r="CC236" s="248">
        <v>1.1999999999999999E-3</v>
      </c>
      <c r="CD236" s="110">
        <v>500</v>
      </c>
      <c r="CE236" s="104">
        <f t="shared" si="11"/>
        <v>8.2993197278911565E-3</v>
      </c>
      <c r="CF236" s="105">
        <f t="shared" si="9"/>
        <v>0.65</v>
      </c>
    </row>
    <row r="237" spans="1:84" ht="24" hidden="1" x14ac:dyDescent="0.25">
      <c r="A237" s="106">
        <v>236</v>
      </c>
      <c r="B237" s="107"/>
      <c r="C237" s="108" t="s">
        <v>459</v>
      </c>
      <c r="D237" s="109">
        <v>1000</v>
      </c>
      <c r="E237" s="110">
        <v>1050</v>
      </c>
      <c r="F237" s="123">
        <f t="shared" si="10"/>
        <v>1050000</v>
      </c>
      <c r="G237" s="259">
        <v>140</v>
      </c>
      <c r="H237" s="110">
        <v>840</v>
      </c>
      <c r="I237" s="112">
        <v>0.95</v>
      </c>
      <c r="J237" s="260">
        <v>21.88</v>
      </c>
      <c r="K237" s="161">
        <v>17.899999999999999</v>
      </c>
      <c r="L237" s="162">
        <v>27.8</v>
      </c>
      <c r="M237" s="261">
        <v>0.68</v>
      </c>
      <c r="N237" s="123">
        <v>9.41</v>
      </c>
      <c r="O237" s="117" t="s">
        <v>215</v>
      </c>
      <c r="P237" s="118" t="s">
        <v>216</v>
      </c>
      <c r="Q237" s="248">
        <v>2.5999999999999999E-3</v>
      </c>
      <c r="R237" s="110">
        <v>0</v>
      </c>
      <c r="S237" s="120">
        <v>5.1700000000000001E-3</v>
      </c>
      <c r="T237" s="110">
        <v>420</v>
      </c>
      <c r="U237" s="121">
        <v>1050</v>
      </c>
      <c r="V237" s="109">
        <v>0</v>
      </c>
      <c r="W237" s="110">
        <v>0</v>
      </c>
      <c r="X237" s="118" t="s">
        <v>418</v>
      </c>
      <c r="Y237" s="122">
        <v>0</v>
      </c>
      <c r="Z237" s="122">
        <v>1</v>
      </c>
      <c r="AA237" s="113">
        <v>2.4</v>
      </c>
      <c r="AB237" s="111">
        <v>3.1</v>
      </c>
      <c r="AC237" s="114">
        <v>1.3</v>
      </c>
      <c r="AD237" s="123">
        <v>0.6</v>
      </c>
      <c r="AE237" s="124">
        <v>0.62</v>
      </c>
      <c r="AF237" s="125">
        <v>0.56999999999999995</v>
      </c>
      <c r="AG237" s="123">
        <v>0</v>
      </c>
      <c r="AH237" s="123">
        <v>0</v>
      </c>
      <c r="AI237" s="124">
        <v>0.56999999999999995</v>
      </c>
      <c r="AJ237" s="125">
        <v>0.21</v>
      </c>
      <c r="AK237" s="123">
        <v>0</v>
      </c>
      <c r="AL237" s="123">
        <v>0</v>
      </c>
      <c r="AM237" s="124">
        <v>0.21</v>
      </c>
      <c r="AN237" s="125">
        <v>0.59</v>
      </c>
      <c r="AO237" s="123">
        <v>0</v>
      </c>
      <c r="AP237" s="123">
        <v>0</v>
      </c>
      <c r="AQ237" s="124">
        <v>0.59</v>
      </c>
      <c r="AR237" s="125">
        <v>0.41</v>
      </c>
      <c r="AS237" s="123">
        <v>0</v>
      </c>
      <c r="AT237" s="123">
        <v>0</v>
      </c>
      <c r="AU237" s="124">
        <v>0.41</v>
      </c>
      <c r="AV237" s="125">
        <v>0.31</v>
      </c>
      <c r="AW237" s="123">
        <v>0</v>
      </c>
      <c r="AX237" s="123">
        <v>0</v>
      </c>
      <c r="AY237" s="124">
        <v>0.31</v>
      </c>
      <c r="AZ237" s="125">
        <v>0.23</v>
      </c>
      <c r="BA237" s="123">
        <v>0</v>
      </c>
      <c r="BB237" s="123">
        <v>0</v>
      </c>
      <c r="BC237" s="124">
        <v>0.23</v>
      </c>
      <c r="BD237" s="126">
        <v>0.18</v>
      </c>
      <c r="BE237" s="125">
        <v>0.36</v>
      </c>
      <c r="BF237" s="123">
        <v>0</v>
      </c>
      <c r="BG237" s="123">
        <v>0</v>
      </c>
      <c r="BH237" s="124">
        <v>0.36</v>
      </c>
      <c r="BI237" s="125">
        <v>0.34</v>
      </c>
      <c r="BJ237" s="123">
        <v>0</v>
      </c>
      <c r="BK237" s="123">
        <v>0</v>
      </c>
      <c r="BL237" s="124">
        <v>0.34</v>
      </c>
      <c r="BM237" s="125">
        <v>1.08</v>
      </c>
      <c r="BN237" s="123">
        <v>2.95</v>
      </c>
      <c r="BO237" s="123">
        <v>1.05</v>
      </c>
      <c r="BP237" s="123">
        <v>1.51</v>
      </c>
      <c r="BQ237" s="123">
        <v>2.0299999999999998</v>
      </c>
      <c r="BR237" s="123">
        <v>2.73</v>
      </c>
      <c r="BS237" s="123">
        <v>3.37</v>
      </c>
      <c r="BT237" s="123">
        <v>1.75</v>
      </c>
      <c r="BU237" s="124">
        <v>1.83</v>
      </c>
      <c r="BV237" s="79">
        <v>1050000</v>
      </c>
      <c r="BW237" s="259">
        <v>140</v>
      </c>
      <c r="BX237" s="110">
        <v>840</v>
      </c>
      <c r="BY237" s="162">
        <v>27.8</v>
      </c>
      <c r="BZ237" s="123">
        <v>9.41</v>
      </c>
      <c r="CA237" s="120">
        <v>5.1700000000000001E-3</v>
      </c>
      <c r="CB237" s="110">
        <v>420</v>
      </c>
      <c r="CC237" s="109">
        <v>0</v>
      </c>
      <c r="CD237" s="110">
        <v>0</v>
      </c>
      <c r="CE237" s="104">
        <f t="shared" si="11"/>
        <v>1.1904761904761906E-2</v>
      </c>
      <c r="CF237" s="105">
        <f t="shared" si="9"/>
        <v>0.62</v>
      </c>
    </row>
    <row r="238" spans="1:84" ht="24" hidden="1" x14ac:dyDescent="0.25">
      <c r="A238" s="106">
        <v>237</v>
      </c>
      <c r="B238" s="107"/>
      <c r="C238" s="108" t="s">
        <v>460</v>
      </c>
      <c r="D238" s="109">
        <v>1000</v>
      </c>
      <c r="E238" s="110">
        <v>1050</v>
      </c>
      <c r="F238" s="123">
        <f t="shared" si="10"/>
        <v>1050000</v>
      </c>
      <c r="G238" s="259">
        <v>140</v>
      </c>
      <c r="H238" s="110">
        <v>840</v>
      </c>
      <c r="I238" s="112">
        <v>0.95</v>
      </c>
      <c r="J238" s="260">
        <v>21.88</v>
      </c>
      <c r="K238" s="161">
        <v>17.899999999999999</v>
      </c>
      <c r="L238" s="162">
        <v>27.8</v>
      </c>
      <c r="M238" s="261">
        <v>0.68</v>
      </c>
      <c r="N238" s="123">
        <v>9.41</v>
      </c>
      <c r="O238" s="117" t="s">
        <v>215</v>
      </c>
      <c r="P238" s="118" t="s">
        <v>216</v>
      </c>
      <c r="Q238" s="248">
        <v>2.5999999999999999E-3</v>
      </c>
      <c r="R238" s="110">
        <v>0</v>
      </c>
      <c r="S238" s="120">
        <v>5.1700000000000001E-3</v>
      </c>
      <c r="T238" s="110">
        <v>420</v>
      </c>
      <c r="U238" s="121">
        <v>1050</v>
      </c>
      <c r="V238" s="248">
        <v>6.9999999999999999E-4</v>
      </c>
      <c r="W238" s="110">
        <v>280</v>
      </c>
      <c r="X238" s="121">
        <v>300</v>
      </c>
      <c r="Y238" s="122">
        <v>0</v>
      </c>
      <c r="Z238" s="122">
        <v>1</v>
      </c>
      <c r="AA238" s="128" t="s">
        <v>418</v>
      </c>
      <c r="AB238" s="111">
        <v>3.6</v>
      </c>
      <c r="AC238" s="118" t="s">
        <v>418</v>
      </c>
      <c r="AD238" s="117" t="s">
        <v>229</v>
      </c>
      <c r="AE238" s="180">
        <v>0.65</v>
      </c>
      <c r="AF238" s="125">
        <v>0.56999999999999995</v>
      </c>
      <c r="AG238" s="123">
        <v>0.08</v>
      </c>
      <c r="AH238" s="123">
        <v>0</v>
      </c>
      <c r="AI238" s="124">
        <v>0.65</v>
      </c>
      <c r="AJ238" s="125">
        <v>0.21</v>
      </c>
      <c r="AK238" s="123">
        <v>0.2</v>
      </c>
      <c r="AL238" s="123">
        <v>0</v>
      </c>
      <c r="AM238" s="124">
        <v>0.41</v>
      </c>
      <c r="AN238" s="125">
        <v>0</v>
      </c>
      <c r="AO238" s="123">
        <v>0.12</v>
      </c>
      <c r="AP238" s="123">
        <v>0</v>
      </c>
      <c r="AQ238" s="124">
        <v>0.12</v>
      </c>
      <c r="AR238" s="125">
        <v>0.41</v>
      </c>
      <c r="AS238" s="123">
        <v>0.09</v>
      </c>
      <c r="AT238" s="123">
        <v>0</v>
      </c>
      <c r="AU238" s="124">
        <v>0.5</v>
      </c>
      <c r="AV238" s="125">
        <v>0.31</v>
      </c>
      <c r="AW238" s="123">
        <v>0.19</v>
      </c>
      <c r="AX238" s="123">
        <v>0</v>
      </c>
      <c r="AY238" s="124">
        <v>0.49</v>
      </c>
      <c r="AZ238" s="125">
        <v>0.23</v>
      </c>
      <c r="BA238" s="123">
        <v>0.26</v>
      </c>
      <c r="BB238" s="123">
        <v>0</v>
      </c>
      <c r="BC238" s="124">
        <v>0.48</v>
      </c>
      <c r="BD238" s="126">
        <v>0.4</v>
      </c>
      <c r="BE238" s="125">
        <v>0.36</v>
      </c>
      <c r="BF238" s="123">
        <v>0</v>
      </c>
      <c r="BG238" s="123">
        <v>0</v>
      </c>
      <c r="BH238" s="124">
        <v>0.36</v>
      </c>
      <c r="BI238" s="125">
        <v>0.34</v>
      </c>
      <c r="BJ238" s="123">
        <v>0.11</v>
      </c>
      <c r="BK238" s="123">
        <v>0</v>
      </c>
      <c r="BL238" s="124">
        <v>0.45</v>
      </c>
      <c r="BM238" s="125">
        <v>1</v>
      </c>
      <c r="BN238" s="123">
        <v>1.57</v>
      </c>
      <c r="BO238" s="123">
        <v>5.41</v>
      </c>
      <c r="BP238" s="123">
        <v>1.3</v>
      </c>
      <c r="BQ238" s="123">
        <v>1.32</v>
      </c>
      <c r="BR238" s="123">
        <v>1.34</v>
      </c>
      <c r="BS238" s="123">
        <v>1.63</v>
      </c>
      <c r="BT238" s="123">
        <v>1.83</v>
      </c>
      <c r="BU238" s="124">
        <v>1.44</v>
      </c>
      <c r="BV238" s="79">
        <v>1050000</v>
      </c>
      <c r="BW238" s="259">
        <v>140</v>
      </c>
      <c r="BX238" s="110">
        <v>840</v>
      </c>
      <c r="BY238" s="162">
        <v>27.8</v>
      </c>
      <c r="BZ238" s="123">
        <v>9.41</v>
      </c>
      <c r="CA238" s="120">
        <v>5.1700000000000001E-3</v>
      </c>
      <c r="CB238" s="110">
        <v>420</v>
      </c>
      <c r="CC238" s="248">
        <v>6.9999999999999999E-4</v>
      </c>
      <c r="CD238" s="110">
        <v>280</v>
      </c>
      <c r="CE238" s="104">
        <f t="shared" si="11"/>
        <v>1.2448979591836735E-2</v>
      </c>
      <c r="CF238" s="105">
        <f t="shared" si="9"/>
        <v>0.65</v>
      </c>
    </row>
    <row r="239" spans="1:84" ht="24" hidden="1" x14ac:dyDescent="0.25">
      <c r="A239" s="106">
        <v>238</v>
      </c>
      <c r="B239" s="107"/>
      <c r="C239" s="108" t="s">
        <v>461</v>
      </c>
      <c r="D239" s="109">
        <v>1000</v>
      </c>
      <c r="E239" s="110">
        <v>1050</v>
      </c>
      <c r="F239" s="123">
        <f t="shared" si="10"/>
        <v>1050000</v>
      </c>
      <c r="G239" s="259">
        <v>140</v>
      </c>
      <c r="H239" s="110">
        <v>840</v>
      </c>
      <c r="I239" s="112">
        <v>0.95</v>
      </c>
      <c r="J239" s="260">
        <v>21.88</v>
      </c>
      <c r="K239" s="161">
        <v>17.899999999999999</v>
      </c>
      <c r="L239" s="162">
        <v>27.8</v>
      </c>
      <c r="M239" s="261">
        <v>0.68</v>
      </c>
      <c r="N239" s="123">
        <v>9.41</v>
      </c>
      <c r="O239" s="117" t="s">
        <v>215</v>
      </c>
      <c r="P239" s="118" t="s">
        <v>216</v>
      </c>
      <c r="Q239" s="248">
        <v>2.5999999999999999E-3</v>
      </c>
      <c r="R239" s="110">
        <v>0</v>
      </c>
      <c r="S239" s="120">
        <v>5.1700000000000001E-3</v>
      </c>
      <c r="T239" s="110">
        <v>420</v>
      </c>
      <c r="U239" s="121">
        <v>1050</v>
      </c>
      <c r="V239" s="248">
        <v>1.1999999999999999E-3</v>
      </c>
      <c r="W239" s="110">
        <v>280</v>
      </c>
      <c r="X239" s="121">
        <v>300</v>
      </c>
      <c r="Y239" s="122">
        <v>0</v>
      </c>
      <c r="Z239" s="122">
        <v>1</v>
      </c>
      <c r="AA239" s="113">
        <v>2.2999999999999998</v>
      </c>
      <c r="AB239" s="111">
        <v>4.5999999999999996</v>
      </c>
      <c r="AC239" s="114">
        <v>2</v>
      </c>
      <c r="AD239" s="123">
        <v>0.6</v>
      </c>
      <c r="AE239" s="124">
        <v>0.97</v>
      </c>
      <c r="AF239" s="125">
        <v>0.56999999999999995</v>
      </c>
      <c r="AG239" s="123">
        <v>0.13</v>
      </c>
      <c r="AH239" s="123">
        <v>0</v>
      </c>
      <c r="AI239" s="124">
        <v>0.71</v>
      </c>
      <c r="AJ239" s="125">
        <v>0.21</v>
      </c>
      <c r="AK239" s="123">
        <v>0.36</v>
      </c>
      <c r="AL239" s="123">
        <v>0</v>
      </c>
      <c r="AM239" s="124">
        <v>0.56999999999999995</v>
      </c>
      <c r="AN239" s="125">
        <v>0.44</v>
      </c>
      <c r="AO239" s="123">
        <v>0.22</v>
      </c>
      <c r="AP239" s="123">
        <v>0</v>
      </c>
      <c r="AQ239" s="124">
        <v>0.65</v>
      </c>
      <c r="AR239" s="125">
        <v>0.41</v>
      </c>
      <c r="AS239" s="123">
        <v>0.16</v>
      </c>
      <c r="AT239" s="123">
        <v>0</v>
      </c>
      <c r="AU239" s="124">
        <v>0.56999999999999995</v>
      </c>
      <c r="AV239" s="125">
        <v>0.31</v>
      </c>
      <c r="AW239" s="123">
        <v>0.34</v>
      </c>
      <c r="AX239" s="123">
        <v>0</v>
      </c>
      <c r="AY239" s="124">
        <v>0.64</v>
      </c>
      <c r="AZ239" s="125">
        <v>0.23</v>
      </c>
      <c r="BA239" s="123">
        <v>0.34</v>
      </c>
      <c r="BB239" s="123">
        <v>0</v>
      </c>
      <c r="BC239" s="124">
        <v>0.56999999999999995</v>
      </c>
      <c r="BD239" s="126">
        <v>0.4</v>
      </c>
      <c r="BE239" s="125">
        <v>0.36</v>
      </c>
      <c r="BF239" s="123">
        <v>0</v>
      </c>
      <c r="BG239" s="123">
        <v>0</v>
      </c>
      <c r="BH239" s="124">
        <v>0.36</v>
      </c>
      <c r="BI239" s="125">
        <v>0.34</v>
      </c>
      <c r="BJ239" s="123">
        <v>0.2</v>
      </c>
      <c r="BK239" s="123">
        <v>0</v>
      </c>
      <c r="BL239" s="124">
        <v>0.54</v>
      </c>
      <c r="BM239" s="125">
        <v>1.37</v>
      </c>
      <c r="BN239" s="123">
        <v>1.7</v>
      </c>
      <c r="BO239" s="123">
        <v>1.48</v>
      </c>
      <c r="BP239" s="123">
        <v>1.69</v>
      </c>
      <c r="BQ239" s="123">
        <v>1.51</v>
      </c>
      <c r="BR239" s="123">
        <v>1.7</v>
      </c>
      <c r="BS239" s="123">
        <v>2.4300000000000002</v>
      </c>
      <c r="BT239" s="123">
        <v>2.73</v>
      </c>
      <c r="BU239" s="124">
        <v>1.8</v>
      </c>
      <c r="BV239" s="79">
        <v>1050000</v>
      </c>
      <c r="BW239" s="259">
        <v>140</v>
      </c>
      <c r="BX239" s="110">
        <v>840</v>
      </c>
      <c r="BY239" s="162">
        <v>27.8</v>
      </c>
      <c r="BZ239" s="123">
        <v>9.41</v>
      </c>
      <c r="CA239" s="120">
        <v>5.1700000000000001E-3</v>
      </c>
      <c r="CB239" s="110">
        <v>420</v>
      </c>
      <c r="CC239" s="248">
        <v>1.1999999999999999E-3</v>
      </c>
      <c r="CD239" s="110">
        <v>280</v>
      </c>
      <c r="CE239" s="104">
        <f t="shared" si="11"/>
        <v>1.8571428571428572E-2</v>
      </c>
      <c r="CF239" s="105">
        <f t="shared" si="9"/>
        <v>0.97</v>
      </c>
    </row>
    <row r="240" spans="1:84" ht="24" x14ac:dyDescent="0.25">
      <c r="A240" s="106">
        <v>239</v>
      </c>
      <c r="B240" s="107"/>
      <c r="C240" s="108" t="s">
        <v>462</v>
      </c>
      <c r="D240" s="109">
        <v>1000</v>
      </c>
      <c r="E240" s="110">
        <v>1050</v>
      </c>
      <c r="F240" s="123">
        <f t="shared" si="10"/>
        <v>1050000</v>
      </c>
      <c r="G240" s="259">
        <v>140</v>
      </c>
      <c r="H240" s="110">
        <v>840</v>
      </c>
      <c r="I240" s="112">
        <v>0.95</v>
      </c>
      <c r="J240" s="260">
        <v>21.88</v>
      </c>
      <c r="K240" s="161">
        <v>17.899999999999999</v>
      </c>
      <c r="L240" s="162">
        <v>27.8</v>
      </c>
      <c r="M240" s="261">
        <v>1.05</v>
      </c>
      <c r="N240" s="123">
        <v>18.04</v>
      </c>
      <c r="O240" s="117" t="s">
        <v>206</v>
      </c>
      <c r="P240" s="118" t="s">
        <v>216</v>
      </c>
      <c r="Q240" s="248">
        <v>1.6999999999999999E-3</v>
      </c>
      <c r="R240" s="110">
        <v>0</v>
      </c>
      <c r="S240" s="120">
        <v>3.46E-3</v>
      </c>
      <c r="T240" s="110">
        <v>420</v>
      </c>
      <c r="U240" s="121">
        <v>1050</v>
      </c>
      <c r="V240" s="248">
        <v>5.9999999999999995E-4</v>
      </c>
      <c r="W240" s="110">
        <v>500</v>
      </c>
      <c r="X240" s="121">
        <v>400</v>
      </c>
      <c r="Y240" s="122">
        <v>0</v>
      </c>
      <c r="Z240" s="122">
        <v>1</v>
      </c>
      <c r="AA240" s="113">
        <v>1.5</v>
      </c>
      <c r="AB240" s="111">
        <v>9.5</v>
      </c>
      <c r="AC240" s="114">
        <v>6.3</v>
      </c>
      <c r="AD240" s="123">
        <v>0.27</v>
      </c>
      <c r="AE240" s="124">
        <v>0.76</v>
      </c>
      <c r="AF240" s="125">
        <v>0.4</v>
      </c>
      <c r="AG240" s="123">
        <v>0.12</v>
      </c>
      <c r="AH240" s="123">
        <v>0</v>
      </c>
      <c r="AI240" s="124">
        <v>0.51</v>
      </c>
      <c r="AJ240" s="125">
        <v>0.21</v>
      </c>
      <c r="AK240" s="123">
        <v>0.32</v>
      </c>
      <c r="AL240" s="123">
        <v>0</v>
      </c>
      <c r="AM240" s="124">
        <v>0.53</v>
      </c>
      <c r="AN240" s="125">
        <v>0</v>
      </c>
      <c r="AO240" s="123">
        <v>0.19</v>
      </c>
      <c r="AP240" s="123">
        <v>0</v>
      </c>
      <c r="AQ240" s="124">
        <v>0.19</v>
      </c>
      <c r="AR240" s="125">
        <v>0.56999999999999995</v>
      </c>
      <c r="AS240" s="123">
        <v>0.14000000000000001</v>
      </c>
      <c r="AT240" s="123">
        <v>0</v>
      </c>
      <c r="AU240" s="124">
        <v>0.68</v>
      </c>
      <c r="AV240" s="125">
        <v>0.21</v>
      </c>
      <c r="AW240" s="123">
        <v>0.3</v>
      </c>
      <c r="AX240" s="123">
        <v>0</v>
      </c>
      <c r="AY240" s="124">
        <v>0.51</v>
      </c>
      <c r="AZ240" s="125">
        <v>0.27</v>
      </c>
      <c r="BA240" s="123">
        <v>0.32</v>
      </c>
      <c r="BB240" s="123">
        <v>0</v>
      </c>
      <c r="BC240" s="124">
        <v>0.59</v>
      </c>
      <c r="BD240" s="126">
        <v>0.52</v>
      </c>
      <c r="BE240" s="125">
        <v>0.55000000000000004</v>
      </c>
      <c r="BF240" s="123">
        <v>0</v>
      </c>
      <c r="BG240" s="123">
        <v>0</v>
      </c>
      <c r="BH240" s="124">
        <v>0.55000000000000004</v>
      </c>
      <c r="BI240" s="125">
        <v>0.52</v>
      </c>
      <c r="BJ240" s="123">
        <v>0.18</v>
      </c>
      <c r="BK240" s="123">
        <v>0</v>
      </c>
      <c r="BL240" s="124">
        <v>0.7</v>
      </c>
      <c r="BM240" s="125">
        <v>1.48</v>
      </c>
      <c r="BN240" s="123">
        <v>1.43</v>
      </c>
      <c r="BO240" s="123">
        <v>4.0199999999999996</v>
      </c>
      <c r="BP240" s="123">
        <v>1.1200000000000001</v>
      </c>
      <c r="BQ240" s="123">
        <v>1.5</v>
      </c>
      <c r="BR240" s="123">
        <v>1.28</v>
      </c>
      <c r="BS240" s="123">
        <v>1.46</v>
      </c>
      <c r="BT240" s="123">
        <v>1.38</v>
      </c>
      <c r="BU240" s="124">
        <v>1.08</v>
      </c>
      <c r="BV240" s="79">
        <v>1050000</v>
      </c>
      <c r="BW240" s="259">
        <v>140</v>
      </c>
      <c r="BX240" s="110">
        <v>840</v>
      </c>
      <c r="BY240" s="162">
        <v>27.8</v>
      </c>
      <c r="BZ240" s="123">
        <v>18.04</v>
      </c>
      <c r="CA240" s="120">
        <v>3.46E-3</v>
      </c>
      <c r="CB240" s="110">
        <v>420</v>
      </c>
      <c r="CC240" s="248">
        <v>5.9999999999999995E-4</v>
      </c>
      <c r="CD240" s="110">
        <v>500</v>
      </c>
      <c r="CE240" s="104">
        <f t="shared" si="11"/>
        <v>9.3877551020408161E-3</v>
      </c>
      <c r="CF240" s="105">
        <f t="shared" si="9"/>
        <v>0.76</v>
      </c>
    </row>
    <row r="241" spans="1:84" ht="24" x14ac:dyDescent="0.25">
      <c r="A241" s="106">
        <v>240</v>
      </c>
      <c r="B241" s="107"/>
      <c r="C241" s="108" t="s">
        <v>463</v>
      </c>
      <c r="D241" s="109">
        <v>800</v>
      </c>
      <c r="E241" s="110">
        <v>1350</v>
      </c>
      <c r="F241" s="123">
        <f t="shared" si="10"/>
        <v>1080000</v>
      </c>
      <c r="G241" s="259">
        <v>140</v>
      </c>
      <c r="H241" s="110">
        <v>1080</v>
      </c>
      <c r="I241" s="112">
        <v>0.59</v>
      </c>
      <c r="J241" s="260">
        <v>21.88</v>
      </c>
      <c r="K241" s="161">
        <v>17.899999999999999</v>
      </c>
      <c r="L241" s="162">
        <v>27.8</v>
      </c>
      <c r="M241" s="261">
        <v>1.05</v>
      </c>
      <c r="N241" s="123">
        <v>18.04</v>
      </c>
      <c r="O241" s="117" t="s">
        <v>206</v>
      </c>
      <c r="P241" s="118" t="s">
        <v>216</v>
      </c>
      <c r="Q241" s="248">
        <v>1.2999999999999999E-3</v>
      </c>
      <c r="R241" s="110">
        <v>0</v>
      </c>
      <c r="S241" s="120">
        <v>2.6900000000000001E-3</v>
      </c>
      <c r="T241" s="110">
        <v>420</v>
      </c>
      <c r="U241" s="121">
        <v>1350</v>
      </c>
      <c r="V241" s="109">
        <v>0</v>
      </c>
      <c r="W241" s="110">
        <v>0</v>
      </c>
      <c r="X241" s="118" t="s">
        <v>418</v>
      </c>
      <c r="Y241" s="122">
        <v>0</v>
      </c>
      <c r="Z241" s="122">
        <v>1</v>
      </c>
      <c r="AA241" s="113">
        <v>1</v>
      </c>
      <c r="AB241" s="111">
        <v>1.9</v>
      </c>
      <c r="AC241" s="114">
        <v>1.9</v>
      </c>
      <c r="AD241" s="123">
        <v>0.27</v>
      </c>
      <c r="AE241" s="124">
        <v>0.39</v>
      </c>
      <c r="AF241" s="125">
        <v>0.48</v>
      </c>
      <c r="AG241" s="123">
        <v>0</v>
      </c>
      <c r="AH241" s="123">
        <v>0</v>
      </c>
      <c r="AI241" s="124">
        <v>0.48</v>
      </c>
      <c r="AJ241" s="125">
        <v>0.21</v>
      </c>
      <c r="AK241" s="123">
        <v>0</v>
      </c>
      <c r="AL241" s="123">
        <v>0</v>
      </c>
      <c r="AM241" s="124">
        <v>0.21</v>
      </c>
      <c r="AN241" s="125">
        <v>0.71</v>
      </c>
      <c r="AO241" s="123">
        <v>0</v>
      </c>
      <c r="AP241" s="123">
        <v>0</v>
      </c>
      <c r="AQ241" s="124">
        <v>0.71</v>
      </c>
      <c r="AR241" s="125">
        <v>0.77</v>
      </c>
      <c r="AS241" s="123">
        <v>0</v>
      </c>
      <c r="AT241" s="123">
        <v>0</v>
      </c>
      <c r="AU241" s="124">
        <v>0.68</v>
      </c>
      <c r="AV241" s="125">
        <v>0.28000000000000003</v>
      </c>
      <c r="AW241" s="123">
        <v>0</v>
      </c>
      <c r="AX241" s="123">
        <v>0</v>
      </c>
      <c r="AY241" s="124">
        <v>0.28000000000000003</v>
      </c>
      <c r="AZ241" s="125">
        <v>0.26</v>
      </c>
      <c r="BA241" s="123">
        <v>0</v>
      </c>
      <c r="BB241" s="123">
        <v>0</v>
      </c>
      <c r="BC241" s="124">
        <v>0.26</v>
      </c>
      <c r="BD241" s="126">
        <v>0.21</v>
      </c>
      <c r="BE241" s="125">
        <v>0.88</v>
      </c>
      <c r="BF241" s="123">
        <v>0</v>
      </c>
      <c r="BG241" s="123">
        <v>0</v>
      </c>
      <c r="BH241" s="124">
        <v>0.88</v>
      </c>
      <c r="BI241" s="125">
        <v>0.52</v>
      </c>
      <c r="BJ241" s="123">
        <v>0</v>
      </c>
      <c r="BK241" s="123">
        <v>0</v>
      </c>
      <c r="BL241" s="124">
        <v>0.52</v>
      </c>
      <c r="BM241" s="125">
        <v>0.81</v>
      </c>
      <c r="BN241" s="123">
        <v>1.84</v>
      </c>
      <c r="BO241" s="123">
        <v>0.54</v>
      </c>
      <c r="BP241" s="123">
        <v>0.56999999999999995</v>
      </c>
      <c r="BQ241" s="123">
        <v>1.35</v>
      </c>
      <c r="BR241" s="123">
        <v>1.49</v>
      </c>
      <c r="BS241" s="123">
        <v>1.81</v>
      </c>
      <c r="BT241" s="123">
        <v>0.44</v>
      </c>
      <c r="BU241" s="124">
        <v>0.74</v>
      </c>
      <c r="BV241" s="79">
        <v>1080000</v>
      </c>
      <c r="BW241" s="259">
        <v>140</v>
      </c>
      <c r="BX241" s="110">
        <v>1080</v>
      </c>
      <c r="BY241" s="162">
        <v>27.8</v>
      </c>
      <c r="BZ241" s="123">
        <v>18.04</v>
      </c>
      <c r="CA241" s="120">
        <v>2.6900000000000001E-3</v>
      </c>
      <c r="CB241" s="110">
        <v>420</v>
      </c>
      <c r="CC241" s="109">
        <v>0</v>
      </c>
      <c r="CD241" s="110">
        <v>0</v>
      </c>
      <c r="CE241" s="104">
        <f t="shared" si="11"/>
        <v>2.3280423280423283E-3</v>
      </c>
      <c r="CF241" s="105">
        <f t="shared" si="9"/>
        <v>0.39</v>
      </c>
    </row>
    <row r="242" spans="1:84" ht="24" x14ac:dyDescent="0.25">
      <c r="A242" s="106">
        <v>241</v>
      </c>
      <c r="B242" s="107"/>
      <c r="C242" s="108" t="s">
        <v>464</v>
      </c>
      <c r="D242" s="109">
        <v>800</v>
      </c>
      <c r="E242" s="110">
        <v>1350</v>
      </c>
      <c r="F242" s="123">
        <f t="shared" si="10"/>
        <v>1080000</v>
      </c>
      <c r="G242" s="259">
        <v>140</v>
      </c>
      <c r="H242" s="110">
        <v>1080</v>
      </c>
      <c r="I242" s="112">
        <v>0.59</v>
      </c>
      <c r="J242" s="260">
        <v>21.88</v>
      </c>
      <c r="K242" s="161">
        <v>17.899999999999999</v>
      </c>
      <c r="L242" s="162">
        <v>27.8</v>
      </c>
      <c r="M242" s="261">
        <v>1.05</v>
      </c>
      <c r="N242" s="123">
        <v>18.04</v>
      </c>
      <c r="O242" s="117" t="s">
        <v>206</v>
      </c>
      <c r="P242" s="118" t="s">
        <v>216</v>
      </c>
      <c r="Q242" s="248">
        <v>1.2999999999999999E-3</v>
      </c>
      <c r="R242" s="110">
        <v>0</v>
      </c>
      <c r="S242" s="120">
        <v>2.6900000000000001E-3</v>
      </c>
      <c r="T242" s="110">
        <v>420</v>
      </c>
      <c r="U242" s="121">
        <v>1350</v>
      </c>
      <c r="V242" s="248">
        <v>5.9999999999999995E-4</v>
      </c>
      <c r="W242" s="110">
        <v>500</v>
      </c>
      <c r="X242" s="121">
        <v>400</v>
      </c>
      <c r="Y242" s="122">
        <v>0</v>
      </c>
      <c r="Z242" s="122">
        <v>1</v>
      </c>
      <c r="AA242" s="113">
        <v>1</v>
      </c>
      <c r="AB242" s="111">
        <v>4.5999999999999996</v>
      </c>
      <c r="AC242" s="114">
        <v>4.5999999999999996</v>
      </c>
      <c r="AD242" s="123">
        <v>0.36</v>
      </c>
      <c r="AE242" s="124">
        <v>0.5</v>
      </c>
      <c r="AF242" s="125">
        <v>0.48</v>
      </c>
      <c r="AG242" s="123">
        <v>0.12</v>
      </c>
      <c r="AH242" s="123">
        <v>0</v>
      </c>
      <c r="AI242" s="124">
        <v>0.59</v>
      </c>
      <c r="AJ242" s="125">
        <v>0.21</v>
      </c>
      <c r="AK242" s="123">
        <v>0.4</v>
      </c>
      <c r="AL242" s="123">
        <v>0</v>
      </c>
      <c r="AM242" s="124">
        <v>0.61</v>
      </c>
      <c r="AN242" s="125">
        <v>0</v>
      </c>
      <c r="AO242" s="123">
        <v>0.19</v>
      </c>
      <c r="AP242" s="123">
        <v>0</v>
      </c>
      <c r="AQ242" s="124">
        <v>0.19</v>
      </c>
      <c r="AR242" s="125">
        <v>0.77</v>
      </c>
      <c r="AS242" s="123">
        <v>0.14000000000000001</v>
      </c>
      <c r="AT242" s="123">
        <v>0</v>
      </c>
      <c r="AU242" s="124">
        <v>0.68</v>
      </c>
      <c r="AV242" s="125">
        <v>0.28000000000000003</v>
      </c>
      <c r="AW242" s="123">
        <v>0.3</v>
      </c>
      <c r="AX242" s="123">
        <v>0</v>
      </c>
      <c r="AY242" s="124">
        <v>0.57999999999999996</v>
      </c>
      <c r="AZ242" s="125">
        <v>0.26</v>
      </c>
      <c r="BA242" s="123">
        <v>0.32</v>
      </c>
      <c r="BB242" s="123">
        <v>0</v>
      </c>
      <c r="BC242" s="124">
        <v>0.57999999999999996</v>
      </c>
      <c r="BD242" s="126">
        <v>0.6</v>
      </c>
      <c r="BE242" s="125">
        <v>0.88</v>
      </c>
      <c r="BF242" s="123">
        <v>0</v>
      </c>
      <c r="BG242" s="123">
        <v>0</v>
      </c>
      <c r="BH242" s="124">
        <v>0.88</v>
      </c>
      <c r="BI242" s="125">
        <v>0.52</v>
      </c>
      <c r="BJ242" s="123">
        <v>0.18</v>
      </c>
      <c r="BK242" s="123">
        <v>0</v>
      </c>
      <c r="BL242" s="124">
        <v>0.7</v>
      </c>
      <c r="BM242" s="125">
        <v>0.85</v>
      </c>
      <c r="BN242" s="123">
        <v>0.82</v>
      </c>
      <c r="BO242" s="123">
        <v>2.66</v>
      </c>
      <c r="BP242" s="123">
        <v>0.74</v>
      </c>
      <c r="BQ242" s="123">
        <v>0.87</v>
      </c>
      <c r="BR242" s="123">
        <v>0.87</v>
      </c>
      <c r="BS242" s="123">
        <v>0.84</v>
      </c>
      <c r="BT242" s="123">
        <v>0.56999999999999995</v>
      </c>
      <c r="BU242" s="124">
        <v>0.72</v>
      </c>
      <c r="BV242" s="79">
        <v>1080000</v>
      </c>
      <c r="BW242" s="259">
        <v>140</v>
      </c>
      <c r="BX242" s="110">
        <v>1080</v>
      </c>
      <c r="BY242" s="162">
        <v>27.8</v>
      </c>
      <c r="BZ242" s="123">
        <v>18.04</v>
      </c>
      <c r="CA242" s="120">
        <v>2.6900000000000001E-3</v>
      </c>
      <c r="CB242" s="110">
        <v>420</v>
      </c>
      <c r="CC242" s="248">
        <v>5.9999999999999995E-4</v>
      </c>
      <c r="CD242" s="110">
        <v>500</v>
      </c>
      <c r="CE242" s="104">
        <f t="shared" si="11"/>
        <v>3.0158730158730157E-3</v>
      </c>
      <c r="CF242" s="105">
        <f t="shared" si="9"/>
        <v>0.5</v>
      </c>
    </row>
    <row r="243" spans="1:84" ht="24" x14ac:dyDescent="0.25">
      <c r="A243" s="106">
        <v>242</v>
      </c>
      <c r="B243" s="107"/>
      <c r="C243" s="108" t="s">
        <v>465</v>
      </c>
      <c r="D243" s="109">
        <v>600</v>
      </c>
      <c r="E243" s="110">
        <v>1650</v>
      </c>
      <c r="F243" s="123">
        <f t="shared" si="10"/>
        <v>990000</v>
      </c>
      <c r="G243" s="259">
        <v>140</v>
      </c>
      <c r="H243" s="110">
        <v>1320</v>
      </c>
      <c r="I243" s="112">
        <v>0.36</v>
      </c>
      <c r="J243" s="260">
        <v>21.88</v>
      </c>
      <c r="K243" s="161">
        <v>17.899999999999999</v>
      </c>
      <c r="L243" s="162">
        <v>27.8</v>
      </c>
      <c r="M243" s="261">
        <v>1.05</v>
      </c>
      <c r="N243" s="123">
        <v>18.04</v>
      </c>
      <c r="O243" s="117" t="s">
        <v>206</v>
      </c>
      <c r="P243" s="118" t="s">
        <v>216</v>
      </c>
      <c r="Q243" s="248">
        <v>8.9999999999999998E-4</v>
      </c>
      <c r="R243" s="110">
        <v>0</v>
      </c>
      <c r="S243" s="120">
        <v>1.74E-3</v>
      </c>
      <c r="T243" s="110">
        <v>420</v>
      </c>
      <c r="U243" s="121">
        <v>1650</v>
      </c>
      <c r="V243" s="109">
        <v>0</v>
      </c>
      <c r="W243" s="110">
        <v>0</v>
      </c>
      <c r="X243" s="118" t="s">
        <v>418</v>
      </c>
      <c r="Y243" s="122">
        <v>0</v>
      </c>
      <c r="Z243" s="122">
        <v>1</v>
      </c>
      <c r="AA243" s="113">
        <v>0.4</v>
      </c>
      <c r="AB243" s="111">
        <v>1.1000000000000001</v>
      </c>
      <c r="AC243" s="114">
        <v>2.6</v>
      </c>
      <c r="AD243" s="123">
        <v>0.27</v>
      </c>
      <c r="AE243" s="124">
        <v>0.28999999999999998</v>
      </c>
      <c r="AF243" s="125">
        <v>0.56000000000000005</v>
      </c>
      <c r="AG243" s="123">
        <v>0</v>
      </c>
      <c r="AH243" s="123">
        <v>0</v>
      </c>
      <c r="AI243" s="124">
        <v>0.56000000000000005</v>
      </c>
      <c r="AJ243" s="125">
        <v>0.21</v>
      </c>
      <c r="AK243" s="123">
        <v>0</v>
      </c>
      <c r="AL243" s="123">
        <v>0</v>
      </c>
      <c r="AM243" s="124">
        <v>0.21</v>
      </c>
      <c r="AN243" s="125">
        <v>0.51</v>
      </c>
      <c r="AO243" s="123">
        <v>0</v>
      </c>
      <c r="AP243" s="123">
        <v>0</v>
      </c>
      <c r="AQ243" s="124">
        <v>0.51</v>
      </c>
      <c r="AR243" s="125">
        <v>0.89</v>
      </c>
      <c r="AS243" s="123">
        <v>0</v>
      </c>
      <c r="AT243" s="123">
        <v>0</v>
      </c>
      <c r="AU243" s="124">
        <v>0.68</v>
      </c>
      <c r="AV243" s="125">
        <v>0.37</v>
      </c>
      <c r="AW243" s="123">
        <v>0</v>
      </c>
      <c r="AX243" s="123">
        <v>0</v>
      </c>
      <c r="AY243" s="124">
        <v>0.37</v>
      </c>
      <c r="AZ243" s="125">
        <v>0.23</v>
      </c>
      <c r="BA243" s="123">
        <v>0</v>
      </c>
      <c r="BB243" s="123">
        <v>0</v>
      </c>
      <c r="BC243" s="124">
        <v>0.23</v>
      </c>
      <c r="BD243" s="126">
        <v>0.24</v>
      </c>
      <c r="BE243" s="125">
        <v>1.44</v>
      </c>
      <c r="BF243" s="123">
        <v>0</v>
      </c>
      <c r="BG243" s="123">
        <v>0</v>
      </c>
      <c r="BH243" s="124">
        <v>1.44</v>
      </c>
      <c r="BI243" s="125">
        <v>0.52</v>
      </c>
      <c r="BJ243" s="123">
        <v>0</v>
      </c>
      <c r="BK243" s="123">
        <v>0</v>
      </c>
      <c r="BL243" s="124">
        <v>0.52</v>
      </c>
      <c r="BM243" s="125">
        <v>0.51</v>
      </c>
      <c r="BN243" s="123">
        <v>1.37</v>
      </c>
      <c r="BO243" s="123">
        <v>0.56000000000000005</v>
      </c>
      <c r="BP243" s="123">
        <v>0.42</v>
      </c>
      <c r="BQ243" s="123">
        <v>0.79</v>
      </c>
      <c r="BR243" s="123">
        <v>1.23</v>
      </c>
      <c r="BS243" s="123">
        <v>1.21</v>
      </c>
      <c r="BT243" s="123">
        <v>0.2</v>
      </c>
      <c r="BU243" s="124">
        <v>0.55000000000000004</v>
      </c>
      <c r="BV243" s="79">
        <v>990000</v>
      </c>
      <c r="BW243" s="259">
        <v>140</v>
      </c>
      <c r="BX243" s="110">
        <v>1320</v>
      </c>
      <c r="BY243" s="162">
        <v>27.8</v>
      </c>
      <c r="BZ243" s="123">
        <v>18.04</v>
      </c>
      <c r="CA243" s="120">
        <v>1.74E-3</v>
      </c>
      <c r="CB243" s="110">
        <v>420</v>
      </c>
      <c r="CC243" s="109">
        <v>0</v>
      </c>
      <c r="CD243" s="110">
        <v>0</v>
      </c>
      <c r="CE243" s="104">
        <f t="shared" si="11"/>
        <v>8.658008658008658E-4</v>
      </c>
      <c r="CF243" s="105">
        <f t="shared" si="9"/>
        <v>0.28999999999999998</v>
      </c>
    </row>
    <row r="244" spans="1:84" ht="24" x14ac:dyDescent="0.25">
      <c r="A244" s="106">
        <v>243</v>
      </c>
      <c r="B244" s="107"/>
      <c r="C244" s="108" t="s">
        <v>466</v>
      </c>
      <c r="D244" s="109">
        <v>600</v>
      </c>
      <c r="E244" s="110">
        <v>1650</v>
      </c>
      <c r="F244" s="123">
        <f t="shared" si="10"/>
        <v>990000</v>
      </c>
      <c r="G244" s="259">
        <v>140</v>
      </c>
      <c r="H244" s="110">
        <v>1320</v>
      </c>
      <c r="I244" s="112">
        <v>0.36</v>
      </c>
      <c r="J244" s="260">
        <v>21.88</v>
      </c>
      <c r="K244" s="161">
        <v>17.899999999999999</v>
      </c>
      <c r="L244" s="162">
        <v>27.8</v>
      </c>
      <c r="M244" s="261">
        <v>1.05</v>
      </c>
      <c r="N244" s="123">
        <v>18.04</v>
      </c>
      <c r="O244" s="117" t="s">
        <v>206</v>
      </c>
      <c r="P244" s="118" t="s">
        <v>216</v>
      </c>
      <c r="Q244" s="248">
        <v>8.9999999999999998E-4</v>
      </c>
      <c r="R244" s="110">
        <v>0</v>
      </c>
      <c r="S244" s="120">
        <v>1.74E-3</v>
      </c>
      <c r="T244" s="110">
        <v>420</v>
      </c>
      <c r="U244" s="121">
        <v>1650</v>
      </c>
      <c r="V244" s="248">
        <v>5.9999999999999995E-4</v>
      </c>
      <c r="W244" s="110">
        <v>500</v>
      </c>
      <c r="X244" s="121">
        <v>400</v>
      </c>
      <c r="Y244" s="122">
        <v>0</v>
      </c>
      <c r="Z244" s="122">
        <v>1</v>
      </c>
      <c r="AA244" s="113">
        <v>0.5</v>
      </c>
      <c r="AB244" s="111">
        <v>3.3</v>
      </c>
      <c r="AC244" s="114">
        <v>6.6</v>
      </c>
      <c r="AD244" s="123">
        <v>0.21</v>
      </c>
      <c r="AE244" s="124">
        <v>0.33</v>
      </c>
      <c r="AF244" s="125">
        <v>0.56000000000000005</v>
      </c>
      <c r="AG244" s="123">
        <v>0.12</v>
      </c>
      <c r="AH244" s="123">
        <v>0</v>
      </c>
      <c r="AI244" s="124">
        <v>0.68</v>
      </c>
      <c r="AJ244" s="125">
        <v>0.21</v>
      </c>
      <c r="AK244" s="123">
        <v>0.36</v>
      </c>
      <c r="AL244" s="123">
        <v>0</v>
      </c>
      <c r="AM244" s="124">
        <v>0.56999999999999995</v>
      </c>
      <c r="AN244" s="125">
        <v>0</v>
      </c>
      <c r="AO244" s="123">
        <v>0.19</v>
      </c>
      <c r="AP244" s="123">
        <v>0</v>
      </c>
      <c r="AQ244" s="124">
        <v>0.19</v>
      </c>
      <c r="AR244" s="125">
        <v>0.89</v>
      </c>
      <c r="AS244" s="123">
        <v>0.14000000000000001</v>
      </c>
      <c r="AT244" s="123">
        <v>0</v>
      </c>
      <c r="AU244" s="124">
        <v>0.68</v>
      </c>
      <c r="AV244" s="125">
        <v>0.37</v>
      </c>
      <c r="AW244" s="123">
        <v>0.3</v>
      </c>
      <c r="AX244" s="123">
        <v>0</v>
      </c>
      <c r="AY244" s="124">
        <v>0.66</v>
      </c>
      <c r="AZ244" s="125">
        <v>0.23</v>
      </c>
      <c r="BA244" s="123">
        <v>0.32</v>
      </c>
      <c r="BB244" s="123">
        <v>0</v>
      </c>
      <c r="BC244" s="124">
        <v>0.55000000000000004</v>
      </c>
      <c r="BD244" s="126">
        <v>0.64</v>
      </c>
      <c r="BE244" s="125">
        <v>1.44</v>
      </c>
      <c r="BF244" s="123">
        <v>0</v>
      </c>
      <c r="BG244" s="123">
        <v>0</v>
      </c>
      <c r="BH244" s="124">
        <v>1.44</v>
      </c>
      <c r="BI244" s="125">
        <v>0.52</v>
      </c>
      <c r="BJ244" s="123">
        <v>0.18</v>
      </c>
      <c r="BK244" s="123">
        <v>0</v>
      </c>
      <c r="BL244" s="124">
        <v>0.7</v>
      </c>
      <c r="BM244" s="125">
        <v>0.48</v>
      </c>
      <c r="BN244" s="123">
        <v>0.57999999999999996</v>
      </c>
      <c r="BO244" s="123">
        <v>1.72</v>
      </c>
      <c r="BP244" s="123">
        <v>0.48</v>
      </c>
      <c r="BQ244" s="123">
        <v>0.49</v>
      </c>
      <c r="BR244" s="123">
        <v>0.59</v>
      </c>
      <c r="BS244" s="123">
        <v>0.5</v>
      </c>
      <c r="BT244" s="123">
        <v>0.23</v>
      </c>
      <c r="BU244" s="124">
        <v>0.47</v>
      </c>
      <c r="BV244" s="79">
        <v>990000</v>
      </c>
      <c r="BW244" s="259">
        <v>140</v>
      </c>
      <c r="BX244" s="110">
        <v>1320</v>
      </c>
      <c r="BY244" s="162">
        <v>27.8</v>
      </c>
      <c r="BZ244" s="123">
        <v>18.04</v>
      </c>
      <c r="CA244" s="120">
        <v>1.74E-3</v>
      </c>
      <c r="CB244" s="110">
        <v>420</v>
      </c>
      <c r="CC244" s="248">
        <v>5.9999999999999995E-4</v>
      </c>
      <c r="CD244" s="110">
        <v>500</v>
      </c>
      <c r="CE244" s="104">
        <f t="shared" si="11"/>
        <v>9.9567099567099567E-4</v>
      </c>
      <c r="CF244" s="105">
        <f t="shared" si="9"/>
        <v>0.33</v>
      </c>
    </row>
    <row r="245" spans="1:84" ht="24" x14ac:dyDescent="0.25">
      <c r="A245" s="106">
        <v>244</v>
      </c>
      <c r="B245" s="107"/>
      <c r="C245" s="108" t="s">
        <v>467</v>
      </c>
      <c r="D245" s="109">
        <v>1000</v>
      </c>
      <c r="E245" s="110">
        <v>1000</v>
      </c>
      <c r="F245" s="123">
        <f t="shared" si="10"/>
        <v>1000000</v>
      </c>
      <c r="G245" s="259">
        <v>140</v>
      </c>
      <c r="H245" s="110">
        <v>800</v>
      </c>
      <c r="I245" s="112">
        <v>1</v>
      </c>
      <c r="J245" s="260">
        <v>21.88</v>
      </c>
      <c r="K245" s="161">
        <v>17.899999999999999</v>
      </c>
      <c r="L245" s="162">
        <v>27.8</v>
      </c>
      <c r="M245" s="261">
        <v>0.86</v>
      </c>
      <c r="N245" s="123">
        <v>12.94</v>
      </c>
      <c r="O245" s="117" t="s">
        <v>206</v>
      </c>
      <c r="P245" s="118" t="s">
        <v>216</v>
      </c>
      <c r="Q245" s="248">
        <v>1.4E-3</v>
      </c>
      <c r="R245" s="110">
        <v>0</v>
      </c>
      <c r="S245" s="120">
        <v>2.8700000000000002E-3</v>
      </c>
      <c r="T245" s="110">
        <v>420</v>
      </c>
      <c r="U245" s="121">
        <v>1000</v>
      </c>
      <c r="V245" s="109">
        <v>0</v>
      </c>
      <c r="W245" s="110">
        <v>0</v>
      </c>
      <c r="X245" s="118" t="s">
        <v>418</v>
      </c>
      <c r="Y245" s="122">
        <v>0</v>
      </c>
      <c r="Z245" s="122">
        <v>1</v>
      </c>
      <c r="AA245" s="113">
        <v>2</v>
      </c>
      <c r="AB245" s="111">
        <v>6.9</v>
      </c>
      <c r="AC245" s="114">
        <v>3.4</v>
      </c>
      <c r="AD245" s="123">
        <v>0.28000000000000003</v>
      </c>
      <c r="AE245" s="124">
        <v>0.39</v>
      </c>
      <c r="AF245" s="125">
        <v>0.34</v>
      </c>
      <c r="AG245" s="123">
        <v>0</v>
      </c>
      <c r="AH245" s="123">
        <v>0</v>
      </c>
      <c r="AI245" s="124">
        <v>0.34</v>
      </c>
      <c r="AJ245" s="125">
        <v>0.21</v>
      </c>
      <c r="AK245" s="123">
        <v>0</v>
      </c>
      <c r="AL245" s="123">
        <v>0</v>
      </c>
      <c r="AM245" s="124">
        <v>0.21</v>
      </c>
      <c r="AN245" s="125">
        <v>0.13</v>
      </c>
      <c r="AO245" s="123">
        <v>0</v>
      </c>
      <c r="AP245" s="123">
        <v>0</v>
      </c>
      <c r="AQ245" s="124">
        <v>0.13</v>
      </c>
      <c r="AR245" s="125">
        <v>0.46</v>
      </c>
      <c r="AS245" s="123">
        <v>0</v>
      </c>
      <c r="AT245" s="123">
        <v>0</v>
      </c>
      <c r="AU245" s="124">
        <v>0.46</v>
      </c>
      <c r="AV245" s="125">
        <v>0.18</v>
      </c>
      <c r="AW245" s="123">
        <v>0</v>
      </c>
      <c r="AX245" s="123">
        <v>0</v>
      </c>
      <c r="AY245" s="124">
        <v>0.18</v>
      </c>
      <c r="AZ245" s="125">
        <v>0.22</v>
      </c>
      <c r="BA245" s="123">
        <v>0</v>
      </c>
      <c r="BB245" s="123">
        <v>0</v>
      </c>
      <c r="BC245" s="124">
        <v>0.22</v>
      </c>
      <c r="BD245" s="126">
        <v>0.19</v>
      </c>
      <c r="BE245" s="125">
        <v>0.43</v>
      </c>
      <c r="BF245" s="123">
        <v>0</v>
      </c>
      <c r="BG245" s="123">
        <v>0</v>
      </c>
      <c r="BH245" s="124">
        <v>0.43</v>
      </c>
      <c r="BI245" s="125">
        <v>0.43</v>
      </c>
      <c r="BJ245" s="123">
        <v>0</v>
      </c>
      <c r="BK245" s="123">
        <v>0</v>
      </c>
      <c r="BL245" s="124">
        <v>0.43</v>
      </c>
      <c r="BM245" s="125">
        <v>1.17</v>
      </c>
      <c r="BN245" s="123">
        <v>1.88</v>
      </c>
      <c r="BO245" s="123">
        <v>3.04</v>
      </c>
      <c r="BP245" s="123">
        <v>0.86</v>
      </c>
      <c r="BQ245" s="123">
        <v>2.2000000000000002</v>
      </c>
      <c r="BR245" s="123">
        <v>1.76</v>
      </c>
      <c r="BS245" s="123">
        <v>2.08</v>
      </c>
      <c r="BT245" s="123">
        <v>0.92</v>
      </c>
      <c r="BU245" s="124">
        <v>0.92</v>
      </c>
      <c r="BV245" s="79">
        <v>1000000</v>
      </c>
      <c r="BW245" s="259">
        <v>140</v>
      </c>
      <c r="BX245" s="110">
        <v>800</v>
      </c>
      <c r="BY245" s="162">
        <v>27.8</v>
      </c>
      <c r="BZ245" s="123">
        <v>12.94</v>
      </c>
      <c r="CA245" s="120">
        <v>2.8700000000000002E-3</v>
      </c>
      <c r="CB245" s="110">
        <v>420</v>
      </c>
      <c r="CC245" s="109">
        <v>0</v>
      </c>
      <c r="CD245" s="110">
        <v>0</v>
      </c>
      <c r="CE245" s="104">
        <f t="shared" si="11"/>
        <v>6.5714285714285718E-3</v>
      </c>
      <c r="CF245" s="105">
        <f t="shared" si="9"/>
        <v>0.39</v>
      </c>
    </row>
    <row r="246" spans="1:84" ht="24" x14ac:dyDescent="0.25">
      <c r="A246" s="106">
        <v>245</v>
      </c>
      <c r="B246" s="107"/>
      <c r="C246" s="108" t="s">
        <v>468</v>
      </c>
      <c r="D246" s="109">
        <v>1000</v>
      </c>
      <c r="E246" s="110">
        <v>1000</v>
      </c>
      <c r="F246" s="123">
        <f t="shared" si="10"/>
        <v>1000000</v>
      </c>
      <c r="G246" s="259">
        <v>140</v>
      </c>
      <c r="H246" s="110">
        <v>800</v>
      </c>
      <c r="I246" s="112">
        <v>1</v>
      </c>
      <c r="J246" s="260">
        <v>21.88</v>
      </c>
      <c r="K246" s="161">
        <v>17.899999999999999</v>
      </c>
      <c r="L246" s="162">
        <v>27.8</v>
      </c>
      <c r="M246" s="261">
        <v>0.86</v>
      </c>
      <c r="N246" s="123">
        <v>12.94</v>
      </c>
      <c r="O246" s="117" t="s">
        <v>206</v>
      </c>
      <c r="P246" s="118" t="s">
        <v>216</v>
      </c>
      <c r="Q246" s="248">
        <v>1.4E-3</v>
      </c>
      <c r="R246" s="110">
        <v>0</v>
      </c>
      <c r="S246" s="120">
        <v>2.8700000000000002E-3</v>
      </c>
      <c r="T246" s="110">
        <v>420</v>
      </c>
      <c r="U246" s="121">
        <v>1000</v>
      </c>
      <c r="V246" s="248">
        <v>5.9999999999999995E-4</v>
      </c>
      <c r="W246" s="110">
        <v>500</v>
      </c>
      <c r="X246" s="121">
        <v>400</v>
      </c>
      <c r="Y246" s="122">
        <v>0</v>
      </c>
      <c r="Z246" s="122">
        <v>1</v>
      </c>
      <c r="AA246" s="113">
        <v>3</v>
      </c>
      <c r="AB246" s="111">
        <v>9.5</v>
      </c>
      <c r="AC246" s="114">
        <v>3.2</v>
      </c>
      <c r="AD246" s="123">
        <v>0.28000000000000003</v>
      </c>
      <c r="AE246" s="124">
        <v>0.48</v>
      </c>
      <c r="AF246" s="125">
        <v>0.34</v>
      </c>
      <c r="AG246" s="123">
        <v>0.12</v>
      </c>
      <c r="AH246" s="123">
        <v>0</v>
      </c>
      <c r="AI246" s="124">
        <v>0.45</v>
      </c>
      <c r="AJ246" s="125">
        <v>0.21</v>
      </c>
      <c r="AK246" s="123">
        <v>0.32</v>
      </c>
      <c r="AL246" s="123">
        <v>0</v>
      </c>
      <c r="AM246" s="124">
        <v>0.53</v>
      </c>
      <c r="AN246" s="125">
        <v>0.19</v>
      </c>
      <c r="AO246" s="123">
        <v>0.19</v>
      </c>
      <c r="AP246" s="123">
        <v>0</v>
      </c>
      <c r="AQ246" s="124">
        <v>0.38</v>
      </c>
      <c r="AR246" s="125">
        <v>0.46</v>
      </c>
      <c r="AS246" s="123">
        <v>0.14000000000000001</v>
      </c>
      <c r="AT246" s="123">
        <v>0</v>
      </c>
      <c r="AU246" s="124">
        <v>0.57999999999999996</v>
      </c>
      <c r="AV246" s="125">
        <v>0.18</v>
      </c>
      <c r="AW246" s="123">
        <v>0.3</v>
      </c>
      <c r="AX246" s="123">
        <v>0</v>
      </c>
      <c r="AY246" s="124">
        <v>0.47</v>
      </c>
      <c r="AZ246" s="125">
        <v>0.22</v>
      </c>
      <c r="BA246" s="123">
        <v>0.32</v>
      </c>
      <c r="BB246" s="123">
        <v>0</v>
      </c>
      <c r="BC246" s="124">
        <v>0.55000000000000004</v>
      </c>
      <c r="BD246" s="126">
        <v>0.47</v>
      </c>
      <c r="BE246" s="125">
        <v>0.43</v>
      </c>
      <c r="BF246" s="123">
        <v>0</v>
      </c>
      <c r="BG246" s="123">
        <v>0</v>
      </c>
      <c r="BH246" s="124">
        <v>0.43</v>
      </c>
      <c r="BI246" s="125">
        <v>0.43</v>
      </c>
      <c r="BJ246" s="123">
        <v>0.18</v>
      </c>
      <c r="BK246" s="123">
        <v>0</v>
      </c>
      <c r="BL246" s="124">
        <v>0.61</v>
      </c>
      <c r="BM246" s="125">
        <v>1.06</v>
      </c>
      <c r="BN246" s="123">
        <v>0.91</v>
      </c>
      <c r="BO246" s="123">
        <v>1.28</v>
      </c>
      <c r="BP246" s="123">
        <v>0.84</v>
      </c>
      <c r="BQ246" s="123">
        <v>1.02</v>
      </c>
      <c r="BR246" s="123">
        <v>0.88</v>
      </c>
      <c r="BS246" s="123">
        <v>1.03</v>
      </c>
      <c r="BT246" s="123">
        <v>1.1200000000000001</v>
      </c>
      <c r="BU246" s="124">
        <v>0.79</v>
      </c>
      <c r="BV246" s="79">
        <v>1000000</v>
      </c>
      <c r="BW246" s="259">
        <v>140</v>
      </c>
      <c r="BX246" s="110">
        <v>800</v>
      </c>
      <c r="BY246" s="162">
        <v>27.8</v>
      </c>
      <c r="BZ246" s="123">
        <v>12.94</v>
      </c>
      <c r="CA246" s="120">
        <v>2.8700000000000002E-3</v>
      </c>
      <c r="CB246" s="110">
        <v>420</v>
      </c>
      <c r="CC246" s="248">
        <v>5.9999999999999995E-4</v>
      </c>
      <c r="CD246" s="110">
        <v>500</v>
      </c>
      <c r="CE246" s="104">
        <f t="shared" si="11"/>
        <v>8.0000000000000019E-3</v>
      </c>
      <c r="CF246" s="105">
        <f t="shared" si="9"/>
        <v>0.48</v>
      </c>
    </row>
    <row r="247" spans="1:84" ht="24" x14ac:dyDescent="0.25">
      <c r="A247" s="106">
        <v>246</v>
      </c>
      <c r="B247" s="107"/>
      <c r="C247" s="108" t="s">
        <v>469</v>
      </c>
      <c r="D247" s="109">
        <v>1000</v>
      </c>
      <c r="E247" s="110">
        <v>1000</v>
      </c>
      <c r="F247" s="123">
        <f t="shared" si="10"/>
        <v>1000000</v>
      </c>
      <c r="G247" s="259">
        <v>140</v>
      </c>
      <c r="H247" s="110">
        <v>800</v>
      </c>
      <c r="I247" s="112">
        <v>1</v>
      </c>
      <c r="J247" s="260">
        <v>21.88</v>
      </c>
      <c r="K247" s="161">
        <v>17.899999999999999</v>
      </c>
      <c r="L247" s="162">
        <v>27.8</v>
      </c>
      <c r="M247" s="261">
        <v>0.86</v>
      </c>
      <c r="N247" s="123">
        <v>12.94</v>
      </c>
      <c r="O247" s="117" t="s">
        <v>206</v>
      </c>
      <c r="P247" s="118" t="s">
        <v>216</v>
      </c>
      <c r="Q247" s="248">
        <v>1.4E-3</v>
      </c>
      <c r="R247" s="110">
        <v>0</v>
      </c>
      <c r="S247" s="120">
        <v>2.8700000000000002E-3</v>
      </c>
      <c r="T247" s="110">
        <v>420</v>
      </c>
      <c r="U247" s="121">
        <v>1000</v>
      </c>
      <c r="V247" s="248">
        <v>1.1999999999999999E-3</v>
      </c>
      <c r="W247" s="110">
        <v>500</v>
      </c>
      <c r="X247" s="121">
        <v>200</v>
      </c>
      <c r="Y247" s="122">
        <v>0</v>
      </c>
      <c r="Z247" s="122">
        <v>1</v>
      </c>
      <c r="AA247" s="113">
        <v>2.4</v>
      </c>
      <c r="AB247" s="111">
        <v>10.5</v>
      </c>
      <c r="AC247" s="114">
        <v>4.4000000000000004</v>
      </c>
      <c r="AD247" s="123">
        <v>0.28000000000000003</v>
      </c>
      <c r="AE247" s="124">
        <v>0.67</v>
      </c>
      <c r="AF247" s="125">
        <v>0.34</v>
      </c>
      <c r="AG247" s="123">
        <v>0.24</v>
      </c>
      <c r="AH247" s="123">
        <v>0</v>
      </c>
      <c r="AI247" s="124">
        <v>0.56999999999999995</v>
      </c>
      <c r="AJ247" s="125">
        <v>0.21</v>
      </c>
      <c r="AK247" s="123">
        <v>0.53</v>
      </c>
      <c r="AL247" s="123">
        <v>0</v>
      </c>
      <c r="AM247" s="124">
        <v>0.74</v>
      </c>
      <c r="AN247" s="125">
        <v>0</v>
      </c>
      <c r="AO247" s="123">
        <v>0.38</v>
      </c>
      <c r="AP247" s="123">
        <v>0</v>
      </c>
      <c r="AQ247" s="124">
        <v>0.38</v>
      </c>
      <c r="AR247" s="125">
        <v>0.46</v>
      </c>
      <c r="AS247" s="123">
        <v>0.28999999999999998</v>
      </c>
      <c r="AT247" s="123">
        <v>0</v>
      </c>
      <c r="AU247" s="124">
        <v>0.57999999999999996</v>
      </c>
      <c r="AV247" s="125">
        <v>0.18</v>
      </c>
      <c r="AW247" s="123">
        <v>0.6</v>
      </c>
      <c r="AX247" s="123">
        <v>0</v>
      </c>
      <c r="AY247" s="124">
        <v>0.77</v>
      </c>
      <c r="AZ247" s="125">
        <v>0.22</v>
      </c>
      <c r="BA247" s="123">
        <v>0.46</v>
      </c>
      <c r="BB247" s="123">
        <v>0</v>
      </c>
      <c r="BC247" s="124">
        <v>0.68</v>
      </c>
      <c r="BD247" s="126">
        <v>0.47</v>
      </c>
      <c r="BE247" s="125">
        <v>0.43</v>
      </c>
      <c r="BF247" s="123">
        <v>0</v>
      </c>
      <c r="BG247" s="123">
        <v>0</v>
      </c>
      <c r="BH247" s="124">
        <v>0.43</v>
      </c>
      <c r="BI247" s="125">
        <v>0.43</v>
      </c>
      <c r="BJ247" s="123">
        <v>0.36</v>
      </c>
      <c r="BK247" s="123">
        <v>0</v>
      </c>
      <c r="BL247" s="124">
        <v>0.79</v>
      </c>
      <c r="BM247" s="125">
        <v>1.1599999999999999</v>
      </c>
      <c r="BN247" s="123">
        <v>0.9</v>
      </c>
      <c r="BO247" s="123">
        <v>1.76</v>
      </c>
      <c r="BP247" s="123">
        <v>1.1599999999999999</v>
      </c>
      <c r="BQ247" s="123">
        <v>0.86</v>
      </c>
      <c r="BR247" s="123">
        <v>0.98</v>
      </c>
      <c r="BS247" s="123">
        <v>1.43</v>
      </c>
      <c r="BT247" s="123">
        <v>1.56</v>
      </c>
      <c r="BU247" s="124">
        <v>0.85</v>
      </c>
      <c r="BV247" s="79">
        <v>1000000</v>
      </c>
      <c r="BW247" s="259">
        <v>140</v>
      </c>
      <c r="BX247" s="110">
        <v>800</v>
      </c>
      <c r="BY247" s="162">
        <v>27.8</v>
      </c>
      <c r="BZ247" s="123">
        <v>12.94</v>
      </c>
      <c r="CA247" s="120">
        <v>2.8700000000000002E-3</v>
      </c>
      <c r="CB247" s="110">
        <v>420</v>
      </c>
      <c r="CC247" s="248">
        <v>1.1999999999999999E-3</v>
      </c>
      <c r="CD247" s="110">
        <v>500</v>
      </c>
      <c r="CE247" s="184">
        <f t="shared" si="11"/>
        <v>1.1142857142857144E-2</v>
      </c>
      <c r="CF247" s="185">
        <f t="shared" si="9"/>
        <v>0.67</v>
      </c>
    </row>
    <row r="248" spans="1:84" ht="24" hidden="1" x14ac:dyDescent="0.25">
      <c r="A248" s="106">
        <v>247</v>
      </c>
      <c r="B248" s="107"/>
      <c r="C248" s="108" t="s">
        <v>470</v>
      </c>
      <c r="D248" s="109">
        <v>1000</v>
      </c>
      <c r="E248" s="110">
        <v>1000</v>
      </c>
      <c r="F248" s="123">
        <f t="shared" si="10"/>
        <v>1000000</v>
      </c>
      <c r="G248" s="259">
        <v>140</v>
      </c>
      <c r="H248" s="110">
        <v>800</v>
      </c>
      <c r="I248" s="112">
        <v>1</v>
      </c>
      <c r="J248" s="260">
        <v>21.88</v>
      </c>
      <c r="K248" s="161">
        <v>17.899999999999999</v>
      </c>
      <c r="L248" s="162">
        <v>27.8</v>
      </c>
      <c r="M248" s="116">
        <v>0.92</v>
      </c>
      <c r="N248" s="123">
        <v>8.24</v>
      </c>
      <c r="O248" s="117" t="s">
        <v>215</v>
      </c>
      <c r="P248" s="118" t="s">
        <v>216</v>
      </c>
      <c r="Q248" s="248">
        <v>2.7000000000000001E-3</v>
      </c>
      <c r="R248" s="110">
        <v>0</v>
      </c>
      <c r="S248" s="120">
        <v>5.4299999999999999E-3</v>
      </c>
      <c r="T248" s="110">
        <v>420</v>
      </c>
      <c r="U248" s="121">
        <v>1000</v>
      </c>
      <c r="V248" s="109">
        <v>0</v>
      </c>
      <c r="W248" s="110">
        <v>0</v>
      </c>
      <c r="X248" s="118" t="s">
        <v>418</v>
      </c>
      <c r="Y248" s="122">
        <v>0</v>
      </c>
      <c r="Z248" s="122">
        <v>1</v>
      </c>
      <c r="AA248" s="113">
        <v>2.2000000000000002</v>
      </c>
      <c r="AB248" s="111">
        <v>5.2</v>
      </c>
      <c r="AC248" s="114">
        <v>2.4</v>
      </c>
      <c r="AD248" s="123">
        <v>0.35</v>
      </c>
      <c r="AE248" s="124">
        <v>0.48</v>
      </c>
      <c r="AF248" s="125">
        <v>0.54</v>
      </c>
      <c r="AG248" s="123">
        <v>0</v>
      </c>
      <c r="AH248" s="123">
        <v>0</v>
      </c>
      <c r="AI248" s="124">
        <v>0.54</v>
      </c>
      <c r="AJ248" s="125">
        <v>0.21</v>
      </c>
      <c r="AK248" s="123">
        <v>0</v>
      </c>
      <c r="AL248" s="123">
        <v>0</v>
      </c>
      <c r="AM248" s="124">
        <v>0.21</v>
      </c>
      <c r="AN248" s="125">
        <v>0.33</v>
      </c>
      <c r="AO248" s="123">
        <v>0</v>
      </c>
      <c r="AP248" s="123">
        <v>0</v>
      </c>
      <c r="AQ248" s="124">
        <v>0.33</v>
      </c>
      <c r="AR248" s="125">
        <v>0.37</v>
      </c>
      <c r="AS248" s="123">
        <v>0</v>
      </c>
      <c r="AT248" s="123">
        <v>0</v>
      </c>
      <c r="AU248" s="124">
        <v>0.37</v>
      </c>
      <c r="AV248" s="125">
        <v>0.28999999999999998</v>
      </c>
      <c r="AW248" s="123">
        <v>0</v>
      </c>
      <c r="AX248" s="123">
        <v>0</v>
      </c>
      <c r="AY248" s="124">
        <v>0.28999999999999998</v>
      </c>
      <c r="AZ248" s="125">
        <v>0.22</v>
      </c>
      <c r="BA248" s="123">
        <v>0</v>
      </c>
      <c r="BB248" s="123">
        <v>0</v>
      </c>
      <c r="BC248" s="124">
        <v>0.22</v>
      </c>
      <c r="BD248" s="126">
        <v>0.17</v>
      </c>
      <c r="BE248" s="125">
        <v>0.46</v>
      </c>
      <c r="BF248" s="123">
        <v>0</v>
      </c>
      <c r="BG248" s="123">
        <v>0</v>
      </c>
      <c r="BH248" s="124">
        <v>0.46</v>
      </c>
      <c r="BI248" s="125">
        <v>0.46</v>
      </c>
      <c r="BJ248" s="123">
        <v>0</v>
      </c>
      <c r="BK248" s="123">
        <v>0</v>
      </c>
      <c r="BL248" s="124">
        <v>0.46</v>
      </c>
      <c r="BM248" s="125">
        <v>0.9</v>
      </c>
      <c r="BN248" s="123">
        <v>2.29</v>
      </c>
      <c r="BO248" s="123">
        <v>1.47</v>
      </c>
      <c r="BP248" s="123">
        <v>1.31</v>
      </c>
      <c r="BQ248" s="123">
        <v>1.68</v>
      </c>
      <c r="BR248" s="123">
        <v>2.1800000000000002</v>
      </c>
      <c r="BS248" s="123">
        <v>2.79</v>
      </c>
      <c r="BT248" s="123">
        <v>1.05</v>
      </c>
      <c r="BU248" s="124">
        <v>1.05</v>
      </c>
      <c r="BV248" s="79">
        <v>1000000</v>
      </c>
      <c r="BW248" s="259">
        <v>140</v>
      </c>
      <c r="BX248" s="110">
        <v>800</v>
      </c>
      <c r="BY248" s="162">
        <v>27.8</v>
      </c>
      <c r="BZ248" s="123">
        <v>8.24</v>
      </c>
      <c r="CA248" s="120">
        <v>5.4299999999999999E-3</v>
      </c>
      <c r="CB248" s="110">
        <v>420</v>
      </c>
      <c r="CC248" s="109">
        <v>0</v>
      </c>
      <c r="CD248" s="110">
        <v>0</v>
      </c>
      <c r="CE248" s="104">
        <f t="shared" si="11"/>
        <v>7.5000000000000006E-3</v>
      </c>
      <c r="CF248" s="105">
        <f t="shared" si="9"/>
        <v>0.48</v>
      </c>
    </row>
    <row r="249" spans="1:84" ht="24" hidden="1" x14ac:dyDescent="0.25">
      <c r="A249" s="106">
        <v>248</v>
      </c>
      <c r="B249" s="107"/>
      <c r="C249" s="108" t="s">
        <v>471</v>
      </c>
      <c r="D249" s="109">
        <v>1000</v>
      </c>
      <c r="E249" s="110">
        <v>1000</v>
      </c>
      <c r="F249" s="123">
        <f t="shared" si="10"/>
        <v>1000000</v>
      </c>
      <c r="G249" s="259">
        <v>140</v>
      </c>
      <c r="H249" s="110">
        <v>800</v>
      </c>
      <c r="I249" s="112">
        <v>1</v>
      </c>
      <c r="J249" s="260">
        <v>21.88</v>
      </c>
      <c r="K249" s="161">
        <v>17.899999999999999</v>
      </c>
      <c r="L249" s="162">
        <v>27.8</v>
      </c>
      <c r="M249" s="116">
        <v>0.92</v>
      </c>
      <c r="N249" s="123">
        <v>8.24</v>
      </c>
      <c r="O249" s="117" t="s">
        <v>215</v>
      </c>
      <c r="P249" s="118" t="s">
        <v>216</v>
      </c>
      <c r="Q249" s="248">
        <v>2.7000000000000001E-3</v>
      </c>
      <c r="R249" s="110">
        <v>0</v>
      </c>
      <c r="S249" s="120">
        <v>5.4299999999999999E-3</v>
      </c>
      <c r="T249" s="110">
        <v>420</v>
      </c>
      <c r="U249" s="121">
        <v>1000</v>
      </c>
      <c r="V249" s="248">
        <v>5.9999999999999995E-4</v>
      </c>
      <c r="W249" s="110">
        <v>500</v>
      </c>
      <c r="X249" s="121">
        <v>400</v>
      </c>
      <c r="Y249" s="122">
        <v>0</v>
      </c>
      <c r="Z249" s="122">
        <v>1</v>
      </c>
      <c r="AA249" s="113">
        <v>3.2</v>
      </c>
      <c r="AB249" s="111">
        <v>11.1</v>
      </c>
      <c r="AC249" s="114">
        <v>3.5</v>
      </c>
      <c r="AD249" s="123">
        <v>0.42</v>
      </c>
      <c r="AE249" s="124">
        <v>0.61</v>
      </c>
      <c r="AF249" s="125">
        <v>0.54</v>
      </c>
      <c r="AG249" s="123">
        <v>0.12</v>
      </c>
      <c r="AH249" s="123">
        <v>0</v>
      </c>
      <c r="AI249" s="124">
        <v>0.65</v>
      </c>
      <c r="AJ249" s="125">
        <v>0.21</v>
      </c>
      <c r="AK249" s="123">
        <v>0.32</v>
      </c>
      <c r="AL249" s="123">
        <v>0</v>
      </c>
      <c r="AM249" s="124">
        <v>0.53</v>
      </c>
      <c r="AN249" s="125">
        <v>0.11</v>
      </c>
      <c r="AO249" s="123">
        <v>0.19</v>
      </c>
      <c r="AP249" s="123">
        <v>0</v>
      </c>
      <c r="AQ249" s="124">
        <v>0.3</v>
      </c>
      <c r="AR249" s="125">
        <v>0.37</v>
      </c>
      <c r="AS249" s="123">
        <v>0.14000000000000001</v>
      </c>
      <c r="AT249" s="123">
        <v>0</v>
      </c>
      <c r="AU249" s="124">
        <v>0.51</v>
      </c>
      <c r="AV249" s="125">
        <v>0.28999999999999998</v>
      </c>
      <c r="AW249" s="123">
        <v>0.3</v>
      </c>
      <c r="AX249" s="123">
        <v>0</v>
      </c>
      <c r="AY249" s="124">
        <v>0.57999999999999996</v>
      </c>
      <c r="AZ249" s="125">
        <v>0.22</v>
      </c>
      <c r="BA249" s="123">
        <v>0.32</v>
      </c>
      <c r="BB249" s="123">
        <v>0</v>
      </c>
      <c r="BC249" s="124">
        <v>0.54</v>
      </c>
      <c r="BD249" s="126">
        <v>0.37</v>
      </c>
      <c r="BE249" s="125">
        <v>0.46</v>
      </c>
      <c r="BF249" s="123">
        <v>0</v>
      </c>
      <c r="BG249" s="123">
        <v>0</v>
      </c>
      <c r="BH249" s="124">
        <v>0.46</v>
      </c>
      <c r="BI249" s="125">
        <v>0.46</v>
      </c>
      <c r="BJ249" s="123">
        <v>0.18</v>
      </c>
      <c r="BK249" s="123">
        <v>0</v>
      </c>
      <c r="BL249" s="124">
        <v>0.63</v>
      </c>
      <c r="BM249" s="125">
        <v>0.93</v>
      </c>
      <c r="BN249" s="123">
        <v>1.1499999999999999</v>
      </c>
      <c r="BO249" s="123">
        <v>2.0499999999999998</v>
      </c>
      <c r="BP249" s="123">
        <v>1.2</v>
      </c>
      <c r="BQ249" s="123">
        <v>1.05</v>
      </c>
      <c r="BR249" s="123">
        <v>1.1299999999999999</v>
      </c>
      <c r="BS249" s="123">
        <v>1.63</v>
      </c>
      <c r="BT249" s="123">
        <v>1.33</v>
      </c>
      <c r="BU249" s="124">
        <v>0.96</v>
      </c>
      <c r="BV249" s="79">
        <v>1000000</v>
      </c>
      <c r="BW249" s="259">
        <v>140</v>
      </c>
      <c r="BX249" s="110">
        <v>800</v>
      </c>
      <c r="BY249" s="162">
        <v>27.8</v>
      </c>
      <c r="BZ249" s="123">
        <v>8.24</v>
      </c>
      <c r="CA249" s="120">
        <v>5.4299999999999999E-3</v>
      </c>
      <c r="CB249" s="110">
        <v>420</v>
      </c>
      <c r="CC249" s="248">
        <v>5.9999999999999995E-4</v>
      </c>
      <c r="CD249" s="110">
        <v>500</v>
      </c>
      <c r="CE249" s="104">
        <f t="shared" si="11"/>
        <v>9.4999999999999998E-3</v>
      </c>
      <c r="CF249" s="105">
        <f t="shared" si="9"/>
        <v>0.61</v>
      </c>
    </row>
    <row r="250" spans="1:84" ht="24" hidden="1" x14ac:dyDescent="0.25">
      <c r="A250" s="133">
        <v>249</v>
      </c>
      <c r="B250" s="134"/>
      <c r="C250" s="135" t="s">
        <v>472</v>
      </c>
      <c r="D250" s="136">
        <v>1000</v>
      </c>
      <c r="E250" s="137">
        <v>1000</v>
      </c>
      <c r="F250" s="150">
        <f t="shared" si="10"/>
        <v>1000000</v>
      </c>
      <c r="G250" s="262">
        <v>140</v>
      </c>
      <c r="H250" s="137">
        <v>800</v>
      </c>
      <c r="I250" s="139">
        <v>1</v>
      </c>
      <c r="J250" s="263">
        <v>21.88</v>
      </c>
      <c r="K250" s="170">
        <v>17.899999999999999</v>
      </c>
      <c r="L250" s="186">
        <v>27.8</v>
      </c>
      <c r="M250" s="143">
        <v>0.92</v>
      </c>
      <c r="N250" s="150">
        <v>8.24</v>
      </c>
      <c r="O250" s="144" t="s">
        <v>215</v>
      </c>
      <c r="P250" s="145" t="s">
        <v>216</v>
      </c>
      <c r="Q250" s="249">
        <v>2.7000000000000001E-3</v>
      </c>
      <c r="R250" s="137">
        <v>0</v>
      </c>
      <c r="S250" s="147">
        <v>5.4299999999999999E-3</v>
      </c>
      <c r="T250" s="137">
        <v>420</v>
      </c>
      <c r="U250" s="148">
        <v>1000</v>
      </c>
      <c r="V250" s="249">
        <v>1.1999999999999999E-3</v>
      </c>
      <c r="W250" s="137">
        <v>500</v>
      </c>
      <c r="X250" s="148">
        <v>200</v>
      </c>
      <c r="Y250" s="149">
        <v>0</v>
      </c>
      <c r="Z250" s="149">
        <v>1</v>
      </c>
      <c r="AA250" s="140">
        <v>1.5</v>
      </c>
      <c r="AB250" s="138">
        <v>14.4</v>
      </c>
      <c r="AC250" s="141">
        <v>9.6</v>
      </c>
      <c r="AD250" s="150">
        <v>0.35</v>
      </c>
      <c r="AE250" s="151">
        <v>0.72</v>
      </c>
      <c r="AF250" s="152">
        <v>0.54</v>
      </c>
      <c r="AG250" s="150">
        <v>0.24</v>
      </c>
      <c r="AH250" s="150">
        <v>0</v>
      </c>
      <c r="AI250" s="151">
        <v>0.77</v>
      </c>
      <c r="AJ250" s="152">
        <v>0.21</v>
      </c>
      <c r="AK250" s="150">
        <v>0.53</v>
      </c>
      <c r="AL250" s="150">
        <v>0</v>
      </c>
      <c r="AM250" s="151">
        <v>0.74</v>
      </c>
      <c r="AN250" s="152">
        <v>0</v>
      </c>
      <c r="AO250" s="150">
        <v>0.38</v>
      </c>
      <c r="AP250" s="150">
        <v>0</v>
      </c>
      <c r="AQ250" s="151">
        <v>0.38</v>
      </c>
      <c r="AR250" s="152">
        <v>0.37</v>
      </c>
      <c r="AS250" s="150">
        <v>0.28999999999999998</v>
      </c>
      <c r="AT250" s="150">
        <v>0</v>
      </c>
      <c r="AU250" s="151">
        <v>0.65</v>
      </c>
      <c r="AV250" s="152">
        <v>0.28999999999999998</v>
      </c>
      <c r="AW250" s="150">
        <v>0.6</v>
      </c>
      <c r="AX250" s="150">
        <v>0</v>
      </c>
      <c r="AY250" s="151">
        <v>0.88</v>
      </c>
      <c r="AZ250" s="152">
        <v>0.22</v>
      </c>
      <c r="BA250" s="150">
        <v>0.46</v>
      </c>
      <c r="BB250" s="150">
        <v>0</v>
      </c>
      <c r="BC250" s="151">
        <v>0.68</v>
      </c>
      <c r="BD250" s="153">
        <v>0.37</v>
      </c>
      <c r="BE250" s="152">
        <v>0.46</v>
      </c>
      <c r="BF250" s="150">
        <v>0</v>
      </c>
      <c r="BG250" s="150">
        <v>0</v>
      </c>
      <c r="BH250" s="151">
        <v>0.46</v>
      </c>
      <c r="BI250" s="152">
        <v>0.46</v>
      </c>
      <c r="BJ250" s="150">
        <v>0.36</v>
      </c>
      <c r="BK250" s="150">
        <v>0</v>
      </c>
      <c r="BL250" s="151">
        <v>0.81</v>
      </c>
      <c r="BM250" s="152">
        <v>0.93</v>
      </c>
      <c r="BN250" s="150">
        <v>0.97</v>
      </c>
      <c r="BO250" s="150">
        <v>1.89</v>
      </c>
      <c r="BP250" s="150">
        <v>1.1000000000000001</v>
      </c>
      <c r="BQ250" s="150">
        <v>0.82</v>
      </c>
      <c r="BR250" s="150">
        <v>1.07</v>
      </c>
      <c r="BS250" s="150">
        <v>1.93</v>
      </c>
      <c r="BT250" s="150">
        <v>1.57</v>
      </c>
      <c r="BU250" s="151">
        <v>0.88</v>
      </c>
      <c r="BV250" s="79">
        <v>1000000</v>
      </c>
      <c r="BW250" s="262">
        <v>140</v>
      </c>
      <c r="BX250" s="137">
        <v>800</v>
      </c>
      <c r="BY250" s="186">
        <v>27.8</v>
      </c>
      <c r="BZ250" s="150">
        <v>8.24</v>
      </c>
      <c r="CA250" s="147">
        <v>5.4299999999999999E-3</v>
      </c>
      <c r="CB250" s="137">
        <v>420</v>
      </c>
      <c r="CC250" s="249">
        <v>1.1999999999999999E-3</v>
      </c>
      <c r="CD250" s="137">
        <v>500</v>
      </c>
      <c r="CE250" s="104">
        <f t="shared" si="11"/>
        <v>1.1214285714285715E-2</v>
      </c>
      <c r="CF250" s="105">
        <f t="shared" si="9"/>
        <v>0.72</v>
      </c>
    </row>
    <row r="251" spans="1:84" ht="24" customHeight="1" x14ac:dyDescent="0.25">
      <c r="A251" s="83">
        <v>250</v>
      </c>
      <c r="B251" s="84" t="s">
        <v>473</v>
      </c>
      <c r="C251" s="85" t="s">
        <v>474</v>
      </c>
      <c r="D251" s="86">
        <v>1000</v>
      </c>
      <c r="E251" s="87">
        <v>1050</v>
      </c>
      <c r="F251" s="100">
        <f t="shared" si="10"/>
        <v>1050000</v>
      </c>
      <c r="G251" s="256">
        <v>140</v>
      </c>
      <c r="H251" s="87">
        <v>840</v>
      </c>
      <c r="I251" s="89">
        <v>0.95</v>
      </c>
      <c r="J251" s="257">
        <v>21.88</v>
      </c>
      <c r="K251" s="155">
        <v>17.899999999999999</v>
      </c>
      <c r="L251" s="156">
        <v>27.8</v>
      </c>
      <c r="M251" s="258">
        <v>1.01</v>
      </c>
      <c r="N251" s="100">
        <v>16.97</v>
      </c>
      <c r="O251" s="94" t="s">
        <v>206</v>
      </c>
      <c r="P251" s="95" t="s">
        <v>216</v>
      </c>
      <c r="Q251" s="255">
        <v>1.4E-3</v>
      </c>
      <c r="R251" s="87">
        <v>0</v>
      </c>
      <c r="S251" s="97">
        <v>2.7399999999999998E-3</v>
      </c>
      <c r="T251" s="87">
        <v>420</v>
      </c>
      <c r="U251" s="98">
        <v>1050</v>
      </c>
      <c r="V251" s="86">
        <v>0</v>
      </c>
      <c r="W251" s="87">
        <v>0</v>
      </c>
      <c r="X251" s="95" t="s">
        <v>418</v>
      </c>
      <c r="Y251" s="99">
        <v>0</v>
      </c>
      <c r="Z251" s="99">
        <v>1</v>
      </c>
      <c r="AA251" s="90">
        <v>1.6</v>
      </c>
      <c r="AB251" s="88">
        <v>3.9</v>
      </c>
      <c r="AC251" s="91">
        <v>2.5</v>
      </c>
      <c r="AD251" s="100">
        <v>0.13</v>
      </c>
      <c r="AE251" s="101">
        <v>0.28999999999999998</v>
      </c>
      <c r="AF251" s="102">
        <v>0.38</v>
      </c>
      <c r="AG251" s="100">
        <v>0</v>
      </c>
      <c r="AH251" s="100">
        <v>0</v>
      </c>
      <c r="AI251" s="101">
        <v>0.38</v>
      </c>
      <c r="AJ251" s="102">
        <v>0.21</v>
      </c>
      <c r="AK251" s="100">
        <v>0</v>
      </c>
      <c r="AL251" s="100">
        <v>0</v>
      </c>
      <c r="AM251" s="101">
        <v>0.21</v>
      </c>
      <c r="AN251" s="102">
        <v>0.41</v>
      </c>
      <c r="AO251" s="100">
        <v>0</v>
      </c>
      <c r="AP251" s="100">
        <v>0</v>
      </c>
      <c r="AQ251" s="101">
        <v>0.41</v>
      </c>
      <c r="AR251" s="102">
        <v>0.55000000000000004</v>
      </c>
      <c r="AS251" s="100">
        <v>0</v>
      </c>
      <c r="AT251" s="100">
        <v>0</v>
      </c>
      <c r="AU251" s="101">
        <v>0.55000000000000004</v>
      </c>
      <c r="AV251" s="102">
        <v>0.21</v>
      </c>
      <c r="AW251" s="100">
        <v>0</v>
      </c>
      <c r="AX251" s="100">
        <v>0</v>
      </c>
      <c r="AY251" s="101">
        <v>0.21</v>
      </c>
      <c r="AZ251" s="102">
        <v>0.25</v>
      </c>
      <c r="BA251" s="100">
        <v>0</v>
      </c>
      <c r="BB251" s="100">
        <v>0</v>
      </c>
      <c r="BC251" s="101">
        <v>0.25</v>
      </c>
      <c r="BD251" s="103">
        <v>0.19</v>
      </c>
      <c r="BE251" s="102">
        <v>0.53</v>
      </c>
      <c r="BF251" s="100">
        <v>0</v>
      </c>
      <c r="BG251" s="100">
        <v>0</v>
      </c>
      <c r="BH251" s="101">
        <v>0.53</v>
      </c>
      <c r="BI251" s="102">
        <v>0.51</v>
      </c>
      <c r="BJ251" s="100">
        <v>0</v>
      </c>
      <c r="BK251" s="100">
        <v>0</v>
      </c>
      <c r="BL251" s="101">
        <v>0.51</v>
      </c>
      <c r="BM251" s="102">
        <v>0.76</v>
      </c>
      <c r="BN251" s="100">
        <v>1.4</v>
      </c>
      <c r="BO251" s="100">
        <v>0.72</v>
      </c>
      <c r="BP251" s="100">
        <v>0.53</v>
      </c>
      <c r="BQ251" s="100">
        <v>1.43</v>
      </c>
      <c r="BR251" s="100">
        <v>1.17</v>
      </c>
      <c r="BS251" s="100">
        <v>1.54</v>
      </c>
      <c r="BT251" s="100">
        <v>0.55000000000000004</v>
      </c>
      <c r="BU251" s="101">
        <v>0.57999999999999996</v>
      </c>
      <c r="BV251" s="79">
        <v>1050000</v>
      </c>
      <c r="BW251" s="256">
        <v>140</v>
      </c>
      <c r="BX251" s="87">
        <v>840</v>
      </c>
      <c r="BY251" s="156">
        <v>27.8</v>
      </c>
      <c r="BZ251" s="100">
        <v>16.97</v>
      </c>
      <c r="CA251" s="97">
        <v>2.7399999999999998E-3</v>
      </c>
      <c r="CB251" s="87">
        <v>420</v>
      </c>
      <c r="CC251" s="86">
        <v>0</v>
      </c>
      <c r="CD251" s="87">
        <v>0</v>
      </c>
      <c r="CE251" s="184">
        <f t="shared" si="11"/>
        <v>3.7414965986394561E-3</v>
      </c>
      <c r="CF251" s="185">
        <f t="shared" si="9"/>
        <v>0.28999999999999998</v>
      </c>
    </row>
    <row r="252" spans="1:84" ht="24" hidden="1" x14ac:dyDescent="0.25">
      <c r="A252" s="106">
        <v>251</v>
      </c>
      <c r="B252" s="107"/>
      <c r="C252" s="108" t="s">
        <v>475</v>
      </c>
      <c r="D252" s="109">
        <v>1000</v>
      </c>
      <c r="E252" s="110">
        <v>1050</v>
      </c>
      <c r="F252" s="123">
        <f t="shared" si="10"/>
        <v>1050000</v>
      </c>
      <c r="G252" s="259">
        <v>140</v>
      </c>
      <c r="H252" s="110">
        <v>840</v>
      </c>
      <c r="I252" s="112">
        <v>0.95</v>
      </c>
      <c r="J252" s="260">
        <v>21.88</v>
      </c>
      <c r="K252" s="161">
        <v>17.899999999999999</v>
      </c>
      <c r="L252" s="162">
        <v>27.8</v>
      </c>
      <c r="M252" s="116">
        <v>1.26</v>
      </c>
      <c r="N252" s="123">
        <v>15.68</v>
      </c>
      <c r="O252" s="117" t="s">
        <v>215</v>
      </c>
      <c r="P252" s="118" t="s">
        <v>216</v>
      </c>
      <c r="Q252" s="248">
        <v>2.5999999999999999E-3</v>
      </c>
      <c r="R252" s="110">
        <v>0</v>
      </c>
      <c r="S252" s="120">
        <v>5.1700000000000001E-3</v>
      </c>
      <c r="T252" s="110">
        <v>420</v>
      </c>
      <c r="U252" s="121">
        <v>1050</v>
      </c>
      <c r="V252" s="248">
        <v>5.9999999999999995E-4</v>
      </c>
      <c r="W252" s="110">
        <v>500</v>
      </c>
      <c r="X252" s="121">
        <v>400</v>
      </c>
      <c r="Y252" s="122">
        <v>0</v>
      </c>
      <c r="Z252" s="122">
        <v>1</v>
      </c>
      <c r="AA252" s="128" t="s">
        <v>418</v>
      </c>
      <c r="AB252" s="111">
        <v>8.6</v>
      </c>
      <c r="AC252" s="118" t="s">
        <v>418</v>
      </c>
      <c r="AD252" s="117" t="s">
        <v>229</v>
      </c>
      <c r="AE252" s="180">
        <v>0.87</v>
      </c>
      <c r="AF252" s="125">
        <v>0.74</v>
      </c>
      <c r="AG252" s="123">
        <v>0.12</v>
      </c>
      <c r="AH252" s="123">
        <v>0</v>
      </c>
      <c r="AI252" s="124">
        <v>0.86</v>
      </c>
      <c r="AJ252" s="125">
        <v>0.21</v>
      </c>
      <c r="AK252" s="123">
        <v>0.32</v>
      </c>
      <c r="AL252" s="123">
        <v>0</v>
      </c>
      <c r="AM252" s="124">
        <v>0.53</v>
      </c>
      <c r="AN252" s="125">
        <v>0</v>
      </c>
      <c r="AO252" s="123">
        <v>0.19</v>
      </c>
      <c r="AP252" s="123">
        <v>0</v>
      </c>
      <c r="AQ252" s="124">
        <v>0.19</v>
      </c>
      <c r="AR252" s="125">
        <v>0.53</v>
      </c>
      <c r="AS252" s="123">
        <v>0.14000000000000001</v>
      </c>
      <c r="AT252" s="123">
        <v>0</v>
      </c>
      <c r="AU252" s="124">
        <v>0.67</v>
      </c>
      <c r="AV252" s="125">
        <v>0.39</v>
      </c>
      <c r="AW252" s="123">
        <v>0.3</v>
      </c>
      <c r="AX252" s="123">
        <v>0</v>
      </c>
      <c r="AY252" s="124">
        <v>0.69</v>
      </c>
      <c r="AZ252" s="125">
        <v>0.28000000000000003</v>
      </c>
      <c r="BA252" s="123">
        <v>0.32</v>
      </c>
      <c r="BB252" s="123">
        <v>0</v>
      </c>
      <c r="BC252" s="124">
        <v>0.6</v>
      </c>
      <c r="BD252" s="126">
        <v>0.51</v>
      </c>
      <c r="BE252" s="125">
        <v>0.66</v>
      </c>
      <c r="BF252" s="123">
        <v>0</v>
      </c>
      <c r="BG252" s="123">
        <v>0</v>
      </c>
      <c r="BH252" s="124">
        <v>0.66</v>
      </c>
      <c r="BI252" s="125">
        <v>0.63</v>
      </c>
      <c r="BJ252" s="123">
        <v>0.18</v>
      </c>
      <c r="BK252" s="123">
        <v>0</v>
      </c>
      <c r="BL252" s="124">
        <v>0.81</v>
      </c>
      <c r="BM252" s="125">
        <v>1.01</v>
      </c>
      <c r="BN252" s="123">
        <v>1.64</v>
      </c>
      <c r="BO252" s="123">
        <v>4.6100000000000003</v>
      </c>
      <c r="BP252" s="123">
        <v>1.29</v>
      </c>
      <c r="BQ252" s="123">
        <v>1.26</v>
      </c>
      <c r="BR252" s="123">
        <v>1.45</v>
      </c>
      <c r="BS252" s="123">
        <v>1.69</v>
      </c>
      <c r="BT252" s="123">
        <v>1.31</v>
      </c>
      <c r="BU252" s="124">
        <v>1.08</v>
      </c>
      <c r="BV252" s="79">
        <v>1050000</v>
      </c>
      <c r="BW252" s="259">
        <v>140</v>
      </c>
      <c r="BX252" s="110">
        <v>840</v>
      </c>
      <c r="BY252" s="162">
        <v>27.8</v>
      </c>
      <c r="BZ252" s="123">
        <v>15.68</v>
      </c>
      <c r="CA252" s="120">
        <v>5.1700000000000001E-3</v>
      </c>
      <c r="CB252" s="110">
        <v>420</v>
      </c>
      <c r="CC252" s="248">
        <v>5.9999999999999995E-4</v>
      </c>
      <c r="CD252" s="110">
        <v>500</v>
      </c>
      <c r="CE252" s="104">
        <f t="shared" si="11"/>
        <v>8.9115646258503406E-3</v>
      </c>
      <c r="CF252" s="105">
        <f t="shared" si="9"/>
        <v>0.87</v>
      </c>
    </row>
    <row r="253" spans="1:84" ht="24" hidden="1" x14ac:dyDescent="0.25">
      <c r="A253" s="106">
        <v>252</v>
      </c>
      <c r="B253" s="107"/>
      <c r="C253" s="108" t="s">
        <v>476</v>
      </c>
      <c r="D253" s="109">
        <v>800</v>
      </c>
      <c r="E253" s="110">
        <v>1350</v>
      </c>
      <c r="F253" s="123">
        <f t="shared" si="10"/>
        <v>1080000</v>
      </c>
      <c r="G253" s="259">
        <v>140</v>
      </c>
      <c r="H253" s="110">
        <v>1080</v>
      </c>
      <c r="I253" s="112">
        <v>0.59</v>
      </c>
      <c r="J253" s="260">
        <v>21.88</v>
      </c>
      <c r="K253" s="161">
        <v>17.899999999999999</v>
      </c>
      <c r="L253" s="162">
        <v>27.8</v>
      </c>
      <c r="M253" s="116">
        <v>1.26</v>
      </c>
      <c r="N253" s="123">
        <v>15.68</v>
      </c>
      <c r="O253" s="117" t="s">
        <v>215</v>
      </c>
      <c r="P253" s="118" t="s">
        <v>216</v>
      </c>
      <c r="Q253" s="248">
        <v>1.1000000000000001E-3</v>
      </c>
      <c r="R253" s="110">
        <v>0</v>
      </c>
      <c r="S253" s="120">
        <v>2.1299999999999999E-3</v>
      </c>
      <c r="T253" s="110">
        <v>420</v>
      </c>
      <c r="U253" s="121">
        <v>1350</v>
      </c>
      <c r="V253" s="109">
        <v>0</v>
      </c>
      <c r="W253" s="110">
        <v>0</v>
      </c>
      <c r="X253" s="118" t="s">
        <v>418</v>
      </c>
      <c r="Y253" s="122">
        <v>0</v>
      </c>
      <c r="Z253" s="122">
        <v>1</v>
      </c>
      <c r="AA253" s="128" t="s">
        <v>418</v>
      </c>
      <c r="AB253" s="111">
        <v>9.3000000000000007</v>
      </c>
      <c r="AC253" s="118" t="s">
        <v>418</v>
      </c>
      <c r="AD253" s="117" t="s">
        <v>229</v>
      </c>
      <c r="AE253" s="180">
        <v>1.07</v>
      </c>
      <c r="AF253" s="125">
        <v>0.89</v>
      </c>
      <c r="AG253" s="123">
        <v>0</v>
      </c>
      <c r="AH253" s="123">
        <v>0</v>
      </c>
      <c r="AI253" s="124">
        <v>0.89</v>
      </c>
      <c r="AJ253" s="125">
        <v>0.21</v>
      </c>
      <c r="AK253" s="123">
        <v>0</v>
      </c>
      <c r="AL253" s="123">
        <v>0</v>
      </c>
      <c r="AM253" s="124">
        <v>0.21</v>
      </c>
      <c r="AN253" s="125">
        <v>0</v>
      </c>
      <c r="AO253" s="123">
        <v>0</v>
      </c>
      <c r="AP253" s="123">
        <v>0</v>
      </c>
      <c r="AQ253" s="124">
        <v>0</v>
      </c>
      <c r="AR253" s="125">
        <v>0.71</v>
      </c>
      <c r="AS253" s="123">
        <v>0</v>
      </c>
      <c r="AT253" s="123">
        <v>0</v>
      </c>
      <c r="AU253" s="124">
        <v>0.71</v>
      </c>
      <c r="AV253" s="125">
        <v>0.53</v>
      </c>
      <c r="AW253" s="123">
        <v>0</v>
      </c>
      <c r="AX253" s="123">
        <v>0</v>
      </c>
      <c r="AY253" s="124">
        <v>0.53</v>
      </c>
      <c r="AZ253" s="125">
        <v>0.23</v>
      </c>
      <c r="BA253" s="123">
        <v>0</v>
      </c>
      <c r="BB253" s="123">
        <v>0</v>
      </c>
      <c r="BC253" s="124">
        <v>0.23</v>
      </c>
      <c r="BD253" s="126">
        <v>0.21</v>
      </c>
      <c r="BE253" s="125">
        <v>1.07</v>
      </c>
      <c r="BF253" s="123">
        <v>0</v>
      </c>
      <c r="BG253" s="123">
        <v>0</v>
      </c>
      <c r="BH253" s="124">
        <v>1.07</v>
      </c>
      <c r="BI253" s="125">
        <v>0.63</v>
      </c>
      <c r="BJ253" s="123">
        <v>0</v>
      </c>
      <c r="BK253" s="123">
        <v>0</v>
      </c>
      <c r="BL253" s="124">
        <v>0.63</v>
      </c>
      <c r="BM253" s="125">
        <v>1.2</v>
      </c>
      <c r="BN253" s="123">
        <v>5.0999999999999996</v>
      </c>
      <c r="BO253" s="129"/>
      <c r="BP253" s="123">
        <v>1.5</v>
      </c>
      <c r="BQ253" s="123">
        <v>2.0099999999999998</v>
      </c>
      <c r="BR253" s="123">
        <v>4.68</v>
      </c>
      <c r="BS253" s="123">
        <v>5.0199999999999996</v>
      </c>
      <c r="BT253" s="123">
        <v>1</v>
      </c>
      <c r="BU253" s="124">
        <v>1.69</v>
      </c>
      <c r="BV253" s="79">
        <v>1080000</v>
      </c>
      <c r="BW253" s="259">
        <v>140</v>
      </c>
      <c r="BX253" s="110">
        <v>1080</v>
      </c>
      <c r="BY253" s="162">
        <v>27.8</v>
      </c>
      <c r="BZ253" s="123">
        <v>15.68</v>
      </c>
      <c r="CA253" s="120">
        <v>2.1299999999999999E-3</v>
      </c>
      <c r="CB253" s="110">
        <v>420</v>
      </c>
      <c r="CC253" s="109">
        <v>0</v>
      </c>
      <c r="CD253" s="110">
        <v>0</v>
      </c>
      <c r="CE253" s="104">
        <f t="shared" si="11"/>
        <v>5.2910052910052907E-3</v>
      </c>
      <c r="CF253" s="105">
        <f t="shared" si="9"/>
        <v>1.07</v>
      </c>
    </row>
    <row r="254" spans="1:84" ht="24" hidden="1" x14ac:dyDescent="0.25">
      <c r="A254" s="106">
        <v>253</v>
      </c>
      <c r="B254" s="107"/>
      <c r="C254" s="108" t="s">
        <v>477</v>
      </c>
      <c r="D254" s="109">
        <v>800</v>
      </c>
      <c r="E254" s="110">
        <v>1350</v>
      </c>
      <c r="F254" s="123">
        <f t="shared" si="10"/>
        <v>1080000</v>
      </c>
      <c r="G254" s="259">
        <v>140</v>
      </c>
      <c r="H254" s="110">
        <v>1080</v>
      </c>
      <c r="I254" s="112">
        <v>0.59</v>
      </c>
      <c r="J254" s="260">
        <v>21.88</v>
      </c>
      <c r="K254" s="161">
        <v>17.899999999999999</v>
      </c>
      <c r="L254" s="162">
        <v>27.8</v>
      </c>
      <c r="M254" s="116">
        <v>1.26</v>
      </c>
      <c r="N254" s="123">
        <v>15.68</v>
      </c>
      <c r="O254" s="117" t="s">
        <v>215</v>
      </c>
      <c r="P254" s="118" t="s">
        <v>216</v>
      </c>
      <c r="Q254" s="248">
        <v>2E-3</v>
      </c>
      <c r="R254" s="110">
        <v>0</v>
      </c>
      <c r="S254" s="120">
        <v>4.0200000000000001E-3</v>
      </c>
      <c r="T254" s="110">
        <v>420</v>
      </c>
      <c r="U254" s="121">
        <v>1350</v>
      </c>
      <c r="V254" s="248">
        <v>5.9999999999999995E-4</v>
      </c>
      <c r="W254" s="110">
        <v>500</v>
      </c>
      <c r="X254" s="121">
        <v>400</v>
      </c>
      <c r="Y254" s="122">
        <v>0</v>
      </c>
      <c r="Z254" s="122">
        <v>1</v>
      </c>
      <c r="AA254" s="128" t="s">
        <v>418</v>
      </c>
      <c r="AB254" s="111">
        <v>7.2</v>
      </c>
      <c r="AC254" s="118" t="s">
        <v>418</v>
      </c>
      <c r="AD254" s="117" t="s">
        <v>229</v>
      </c>
      <c r="AE254" s="180">
        <v>1.28</v>
      </c>
      <c r="AF254" s="125">
        <v>0.89</v>
      </c>
      <c r="AG254" s="123">
        <v>0.12</v>
      </c>
      <c r="AH254" s="123">
        <v>0</v>
      </c>
      <c r="AI254" s="124">
        <v>1.01</v>
      </c>
      <c r="AJ254" s="125">
        <v>0.21</v>
      </c>
      <c r="AK254" s="123">
        <v>0.4</v>
      </c>
      <c r="AL254" s="123">
        <v>0</v>
      </c>
      <c r="AM254" s="124">
        <v>0.61</v>
      </c>
      <c r="AN254" s="125">
        <v>0</v>
      </c>
      <c r="AO254" s="123">
        <v>0.19</v>
      </c>
      <c r="AP254" s="123">
        <v>0</v>
      </c>
      <c r="AQ254" s="124">
        <v>0.19</v>
      </c>
      <c r="AR254" s="125">
        <v>0.71</v>
      </c>
      <c r="AS254" s="123">
        <v>0.14000000000000001</v>
      </c>
      <c r="AT254" s="123">
        <v>0</v>
      </c>
      <c r="AU254" s="124">
        <v>0.85</v>
      </c>
      <c r="AV254" s="125">
        <v>0.53</v>
      </c>
      <c r="AW254" s="123">
        <v>0.3</v>
      </c>
      <c r="AX254" s="123">
        <v>0</v>
      </c>
      <c r="AY254" s="124">
        <v>0.83</v>
      </c>
      <c r="AZ254" s="125">
        <v>0.26</v>
      </c>
      <c r="BA254" s="123">
        <v>0.32</v>
      </c>
      <c r="BB254" s="123">
        <v>0</v>
      </c>
      <c r="BC254" s="124">
        <v>0.59</v>
      </c>
      <c r="BD254" s="126">
        <v>0.56000000000000005</v>
      </c>
      <c r="BE254" s="125">
        <v>1.07</v>
      </c>
      <c r="BF254" s="123">
        <v>0</v>
      </c>
      <c r="BG254" s="123">
        <v>0</v>
      </c>
      <c r="BH254" s="124">
        <v>1.07</v>
      </c>
      <c r="BI254" s="125">
        <v>0.63</v>
      </c>
      <c r="BJ254" s="123">
        <v>0.18</v>
      </c>
      <c r="BK254" s="123">
        <v>0</v>
      </c>
      <c r="BL254" s="124">
        <v>0.81</v>
      </c>
      <c r="BM254" s="125">
        <v>1.27</v>
      </c>
      <c r="BN254" s="123">
        <v>2.1</v>
      </c>
      <c r="BO254" s="123">
        <v>6.78</v>
      </c>
      <c r="BP254" s="123">
        <v>1.5</v>
      </c>
      <c r="BQ254" s="123">
        <v>1.55</v>
      </c>
      <c r="BR254" s="123">
        <v>2.19</v>
      </c>
      <c r="BS254" s="123">
        <v>2.2999999999999998</v>
      </c>
      <c r="BT254" s="123">
        <v>1.2</v>
      </c>
      <c r="BU254" s="124">
        <v>1.58</v>
      </c>
      <c r="BV254" s="79">
        <v>1080000</v>
      </c>
      <c r="BW254" s="259">
        <v>140</v>
      </c>
      <c r="BX254" s="110">
        <v>1080</v>
      </c>
      <c r="BY254" s="162">
        <v>27.8</v>
      </c>
      <c r="BZ254" s="123">
        <v>15.68</v>
      </c>
      <c r="CA254" s="120">
        <v>4.0200000000000001E-3</v>
      </c>
      <c r="CB254" s="110">
        <v>420</v>
      </c>
      <c r="CC254" s="248">
        <v>5.9999999999999995E-4</v>
      </c>
      <c r="CD254" s="110">
        <v>500</v>
      </c>
      <c r="CE254" s="104">
        <f t="shared" si="11"/>
        <v>6.3492063492063492E-3</v>
      </c>
      <c r="CF254" s="105">
        <f t="shared" si="9"/>
        <v>1.28</v>
      </c>
    </row>
    <row r="255" spans="1:84" ht="24" hidden="1" x14ac:dyDescent="0.25">
      <c r="A255" s="133">
        <v>254</v>
      </c>
      <c r="B255" s="134"/>
      <c r="C255" s="135" t="s">
        <v>478</v>
      </c>
      <c r="D255" s="136">
        <v>600</v>
      </c>
      <c r="E255" s="137">
        <v>1650</v>
      </c>
      <c r="F255" s="150">
        <f t="shared" si="10"/>
        <v>990000</v>
      </c>
      <c r="G255" s="262">
        <v>140</v>
      </c>
      <c r="H255" s="137">
        <v>1320</v>
      </c>
      <c r="I255" s="139">
        <v>0.36</v>
      </c>
      <c r="J255" s="263">
        <v>21.88</v>
      </c>
      <c r="K255" s="170">
        <v>17.899999999999999</v>
      </c>
      <c r="L255" s="186">
        <v>27.8</v>
      </c>
      <c r="M255" s="143">
        <v>1.26</v>
      </c>
      <c r="N255" s="150">
        <v>15.68</v>
      </c>
      <c r="O255" s="144" t="s">
        <v>215</v>
      </c>
      <c r="P255" s="145" t="s">
        <v>216</v>
      </c>
      <c r="Q255" s="249">
        <v>8.9999999999999998E-4</v>
      </c>
      <c r="R255" s="137">
        <v>0</v>
      </c>
      <c r="S255" s="147">
        <v>1.74E-3</v>
      </c>
      <c r="T255" s="137">
        <v>420</v>
      </c>
      <c r="U255" s="148">
        <v>1650</v>
      </c>
      <c r="V255" s="136">
        <v>0</v>
      </c>
      <c r="W255" s="137">
        <v>0</v>
      </c>
      <c r="X255" s="145" t="s">
        <v>418</v>
      </c>
      <c r="Y255" s="149">
        <v>0</v>
      </c>
      <c r="Z255" s="149">
        <v>1</v>
      </c>
      <c r="AA255" s="198" t="s">
        <v>418</v>
      </c>
      <c r="AB255" s="138">
        <v>4.2</v>
      </c>
      <c r="AC255" s="145" t="s">
        <v>418</v>
      </c>
      <c r="AD255" s="117" t="s">
        <v>229</v>
      </c>
      <c r="AE255" s="182">
        <v>1.17</v>
      </c>
      <c r="AF255" s="152">
        <v>1.05</v>
      </c>
      <c r="AG255" s="150">
        <v>0</v>
      </c>
      <c r="AH255" s="150">
        <v>0</v>
      </c>
      <c r="AI255" s="151">
        <v>1.05</v>
      </c>
      <c r="AJ255" s="152">
        <v>0.21</v>
      </c>
      <c r="AK255" s="150">
        <v>0</v>
      </c>
      <c r="AL255" s="150">
        <v>0</v>
      </c>
      <c r="AM255" s="151">
        <v>0.21</v>
      </c>
      <c r="AN255" s="152">
        <v>0</v>
      </c>
      <c r="AO255" s="150">
        <v>0</v>
      </c>
      <c r="AP255" s="150">
        <v>0</v>
      </c>
      <c r="AQ255" s="151">
        <v>0</v>
      </c>
      <c r="AR255" s="152">
        <v>0.83</v>
      </c>
      <c r="AS255" s="150">
        <v>0</v>
      </c>
      <c r="AT255" s="150">
        <v>0</v>
      </c>
      <c r="AU255" s="151">
        <v>0.83</v>
      </c>
      <c r="AV255" s="152">
        <v>0.68</v>
      </c>
      <c r="AW255" s="150">
        <v>0</v>
      </c>
      <c r="AX255" s="150">
        <v>0</v>
      </c>
      <c r="AY255" s="151">
        <v>0.68</v>
      </c>
      <c r="AZ255" s="152">
        <v>0.22</v>
      </c>
      <c r="BA255" s="150">
        <v>0</v>
      </c>
      <c r="BB255" s="150">
        <v>0</v>
      </c>
      <c r="BC255" s="151">
        <v>0.22</v>
      </c>
      <c r="BD255" s="153">
        <v>0.24</v>
      </c>
      <c r="BE255" s="152">
        <v>1.74</v>
      </c>
      <c r="BF255" s="150">
        <v>0</v>
      </c>
      <c r="BG255" s="150">
        <v>0</v>
      </c>
      <c r="BH255" s="151">
        <v>1.74</v>
      </c>
      <c r="BI255" s="152">
        <v>0.63</v>
      </c>
      <c r="BJ255" s="150">
        <v>0</v>
      </c>
      <c r="BK255" s="150">
        <v>0</v>
      </c>
      <c r="BL255" s="151">
        <v>0.63</v>
      </c>
      <c r="BM255" s="152">
        <v>1.1100000000000001</v>
      </c>
      <c r="BN255" s="150">
        <v>5.57</v>
      </c>
      <c r="BO255" s="200"/>
      <c r="BP255" s="150">
        <v>1.41</v>
      </c>
      <c r="BQ255" s="150">
        <v>1.71</v>
      </c>
      <c r="BR255" s="150">
        <v>5.36</v>
      </c>
      <c r="BS255" s="150">
        <v>4.8899999999999997</v>
      </c>
      <c r="BT255" s="150">
        <v>0.67</v>
      </c>
      <c r="BU255" s="151">
        <v>1.85</v>
      </c>
      <c r="BV255" s="79">
        <v>990000</v>
      </c>
      <c r="BW255" s="262">
        <v>140</v>
      </c>
      <c r="BX255" s="137">
        <v>1320</v>
      </c>
      <c r="BY255" s="186">
        <v>27.8</v>
      </c>
      <c r="BZ255" s="150">
        <v>15.68</v>
      </c>
      <c r="CA255" s="147">
        <v>1.74E-3</v>
      </c>
      <c r="CB255" s="137">
        <v>420</v>
      </c>
      <c r="CC255" s="136">
        <v>0</v>
      </c>
      <c r="CD255" s="137">
        <v>0</v>
      </c>
      <c r="CE255" s="104">
        <f t="shared" si="11"/>
        <v>2.9004329004329006E-3</v>
      </c>
      <c r="CF255" s="105">
        <f t="shared" si="9"/>
        <v>1.17</v>
      </c>
    </row>
    <row r="256" spans="1:84" ht="14.25" customHeight="1" x14ac:dyDescent="0.25">
      <c r="A256" s="83">
        <v>255</v>
      </c>
      <c r="B256" s="84" t="s">
        <v>60</v>
      </c>
      <c r="C256" s="85" t="s">
        <v>479</v>
      </c>
      <c r="D256" s="86">
        <v>2400</v>
      </c>
      <c r="E256" s="87">
        <v>2400</v>
      </c>
      <c r="F256" s="100">
        <f t="shared" si="10"/>
        <v>5760000</v>
      </c>
      <c r="G256" s="256">
        <v>140</v>
      </c>
      <c r="H256" s="87">
        <v>1920</v>
      </c>
      <c r="I256" s="89">
        <v>1</v>
      </c>
      <c r="J256" s="257">
        <v>21.88</v>
      </c>
      <c r="K256" s="155">
        <v>17.899999999999999</v>
      </c>
      <c r="L256" s="156">
        <v>27.8</v>
      </c>
      <c r="M256" s="93">
        <v>0.7</v>
      </c>
      <c r="N256" s="100">
        <v>16.04</v>
      </c>
      <c r="O256" s="94" t="s">
        <v>206</v>
      </c>
      <c r="P256" s="95" t="s">
        <v>216</v>
      </c>
      <c r="Q256" s="255">
        <v>5.9999999999999995E-4</v>
      </c>
      <c r="R256" s="97">
        <v>4.4999999999999999E-4</v>
      </c>
      <c r="S256" s="251">
        <v>1.5E-3</v>
      </c>
      <c r="T256" s="87">
        <v>420</v>
      </c>
      <c r="U256" s="98">
        <v>800</v>
      </c>
      <c r="V256" s="255">
        <v>5.9999999999999995E-4</v>
      </c>
      <c r="W256" s="87">
        <v>280</v>
      </c>
      <c r="X256" s="98">
        <v>300</v>
      </c>
      <c r="Y256" s="99">
        <v>0</v>
      </c>
      <c r="Z256" s="99">
        <v>1</v>
      </c>
      <c r="AA256" s="90">
        <v>7.4</v>
      </c>
      <c r="AB256" s="88">
        <v>16.2</v>
      </c>
      <c r="AC256" s="91">
        <v>2.2000000000000002</v>
      </c>
      <c r="AD256" s="100">
        <v>0.46</v>
      </c>
      <c r="AE256" s="101">
        <v>0.57999999999999996</v>
      </c>
      <c r="AF256" s="102">
        <v>0.37</v>
      </c>
      <c r="AG256" s="100">
        <v>0.06</v>
      </c>
      <c r="AH256" s="100">
        <v>0</v>
      </c>
      <c r="AI256" s="101">
        <v>0.44</v>
      </c>
      <c r="AJ256" s="102">
        <v>0.21</v>
      </c>
      <c r="AK256" s="100">
        <v>0.16</v>
      </c>
      <c r="AL256" s="100">
        <v>0</v>
      </c>
      <c r="AM256" s="101">
        <v>0.37</v>
      </c>
      <c r="AN256" s="102">
        <v>0.43</v>
      </c>
      <c r="AO256" s="100">
        <v>0.1</v>
      </c>
      <c r="AP256" s="100">
        <v>0</v>
      </c>
      <c r="AQ256" s="101">
        <v>0.53</v>
      </c>
      <c r="AR256" s="102">
        <v>0.51</v>
      </c>
      <c r="AS256" s="100">
        <v>0.08</v>
      </c>
      <c r="AT256" s="100">
        <v>0</v>
      </c>
      <c r="AU256" s="101">
        <v>0.59</v>
      </c>
      <c r="AV256" s="102">
        <v>0.2</v>
      </c>
      <c r="AW256" s="100">
        <v>0.16</v>
      </c>
      <c r="AX256" s="100">
        <v>0</v>
      </c>
      <c r="AY256" s="101">
        <v>0.36</v>
      </c>
      <c r="AZ256" s="102">
        <v>0.2</v>
      </c>
      <c r="BA256" s="100">
        <v>0.49</v>
      </c>
      <c r="BB256" s="100">
        <v>0</v>
      </c>
      <c r="BC256" s="101">
        <v>0.7</v>
      </c>
      <c r="BD256" s="103">
        <v>0.52</v>
      </c>
      <c r="BE256" s="102">
        <v>0.35</v>
      </c>
      <c r="BF256" s="100">
        <v>0</v>
      </c>
      <c r="BG256" s="100">
        <v>0</v>
      </c>
      <c r="BH256" s="101">
        <v>0.35</v>
      </c>
      <c r="BI256" s="102">
        <v>0.35</v>
      </c>
      <c r="BJ256" s="100">
        <v>0.1</v>
      </c>
      <c r="BK256" s="100">
        <v>0</v>
      </c>
      <c r="BL256" s="101">
        <v>0.45</v>
      </c>
      <c r="BM256" s="102">
        <v>1.34</v>
      </c>
      <c r="BN256" s="100">
        <v>1.57</v>
      </c>
      <c r="BO256" s="100">
        <v>1.1000000000000001</v>
      </c>
      <c r="BP256" s="100">
        <v>0.99</v>
      </c>
      <c r="BQ256" s="100">
        <v>1.63</v>
      </c>
      <c r="BR256" s="100">
        <v>0.84</v>
      </c>
      <c r="BS256" s="100">
        <v>1.1200000000000001</v>
      </c>
      <c r="BT256" s="100">
        <v>1.67</v>
      </c>
      <c r="BU256" s="101">
        <v>1.31</v>
      </c>
      <c r="BV256" s="79">
        <v>5760000</v>
      </c>
      <c r="BW256" s="256">
        <v>140</v>
      </c>
      <c r="BX256" s="87">
        <v>1920</v>
      </c>
      <c r="BY256" s="156">
        <v>27.8</v>
      </c>
      <c r="BZ256" s="100">
        <v>16.04</v>
      </c>
      <c r="CA256" s="251">
        <v>1.5E-3</v>
      </c>
      <c r="CB256" s="87">
        <v>420</v>
      </c>
      <c r="CC256" s="255">
        <v>5.9999999999999995E-4</v>
      </c>
      <c r="CD256" s="87">
        <v>280</v>
      </c>
      <c r="CE256" s="104">
        <f t="shared" si="11"/>
        <v>4.9702380952380953E-3</v>
      </c>
      <c r="CF256" s="105">
        <f t="shared" si="9"/>
        <v>0.57999999999999996</v>
      </c>
    </row>
    <row r="257" spans="1:84" x14ac:dyDescent="0.25">
      <c r="A257" s="106">
        <v>256</v>
      </c>
      <c r="B257" s="107"/>
      <c r="C257" s="108" t="s">
        <v>480</v>
      </c>
      <c r="D257" s="109">
        <v>2400</v>
      </c>
      <c r="E257" s="110">
        <v>2400</v>
      </c>
      <c r="F257" s="123">
        <f t="shared" si="10"/>
        <v>5760000</v>
      </c>
      <c r="G257" s="259">
        <v>140</v>
      </c>
      <c r="H257" s="110">
        <v>1920</v>
      </c>
      <c r="I257" s="112">
        <v>1</v>
      </c>
      <c r="J257" s="260">
        <v>21.88</v>
      </c>
      <c r="K257" s="161">
        <v>17.899999999999999</v>
      </c>
      <c r="L257" s="162">
        <v>27.8</v>
      </c>
      <c r="M257" s="116">
        <v>0.7</v>
      </c>
      <c r="N257" s="123">
        <v>16.04</v>
      </c>
      <c r="O257" s="117" t="s">
        <v>206</v>
      </c>
      <c r="P257" s="118" t="s">
        <v>216</v>
      </c>
      <c r="Q257" s="248">
        <v>2.9999999999999997E-4</v>
      </c>
      <c r="R257" s="120">
        <v>2.9999999999999997E-4</v>
      </c>
      <c r="S257" s="253">
        <v>8.0000000000000004E-4</v>
      </c>
      <c r="T257" s="110">
        <v>420</v>
      </c>
      <c r="U257" s="121">
        <v>1200</v>
      </c>
      <c r="V257" s="248">
        <v>2.9999999999999997E-4</v>
      </c>
      <c r="W257" s="110">
        <v>280</v>
      </c>
      <c r="X257" s="121">
        <v>500</v>
      </c>
      <c r="Y257" s="122">
        <v>0</v>
      </c>
      <c r="Z257" s="122">
        <v>1</v>
      </c>
      <c r="AA257" s="113">
        <v>6.5</v>
      </c>
      <c r="AB257" s="111">
        <v>10.5</v>
      </c>
      <c r="AC257" s="114">
        <v>1.6</v>
      </c>
      <c r="AD257" s="123">
        <v>0.39</v>
      </c>
      <c r="AE257" s="124">
        <v>0.42</v>
      </c>
      <c r="AF257" s="125">
        <v>0.37</v>
      </c>
      <c r="AG257" s="123">
        <v>0.04</v>
      </c>
      <c r="AH257" s="123">
        <v>0</v>
      </c>
      <c r="AI257" s="124">
        <v>0.41</v>
      </c>
      <c r="AJ257" s="125">
        <v>0.21</v>
      </c>
      <c r="AK257" s="123">
        <v>0.09</v>
      </c>
      <c r="AL257" s="123">
        <v>0</v>
      </c>
      <c r="AM257" s="124">
        <v>0.3</v>
      </c>
      <c r="AN257" s="125">
        <v>0.54</v>
      </c>
      <c r="AO257" s="123">
        <v>0.06</v>
      </c>
      <c r="AP257" s="123">
        <v>0</v>
      </c>
      <c r="AQ257" s="124">
        <v>0.61</v>
      </c>
      <c r="AR257" s="125">
        <v>0.51</v>
      </c>
      <c r="AS257" s="123">
        <v>0.05</v>
      </c>
      <c r="AT257" s="123">
        <v>0</v>
      </c>
      <c r="AU257" s="124">
        <v>0.56000000000000005</v>
      </c>
      <c r="AV257" s="125">
        <v>0.2</v>
      </c>
      <c r="AW257" s="123">
        <v>0.1</v>
      </c>
      <c r="AX257" s="123">
        <v>0</v>
      </c>
      <c r="AY257" s="124">
        <v>0.28999999999999998</v>
      </c>
      <c r="AZ257" s="125">
        <v>0.18</v>
      </c>
      <c r="BA257" s="123">
        <v>0.39</v>
      </c>
      <c r="BB257" s="123">
        <v>0</v>
      </c>
      <c r="BC257" s="124">
        <v>0.56999999999999995</v>
      </c>
      <c r="BD257" s="126">
        <v>0.52</v>
      </c>
      <c r="BE257" s="125">
        <v>0.35</v>
      </c>
      <c r="BF257" s="123">
        <v>0</v>
      </c>
      <c r="BG257" s="123">
        <v>0</v>
      </c>
      <c r="BH257" s="124">
        <v>0.35</v>
      </c>
      <c r="BI257" s="125">
        <v>0.35</v>
      </c>
      <c r="BJ257" s="123">
        <v>0.06</v>
      </c>
      <c r="BK257" s="123">
        <v>0</v>
      </c>
      <c r="BL257" s="124">
        <v>0.41</v>
      </c>
      <c r="BM257" s="125">
        <v>1.02</v>
      </c>
      <c r="BN257" s="123">
        <v>1.4</v>
      </c>
      <c r="BO257" s="123">
        <v>0.69</v>
      </c>
      <c r="BP257" s="123">
        <v>0.75</v>
      </c>
      <c r="BQ257" s="123">
        <v>1.42</v>
      </c>
      <c r="BR257" s="123">
        <v>0.74</v>
      </c>
      <c r="BS257" s="123">
        <v>0.81</v>
      </c>
      <c r="BT257" s="123">
        <v>1.2</v>
      </c>
      <c r="BU257" s="124">
        <v>1.03</v>
      </c>
      <c r="BV257" s="79">
        <v>5760000</v>
      </c>
      <c r="BW257" s="259">
        <v>140</v>
      </c>
      <c r="BX257" s="110">
        <v>1920</v>
      </c>
      <c r="BY257" s="162">
        <v>27.8</v>
      </c>
      <c r="BZ257" s="123">
        <v>16.04</v>
      </c>
      <c r="CA257" s="253">
        <v>8.0000000000000004E-4</v>
      </c>
      <c r="CB257" s="110">
        <v>420</v>
      </c>
      <c r="CC257" s="248">
        <v>2.9999999999999997E-4</v>
      </c>
      <c r="CD257" s="110">
        <v>280</v>
      </c>
      <c r="CE257" s="104">
        <f t="shared" si="11"/>
        <v>3.5714285714285713E-3</v>
      </c>
      <c r="CF257" s="105">
        <f t="shared" si="9"/>
        <v>0.42</v>
      </c>
    </row>
    <row r="258" spans="1:84" x14ac:dyDescent="0.25">
      <c r="A258" s="106">
        <v>257</v>
      </c>
      <c r="B258" s="107"/>
      <c r="C258" s="108" t="s">
        <v>481</v>
      </c>
      <c r="D258" s="109">
        <v>2400</v>
      </c>
      <c r="E258" s="110">
        <v>2400</v>
      </c>
      <c r="F258" s="123">
        <f t="shared" si="10"/>
        <v>5760000</v>
      </c>
      <c r="G258" s="259">
        <v>140</v>
      </c>
      <c r="H258" s="110">
        <v>1920</v>
      </c>
      <c r="I258" s="112">
        <v>1</v>
      </c>
      <c r="J258" s="260">
        <v>21.88</v>
      </c>
      <c r="K258" s="161">
        <v>17.899999999999999</v>
      </c>
      <c r="L258" s="162">
        <v>27.8</v>
      </c>
      <c r="M258" s="116">
        <v>0.7</v>
      </c>
      <c r="N258" s="123">
        <v>16.04</v>
      </c>
      <c r="O258" s="117" t="s">
        <v>206</v>
      </c>
      <c r="P258" s="118" t="s">
        <v>216</v>
      </c>
      <c r="Q258" s="248">
        <v>1.1999999999999999E-3</v>
      </c>
      <c r="R258" s="120">
        <v>4.4999999999999999E-4</v>
      </c>
      <c r="S258" s="253">
        <v>2.7000000000000001E-3</v>
      </c>
      <c r="T258" s="110">
        <v>420</v>
      </c>
      <c r="U258" s="121">
        <v>800</v>
      </c>
      <c r="V258" s="248">
        <v>2.9999999999999997E-4</v>
      </c>
      <c r="W258" s="110">
        <v>280</v>
      </c>
      <c r="X258" s="121">
        <v>500</v>
      </c>
      <c r="Y258" s="122">
        <v>0</v>
      </c>
      <c r="Z258" s="122">
        <v>1</v>
      </c>
      <c r="AA258" s="113">
        <v>6.2</v>
      </c>
      <c r="AB258" s="111">
        <v>10.199999999999999</v>
      </c>
      <c r="AC258" s="114">
        <v>1.6</v>
      </c>
      <c r="AD258" s="123">
        <v>0.38</v>
      </c>
      <c r="AE258" s="124">
        <v>0.41</v>
      </c>
      <c r="AF258" s="125">
        <v>0.37</v>
      </c>
      <c r="AG258" s="123">
        <v>0.04</v>
      </c>
      <c r="AH258" s="123">
        <v>0</v>
      </c>
      <c r="AI258" s="124">
        <v>0.41</v>
      </c>
      <c r="AJ258" s="125">
        <v>0.21</v>
      </c>
      <c r="AK258" s="123">
        <v>0.09</v>
      </c>
      <c r="AL258" s="123">
        <v>0</v>
      </c>
      <c r="AM258" s="124">
        <v>0.3</v>
      </c>
      <c r="AN258" s="125">
        <v>0.59</v>
      </c>
      <c r="AO258" s="123">
        <v>0.06</v>
      </c>
      <c r="AP258" s="123">
        <v>0</v>
      </c>
      <c r="AQ258" s="124">
        <v>0.65</v>
      </c>
      <c r="AR258" s="125">
        <v>0.51</v>
      </c>
      <c r="AS258" s="123">
        <v>0.05</v>
      </c>
      <c r="AT258" s="123">
        <v>0</v>
      </c>
      <c r="AU258" s="124">
        <v>0.56000000000000005</v>
      </c>
      <c r="AV258" s="125">
        <v>0.2</v>
      </c>
      <c r="AW258" s="123">
        <v>0.1</v>
      </c>
      <c r="AX258" s="123">
        <v>0</v>
      </c>
      <c r="AY258" s="124">
        <v>0.28999999999999998</v>
      </c>
      <c r="AZ258" s="125">
        <v>0.24</v>
      </c>
      <c r="BA258" s="123">
        <v>0.44</v>
      </c>
      <c r="BB258" s="123">
        <v>0</v>
      </c>
      <c r="BC258" s="124">
        <v>0.68</v>
      </c>
      <c r="BD258" s="126">
        <v>0.52</v>
      </c>
      <c r="BE258" s="125">
        <v>0.35</v>
      </c>
      <c r="BF258" s="123">
        <v>0</v>
      </c>
      <c r="BG258" s="123">
        <v>0</v>
      </c>
      <c r="BH258" s="124">
        <v>0.35</v>
      </c>
      <c r="BI258" s="125">
        <v>0.35</v>
      </c>
      <c r="BJ258" s="123">
        <v>0.06</v>
      </c>
      <c r="BK258" s="123">
        <v>0</v>
      </c>
      <c r="BL258" s="124">
        <v>0.41</v>
      </c>
      <c r="BM258" s="125">
        <v>1</v>
      </c>
      <c r="BN258" s="123">
        <v>1.38</v>
      </c>
      <c r="BO258" s="123">
        <v>0.64</v>
      </c>
      <c r="BP258" s="123">
        <v>0.74</v>
      </c>
      <c r="BQ258" s="123">
        <v>1.4</v>
      </c>
      <c r="BR258" s="123">
        <v>0.61</v>
      </c>
      <c r="BS258" s="123">
        <v>0.8</v>
      </c>
      <c r="BT258" s="123">
        <v>1.18</v>
      </c>
      <c r="BU258" s="124">
        <v>1.02</v>
      </c>
      <c r="BV258" s="79">
        <v>5760000</v>
      </c>
      <c r="BW258" s="259">
        <v>140</v>
      </c>
      <c r="BX258" s="110">
        <v>1920</v>
      </c>
      <c r="BY258" s="162">
        <v>27.8</v>
      </c>
      <c r="BZ258" s="123">
        <v>16.04</v>
      </c>
      <c r="CA258" s="253">
        <v>2.7000000000000001E-3</v>
      </c>
      <c r="CB258" s="110">
        <v>420</v>
      </c>
      <c r="CC258" s="248">
        <v>2.9999999999999997E-4</v>
      </c>
      <c r="CD258" s="110">
        <v>280</v>
      </c>
      <c r="CE258" s="104">
        <f t="shared" si="11"/>
        <v>3.5119047619047617E-3</v>
      </c>
      <c r="CF258" s="105">
        <f>AE258</f>
        <v>0.41</v>
      </c>
    </row>
    <row r="259" spans="1:84" x14ac:dyDescent="0.25">
      <c r="A259" s="106">
        <v>258</v>
      </c>
      <c r="B259" s="107"/>
      <c r="C259" s="108" t="s">
        <v>482</v>
      </c>
      <c r="D259" s="109">
        <v>2400</v>
      </c>
      <c r="E259" s="110">
        <v>2400</v>
      </c>
      <c r="F259" s="123">
        <f>E259*D259</f>
        <v>5760000</v>
      </c>
      <c r="G259" s="259">
        <v>117</v>
      </c>
      <c r="H259" s="110">
        <v>1920</v>
      </c>
      <c r="I259" s="112">
        <v>1</v>
      </c>
      <c r="J259" s="260">
        <v>21.88</v>
      </c>
      <c r="K259" s="161">
        <v>17.899999999999999</v>
      </c>
      <c r="L259" s="162">
        <v>27.8</v>
      </c>
      <c r="M259" s="116">
        <v>0.7</v>
      </c>
      <c r="N259" s="123">
        <v>16.04</v>
      </c>
      <c r="O259" s="117" t="s">
        <v>206</v>
      </c>
      <c r="P259" s="118" t="s">
        <v>216</v>
      </c>
      <c r="Q259" s="248">
        <v>1.4E-3</v>
      </c>
      <c r="R259" s="120">
        <v>5.4000000000000001E-4</v>
      </c>
      <c r="S259" s="253">
        <v>3.2000000000000002E-3</v>
      </c>
      <c r="T259" s="110">
        <v>420</v>
      </c>
      <c r="U259" s="121">
        <v>800</v>
      </c>
      <c r="V259" s="248">
        <v>5.9999999999999995E-4</v>
      </c>
      <c r="W259" s="110">
        <v>280</v>
      </c>
      <c r="X259" s="121">
        <v>300</v>
      </c>
      <c r="Y259" s="122">
        <v>0</v>
      </c>
      <c r="Z259" s="122">
        <v>1</v>
      </c>
      <c r="AA259" s="113">
        <v>9.1</v>
      </c>
      <c r="AB259" s="111">
        <v>14.9</v>
      </c>
      <c r="AC259" s="114">
        <v>1.6</v>
      </c>
      <c r="AD259" s="123">
        <v>0.63</v>
      </c>
      <c r="AE259" s="124">
        <v>0.76</v>
      </c>
      <c r="AF259" s="125">
        <v>0.37</v>
      </c>
      <c r="AG259" s="123">
        <v>0.06</v>
      </c>
      <c r="AH259" s="123">
        <v>0</v>
      </c>
      <c r="AI259" s="124">
        <v>0.44</v>
      </c>
      <c r="AJ259" s="125">
        <v>0.21</v>
      </c>
      <c r="AK259" s="123">
        <v>0.16</v>
      </c>
      <c r="AL259" s="123">
        <v>0</v>
      </c>
      <c r="AM259" s="124">
        <v>0.37</v>
      </c>
      <c r="AN259" s="125">
        <v>0.6</v>
      </c>
      <c r="AO259" s="123">
        <v>0.1</v>
      </c>
      <c r="AP259" s="123">
        <v>0</v>
      </c>
      <c r="AQ259" s="124">
        <v>0.7</v>
      </c>
      <c r="AR259" s="125">
        <v>0.51</v>
      </c>
      <c r="AS259" s="123">
        <v>0.08</v>
      </c>
      <c r="AT259" s="123">
        <v>0</v>
      </c>
      <c r="AU259" s="124">
        <v>0.59</v>
      </c>
      <c r="AV259" s="125">
        <v>0.2</v>
      </c>
      <c r="AW259" s="123">
        <v>0.16</v>
      </c>
      <c r="AX259" s="123">
        <v>0</v>
      </c>
      <c r="AY259" s="124">
        <v>0.36</v>
      </c>
      <c r="AZ259" s="125">
        <v>0.25</v>
      </c>
      <c r="BA259" s="123">
        <v>0.52</v>
      </c>
      <c r="BB259" s="123">
        <v>0</v>
      </c>
      <c r="BC259" s="124">
        <v>0.76</v>
      </c>
      <c r="BD259" s="126">
        <v>0.52</v>
      </c>
      <c r="BE259" s="125">
        <v>0.35</v>
      </c>
      <c r="BF259" s="123">
        <v>0</v>
      </c>
      <c r="BG259" s="123">
        <v>0</v>
      </c>
      <c r="BH259" s="124">
        <v>0.35</v>
      </c>
      <c r="BI259" s="125">
        <v>0.35</v>
      </c>
      <c r="BJ259" s="123">
        <v>0.1</v>
      </c>
      <c r="BK259" s="123">
        <v>0</v>
      </c>
      <c r="BL259" s="124">
        <v>0.45</v>
      </c>
      <c r="BM259" s="125">
        <v>1.73</v>
      </c>
      <c r="BN259" s="123">
        <v>2.04</v>
      </c>
      <c r="BO259" s="123">
        <v>1.08</v>
      </c>
      <c r="BP259" s="123">
        <v>1.29</v>
      </c>
      <c r="BQ259" s="123">
        <v>2.11</v>
      </c>
      <c r="BR259" s="123">
        <v>0.99</v>
      </c>
      <c r="BS259" s="123">
        <v>1.46</v>
      </c>
      <c r="BT259" s="123">
        <v>2.16</v>
      </c>
      <c r="BU259" s="124">
        <v>1.7</v>
      </c>
      <c r="BV259" s="79">
        <v>5760000</v>
      </c>
      <c r="BW259" s="259">
        <v>117</v>
      </c>
      <c r="BX259" s="110">
        <v>1920</v>
      </c>
      <c r="BY259" s="162">
        <v>27.8</v>
      </c>
      <c r="BZ259" s="123">
        <v>16.04</v>
      </c>
      <c r="CA259" s="253">
        <v>3.2000000000000002E-3</v>
      </c>
      <c r="CB259" s="110">
        <v>420</v>
      </c>
      <c r="CC259" s="248">
        <v>5.9999999999999995E-4</v>
      </c>
      <c r="CD259" s="110">
        <v>280</v>
      </c>
      <c r="CE259" s="104">
        <f>BT259/(G259*E259)*1000</f>
        <v>7.6923076923076936E-3</v>
      </c>
      <c r="CF259" s="105">
        <f>AE259</f>
        <v>0.76</v>
      </c>
    </row>
    <row r="260" spans="1:84" x14ac:dyDescent="0.25">
      <c r="A260" s="133">
        <v>259</v>
      </c>
      <c r="B260" s="221"/>
      <c r="C260" s="222" t="s">
        <v>483</v>
      </c>
      <c r="D260" s="223">
        <v>2400</v>
      </c>
      <c r="E260" s="224">
        <v>2400</v>
      </c>
      <c r="F260" s="237">
        <f>E260*D260</f>
        <v>5760000</v>
      </c>
      <c r="G260" s="265">
        <v>140</v>
      </c>
      <c r="H260" s="224">
        <v>1920</v>
      </c>
      <c r="I260" s="226">
        <v>1</v>
      </c>
      <c r="J260" s="263">
        <v>21.88</v>
      </c>
      <c r="K260" s="170">
        <v>17.899999999999999</v>
      </c>
      <c r="L260" s="186">
        <v>27.8</v>
      </c>
      <c r="M260" s="266">
        <v>0.7</v>
      </c>
      <c r="N260" s="237">
        <v>16.04</v>
      </c>
      <c r="O260" s="229" t="s">
        <v>206</v>
      </c>
      <c r="P260" s="230" t="s">
        <v>216</v>
      </c>
      <c r="Q260" s="267">
        <v>1.1999999999999999E-3</v>
      </c>
      <c r="R260" s="232">
        <v>7.5000000000000002E-4</v>
      </c>
      <c r="S260" s="268">
        <v>3.0000000000000001E-3</v>
      </c>
      <c r="T260" s="224">
        <v>420</v>
      </c>
      <c r="U260" s="233">
        <v>480</v>
      </c>
      <c r="V260" s="267">
        <v>5.9999999999999995E-4</v>
      </c>
      <c r="W260" s="224">
        <v>280</v>
      </c>
      <c r="X260" s="233">
        <v>300</v>
      </c>
      <c r="Y260" s="235">
        <v>0</v>
      </c>
      <c r="Z260" s="235">
        <v>1</v>
      </c>
      <c r="AA260" s="246">
        <v>9</v>
      </c>
      <c r="AB260" s="225">
        <v>22.6</v>
      </c>
      <c r="AC260" s="269">
        <v>2.5</v>
      </c>
      <c r="AD260" s="150">
        <v>0.31</v>
      </c>
      <c r="AE260" s="151">
        <v>0.48</v>
      </c>
      <c r="AF260" s="152">
        <v>0.37</v>
      </c>
      <c r="AG260" s="150">
        <v>0.06</v>
      </c>
      <c r="AH260" s="150">
        <v>0</v>
      </c>
      <c r="AI260" s="151">
        <v>0.44</v>
      </c>
      <c r="AJ260" s="152">
        <v>0.21</v>
      </c>
      <c r="AK260" s="150">
        <v>0.16</v>
      </c>
      <c r="AL260" s="150">
        <v>0</v>
      </c>
      <c r="AM260" s="151">
        <v>0.37</v>
      </c>
      <c r="AN260" s="152">
        <v>0.38</v>
      </c>
      <c r="AO260" s="150">
        <v>0.1</v>
      </c>
      <c r="AP260" s="150">
        <v>0</v>
      </c>
      <c r="AQ260" s="151">
        <v>0.48</v>
      </c>
      <c r="AR260" s="152">
        <v>0.51</v>
      </c>
      <c r="AS260" s="150">
        <v>0.08</v>
      </c>
      <c r="AT260" s="150">
        <v>0</v>
      </c>
      <c r="AU260" s="151">
        <v>0.59</v>
      </c>
      <c r="AV260" s="152">
        <v>0.2</v>
      </c>
      <c r="AW260" s="150">
        <v>0.16</v>
      </c>
      <c r="AX260" s="150">
        <v>0</v>
      </c>
      <c r="AY260" s="151">
        <v>0.36</v>
      </c>
      <c r="AZ260" s="152">
        <v>0.24</v>
      </c>
      <c r="BA260" s="150">
        <v>0.56999999999999995</v>
      </c>
      <c r="BB260" s="150">
        <v>0</v>
      </c>
      <c r="BC260" s="151">
        <v>0.8</v>
      </c>
      <c r="BD260" s="153">
        <v>0.52</v>
      </c>
      <c r="BE260" s="152">
        <v>0.35</v>
      </c>
      <c r="BF260" s="150">
        <v>0</v>
      </c>
      <c r="BG260" s="150">
        <v>0</v>
      </c>
      <c r="BH260" s="151">
        <v>0.35</v>
      </c>
      <c r="BI260" s="152">
        <v>0.35</v>
      </c>
      <c r="BJ260" s="150">
        <v>0.1</v>
      </c>
      <c r="BK260" s="150">
        <v>0</v>
      </c>
      <c r="BL260" s="151">
        <v>0.45</v>
      </c>
      <c r="BM260" s="152">
        <v>1.1100000000000001</v>
      </c>
      <c r="BN260" s="150">
        <v>1.3</v>
      </c>
      <c r="BO260" s="150">
        <v>1</v>
      </c>
      <c r="BP260" s="150">
        <v>0.82</v>
      </c>
      <c r="BQ260" s="150">
        <v>1.35</v>
      </c>
      <c r="BR260" s="150">
        <v>0.6</v>
      </c>
      <c r="BS260" s="150">
        <v>0.93</v>
      </c>
      <c r="BT260" s="150">
        <v>1.38</v>
      </c>
      <c r="BU260" s="151">
        <v>1.0900000000000001</v>
      </c>
      <c r="BV260" s="79">
        <v>5760000</v>
      </c>
      <c r="BW260" s="265">
        <v>140</v>
      </c>
      <c r="BX260" s="224">
        <v>1920</v>
      </c>
      <c r="BY260" s="186">
        <v>27.8</v>
      </c>
      <c r="BZ260" s="237">
        <v>16.04</v>
      </c>
      <c r="CA260" s="268">
        <v>3.0000000000000001E-3</v>
      </c>
      <c r="CB260" s="224">
        <v>420</v>
      </c>
      <c r="CC260" s="267">
        <v>5.9999999999999995E-4</v>
      </c>
      <c r="CD260" s="224">
        <v>280</v>
      </c>
      <c r="CE260" s="184">
        <f>BT260/(G260*E260)*1000</f>
        <v>4.1071428571428569E-3</v>
      </c>
      <c r="CF260" s="185">
        <f>AE260</f>
        <v>0.48</v>
      </c>
    </row>
    <row r="263" spans="1:84" x14ac:dyDescent="0.25">
      <c r="BW263" s="270"/>
    </row>
  </sheetData>
  <autoFilter ref="A1:CF260" xr:uid="{00000000-0009-0000-0000-000001000000}">
    <filterColumn colId="14">
      <filters>
        <filter val="GP"/>
      </filters>
    </filterColumn>
    <filterColumn colId="15">
      <filters>
        <filter val="BH"/>
      </filters>
    </filterColumn>
    <sortState xmlns:xlrd2="http://schemas.microsoft.com/office/spreadsheetml/2017/richdata2" ref="A71:CF260">
      <sortCondition ref="A1:A260"/>
    </sortState>
  </autoFilter>
  <pageMargins left="0.7" right="0.7" top="0.75" bottom="0.75" header="0.3" footer="0.3"/>
  <pageSetup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1"/>
  <dimension ref="A1:I26"/>
  <sheetViews>
    <sheetView zoomScale="115" zoomScaleNormal="115" workbookViewId="0">
      <selection activeCell="D24" sqref="D24"/>
    </sheetView>
  </sheetViews>
  <sheetFormatPr defaultColWidth="9.140625" defaultRowHeight="14.25" x14ac:dyDescent="0.25"/>
  <cols>
    <col min="1" max="1" width="24.7109375" style="37" customWidth="1"/>
    <col min="2" max="2" width="19.85546875" style="37" customWidth="1"/>
    <col min="3" max="3" width="19.85546875" style="336" customWidth="1"/>
    <col min="4" max="6" width="19.85546875" style="37" customWidth="1"/>
    <col min="7" max="7" width="106.42578125" style="37" customWidth="1"/>
    <col min="8" max="16384" width="9.140625" style="37"/>
  </cols>
  <sheetData>
    <row r="1" spans="1:9" x14ac:dyDescent="0.25">
      <c r="A1" s="35" t="s">
        <v>1</v>
      </c>
      <c r="B1" s="35" t="s">
        <v>41</v>
      </c>
      <c r="C1" s="331" t="s">
        <v>41</v>
      </c>
      <c r="D1" s="35" t="s">
        <v>42</v>
      </c>
      <c r="E1" s="326" t="s">
        <v>539</v>
      </c>
      <c r="F1" s="36" t="s">
        <v>560</v>
      </c>
    </row>
    <row r="2" spans="1:9" ht="15" x14ac:dyDescent="0.25">
      <c r="A2" s="48" t="s">
        <v>43</v>
      </c>
      <c r="B2" s="404">
        <v>2</v>
      </c>
      <c r="C2" s="406">
        <v>2</v>
      </c>
      <c r="D2" s="404" t="s">
        <v>45</v>
      </c>
      <c r="E2" s="405" t="s">
        <v>66</v>
      </c>
      <c r="F2" s="324"/>
      <c r="G2" s="46" t="s">
        <v>74</v>
      </c>
    </row>
    <row r="3" spans="1:9" ht="15" x14ac:dyDescent="0.25">
      <c r="A3" s="48" t="s">
        <v>44</v>
      </c>
      <c r="B3" s="404"/>
      <c r="C3" s="406"/>
      <c r="D3" s="404"/>
      <c r="E3" s="405"/>
      <c r="F3" s="324"/>
      <c r="G3" s="46" t="s">
        <v>75</v>
      </c>
    </row>
    <row r="4" spans="1:9" ht="15" x14ac:dyDescent="0.25">
      <c r="A4" s="48" t="s">
        <v>62</v>
      </c>
      <c r="B4" s="39">
        <v>4</v>
      </c>
      <c r="C4" s="332">
        <v>4</v>
      </c>
      <c r="D4" s="39" t="s">
        <v>46</v>
      </c>
      <c r="E4" s="327"/>
      <c r="F4" s="38"/>
      <c r="G4" s="46" t="s">
        <v>76</v>
      </c>
    </row>
    <row r="5" spans="1:9" x14ac:dyDescent="0.25">
      <c r="A5" s="48" t="s">
        <v>101</v>
      </c>
      <c r="B5" s="39">
        <v>29</v>
      </c>
      <c r="C5" s="332">
        <v>29</v>
      </c>
      <c r="D5" s="39" t="s">
        <v>47</v>
      </c>
      <c r="E5" s="327" t="s">
        <v>69</v>
      </c>
      <c r="F5" s="38" t="s">
        <v>561</v>
      </c>
      <c r="G5" s="47" t="s">
        <v>85</v>
      </c>
      <c r="H5" s="37" t="s">
        <v>93</v>
      </c>
      <c r="I5" s="37" t="s">
        <v>95</v>
      </c>
    </row>
    <row r="6" spans="1:9" ht="28.5" x14ac:dyDescent="0.25">
      <c r="A6" s="52" t="s">
        <v>83</v>
      </c>
      <c r="B6" s="39">
        <v>4</v>
      </c>
      <c r="C6" s="332">
        <v>4</v>
      </c>
      <c r="D6" s="39" t="s">
        <v>48</v>
      </c>
      <c r="E6" s="328">
        <v>187190193195</v>
      </c>
      <c r="F6" s="50" t="s">
        <v>561</v>
      </c>
      <c r="G6" s="325" t="s">
        <v>77</v>
      </c>
      <c r="H6" s="37" t="s">
        <v>99</v>
      </c>
      <c r="I6" s="37" t="s">
        <v>98</v>
      </c>
    </row>
    <row r="7" spans="1:9" x14ac:dyDescent="0.25">
      <c r="A7" s="52" t="s">
        <v>49</v>
      </c>
      <c r="B7" s="39">
        <v>10</v>
      </c>
      <c r="C7" s="332">
        <v>10</v>
      </c>
      <c r="D7" s="39" t="s">
        <v>50</v>
      </c>
      <c r="E7" s="327" t="s">
        <v>418</v>
      </c>
      <c r="F7" s="38" t="s">
        <v>561</v>
      </c>
      <c r="G7" s="47" t="s">
        <v>78</v>
      </c>
      <c r="H7" s="37" t="s">
        <v>99</v>
      </c>
      <c r="I7" s="37" t="s">
        <v>100</v>
      </c>
    </row>
    <row r="8" spans="1:9" x14ac:dyDescent="0.25">
      <c r="A8" s="48" t="s">
        <v>51</v>
      </c>
      <c r="B8" s="39">
        <v>6</v>
      </c>
      <c r="C8" s="332">
        <v>6</v>
      </c>
      <c r="D8" s="39" t="s">
        <v>52</v>
      </c>
      <c r="E8" s="327" t="s">
        <v>68</v>
      </c>
      <c r="F8" s="38"/>
      <c r="G8" s="47" t="s">
        <v>79</v>
      </c>
    </row>
    <row r="9" spans="1:9" x14ac:dyDescent="0.25">
      <c r="A9" s="364" t="s">
        <v>53</v>
      </c>
      <c r="B9" s="39">
        <v>4</v>
      </c>
      <c r="C9" s="332"/>
      <c r="D9" s="39" t="s">
        <v>54</v>
      </c>
      <c r="E9" s="327" t="s">
        <v>418</v>
      </c>
      <c r="F9" s="38"/>
      <c r="G9" s="47" t="s">
        <v>86</v>
      </c>
    </row>
    <row r="10" spans="1:9" x14ac:dyDescent="0.25">
      <c r="A10" s="51" t="s">
        <v>55</v>
      </c>
      <c r="B10" s="39">
        <v>9</v>
      </c>
      <c r="C10" s="332"/>
      <c r="D10" s="39" t="s">
        <v>56</v>
      </c>
      <c r="E10" s="327" t="s">
        <v>418</v>
      </c>
      <c r="F10" s="38"/>
      <c r="G10" s="47" t="s">
        <v>87</v>
      </c>
    </row>
    <row r="11" spans="1:9" x14ac:dyDescent="0.25">
      <c r="A11" s="364" t="s">
        <v>57</v>
      </c>
      <c r="B11" s="39">
        <v>10</v>
      </c>
      <c r="C11" s="332"/>
      <c r="D11" s="39" t="s">
        <v>58</v>
      </c>
      <c r="E11" s="327" t="s">
        <v>418</v>
      </c>
      <c r="F11" s="38"/>
      <c r="G11" s="47" t="s">
        <v>88</v>
      </c>
      <c r="I11" s="37" t="s">
        <v>102</v>
      </c>
    </row>
    <row r="12" spans="1:9" x14ac:dyDescent="0.25">
      <c r="A12" s="51" t="s">
        <v>59</v>
      </c>
      <c r="B12" s="39">
        <v>1</v>
      </c>
      <c r="C12" s="332"/>
      <c r="D12" s="39">
        <v>250</v>
      </c>
      <c r="E12" s="327" t="s">
        <v>418</v>
      </c>
      <c r="F12" s="38"/>
      <c r="G12" s="47" t="s">
        <v>89</v>
      </c>
    </row>
    <row r="13" spans="1:9" x14ac:dyDescent="0.25">
      <c r="A13" s="51" t="s">
        <v>60</v>
      </c>
      <c r="B13" s="39">
        <v>5</v>
      </c>
      <c r="C13" s="332"/>
      <c r="D13" s="39" t="s">
        <v>61</v>
      </c>
      <c r="E13" s="327" t="s">
        <v>418</v>
      </c>
      <c r="F13" s="38"/>
      <c r="G13" s="49" t="s">
        <v>90</v>
      </c>
    </row>
    <row r="14" spans="1:9" x14ac:dyDescent="0.25">
      <c r="A14" s="48" t="s">
        <v>13</v>
      </c>
      <c r="B14" s="40">
        <v>66</v>
      </c>
      <c r="C14" s="332">
        <v>66</v>
      </c>
      <c r="D14" s="38" t="s">
        <v>418</v>
      </c>
      <c r="E14" s="329" t="s">
        <v>67</v>
      </c>
      <c r="F14" s="41"/>
      <c r="G14" s="47" t="s">
        <v>84</v>
      </c>
    </row>
    <row r="15" spans="1:9" ht="15" x14ac:dyDescent="0.25">
      <c r="A15" s="48" t="s">
        <v>63</v>
      </c>
      <c r="B15" s="38">
        <v>5</v>
      </c>
      <c r="C15" s="333">
        <v>5</v>
      </c>
      <c r="D15" s="38" t="s">
        <v>418</v>
      </c>
      <c r="E15" s="327" t="s">
        <v>70</v>
      </c>
      <c r="F15" s="38" t="s">
        <v>561</v>
      </c>
      <c r="G15" s="46" t="s">
        <v>80</v>
      </c>
    </row>
    <row r="16" spans="1:9" x14ac:dyDescent="0.25">
      <c r="A16" s="48" t="s">
        <v>64</v>
      </c>
      <c r="B16" s="38">
        <v>8</v>
      </c>
      <c r="C16" s="333">
        <v>8</v>
      </c>
      <c r="D16" s="38" t="s">
        <v>418</v>
      </c>
      <c r="E16" s="327" t="s">
        <v>71</v>
      </c>
      <c r="F16" s="38"/>
      <c r="G16" s="49" t="s">
        <v>81</v>
      </c>
      <c r="H16" s="37" t="s">
        <v>93</v>
      </c>
      <c r="I16" s="37" t="s">
        <v>97</v>
      </c>
    </row>
    <row r="17" spans="1:9" x14ac:dyDescent="0.25">
      <c r="A17" s="48" t="s">
        <v>65</v>
      </c>
      <c r="B17" s="38">
        <v>12</v>
      </c>
      <c r="C17" s="333">
        <v>12</v>
      </c>
      <c r="D17" s="38" t="s">
        <v>418</v>
      </c>
      <c r="E17" s="327" t="s">
        <v>72</v>
      </c>
      <c r="F17" s="38"/>
      <c r="G17" s="47" t="s">
        <v>82</v>
      </c>
      <c r="H17" s="37" t="s">
        <v>94</v>
      </c>
      <c r="I17" s="37" t="s">
        <v>96</v>
      </c>
    </row>
    <row r="18" spans="1:9" ht="15" x14ac:dyDescent="0.25">
      <c r="A18" s="48" t="s">
        <v>559</v>
      </c>
      <c r="B18" s="38">
        <v>2</v>
      </c>
      <c r="C18" s="333">
        <v>2</v>
      </c>
      <c r="D18" s="38"/>
      <c r="E18" s="327"/>
      <c r="F18" s="38" t="s">
        <v>561</v>
      </c>
      <c r="G18" s="46" t="s">
        <v>569</v>
      </c>
    </row>
    <row r="19" spans="1:9" ht="15" x14ac:dyDescent="0.25">
      <c r="A19" s="48" t="s">
        <v>562</v>
      </c>
      <c r="B19" s="38">
        <v>6</v>
      </c>
      <c r="C19" s="333">
        <v>6</v>
      </c>
      <c r="D19" s="38"/>
      <c r="E19" s="327"/>
      <c r="F19" s="38" t="s">
        <v>561</v>
      </c>
      <c r="G19" s="46" t="s">
        <v>568</v>
      </c>
    </row>
    <row r="20" spans="1:9" ht="15" x14ac:dyDescent="0.25">
      <c r="A20" s="48" t="s">
        <v>571</v>
      </c>
      <c r="B20" s="38">
        <v>6</v>
      </c>
      <c r="C20" s="333">
        <v>6</v>
      </c>
      <c r="D20" s="38"/>
      <c r="E20" s="327"/>
      <c r="F20" s="38" t="s">
        <v>561</v>
      </c>
      <c r="G20" s="46" t="s">
        <v>570</v>
      </c>
    </row>
    <row r="21" spans="1:9" x14ac:dyDescent="0.25">
      <c r="A21" s="48" t="s">
        <v>91</v>
      </c>
      <c r="B21" s="38">
        <v>10</v>
      </c>
      <c r="C21" s="333">
        <v>10</v>
      </c>
      <c r="D21" s="38" t="s">
        <v>418</v>
      </c>
      <c r="E21" s="327" t="s">
        <v>418</v>
      </c>
      <c r="F21" s="38"/>
      <c r="G21" s="47" t="s">
        <v>92</v>
      </c>
    </row>
    <row r="22" spans="1:9" ht="15" x14ac:dyDescent="0.25">
      <c r="A22" s="48" t="s">
        <v>511</v>
      </c>
      <c r="B22" s="38">
        <v>5</v>
      </c>
      <c r="C22" s="333">
        <v>5</v>
      </c>
      <c r="D22" s="38" t="s">
        <v>418</v>
      </c>
      <c r="E22" s="327" t="s">
        <v>418</v>
      </c>
      <c r="F22" s="38" t="s">
        <v>561</v>
      </c>
      <c r="G22" s="46" t="s">
        <v>512</v>
      </c>
    </row>
    <row r="23" spans="1:9" ht="15" x14ac:dyDescent="0.25">
      <c r="A23" s="383" t="s">
        <v>603</v>
      </c>
      <c r="B23" s="384">
        <v>8</v>
      </c>
      <c r="C23" s="384">
        <v>8</v>
      </c>
      <c r="D23" s="407" t="s">
        <v>630</v>
      </c>
      <c r="E23" s="408"/>
      <c r="F23" s="409"/>
      <c r="G23" s="46" t="s">
        <v>604</v>
      </c>
    </row>
    <row r="24" spans="1:9" x14ac:dyDescent="0.25">
      <c r="B24" s="42"/>
      <c r="C24" s="334"/>
    </row>
    <row r="25" spans="1:9" x14ac:dyDescent="0.25">
      <c r="A25" s="43" t="s">
        <v>73</v>
      </c>
      <c r="B25" s="44">
        <f>SUM(B2:B23)</f>
        <v>212</v>
      </c>
      <c r="C25" s="335">
        <f>SUM(C2:C23)</f>
        <v>183</v>
      </c>
    </row>
    <row r="26" spans="1:9" x14ac:dyDescent="0.25">
      <c r="A26" s="45"/>
    </row>
  </sheetData>
  <mergeCells count="5">
    <mergeCell ref="B2:B3"/>
    <mergeCell ref="D2:D3"/>
    <mergeCell ref="E2:E3"/>
    <mergeCell ref="C2:C3"/>
    <mergeCell ref="D23:F23"/>
  </mergeCells>
  <pageMargins left="0.7" right="0.7" top="0.75" bottom="0.75" header="0.3" footer="0.3"/>
  <pageSetup orientation="portrait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3">
    <tabColor rgb="FFFF0000"/>
  </sheetPr>
  <dimension ref="A1:AU248"/>
  <sheetViews>
    <sheetView tabSelected="1" zoomScale="70" zoomScaleNormal="70" workbookViewId="0">
      <pane xSplit="3" ySplit="8" topLeftCell="E39" activePane="bottomRight" state="frozen"/>
      <selection activeCell="AD13" sqref="AD13"/>
      <selection pane="topRight" activeCell="AD13" sqref="AD13"/>
      <selection pane="bottomLeft" activeCell="AD13" sqref="AD13"/>
      <selection pane="bottomRight" activeCell="X9" sqref="X9"/>
    </sheetView>
  </sheetViews>
  <sheetFormatPr defaultColWidth="8.7109375" defaultRowHeight="14.25" x14ac:dyDescent="0.25"/>
  <cols>
    <col min="1" max="1" width="8.85546875" style="2" customWidth="1"/>
    <col min="2" max="2" width="26.5703125" style="2" customWidth="1"/>
    <col min="3" max="3" width="12.5703125" style="2" customWidth="1"/>
    <col min="4" max="4" width="14.28515625" style="2" customWidth="1"/>
    <col min="5" max="5" width="16.85546875" style="2" customWidth="1"/>
    <col min="6" max="16" width="9.140625" style="2" customWidth="1"/>
    <col min="17" max="17" width="9.140625" style="2" hidden="1" customWidth="1"/>
    <col min="18" max="20" width="9.140625" style="2" customWidth="1"/>
    <col min="21" max="21" width="12" style="2" customWidth="1"/>
    <col min="22" max="22" width="11.140625" style="2" customWidth="1"/>
    <col min="23" max="24" width="11.140625" style="385" customWidth="1"/>
    <col min="25" max="30" width="9.140625" style="2" customWidth="1"/>
    <col min="31" max="31" width="10.7109375" style="2" customWidth="1"/>
    <col min="32" max="43" width="9.140625" style="2" customWidth="1"/>
    <col min="44" max="44" width="8.7109375" style="2"/>
    <col min="45" max="45" width="11.5703125" style="359" bestFit="1" customWidth="1"/>
    <col min="46" max="16384" width="8.7109375" style="2"/>
  </cols>
  <sheetData>
    <row r="1" spans="1:47" x14ac:dyDescent="0.25">
      <c r="A1" s="56" t="s">
        <v>108</v>
      </c>
    </row>
    <row r="2" spans="1:47" x14ac:dyDescent="0.25">
      <c r="A2" s="275" t="s">
        <v>109</v>
      </c>
      <c r="B2" s="275" t="s">
        <v>495</v>
      </c>
      <c r="H2" s="292" t="s">
        <v>513</v>
      </c>
      <c r="I2" s="292" t="s">
        <v>514</v>
      </c>
      <c r="K2" s="292" t="s">
        <v>525</v>
      </c>
      <c r="L2" s="292"/>
      <c r="M2" s="292" t="s">
        <v>526</v>
      </c>
      <c r="O2" s="292" t="s">
        <v>527</v>
      </c>
      <c r="P2" s="292" t="s">
        <v>528</v>
      </c>
    </row>
    <row r="3" spans="1:47" x14ac:dyDescent="0.25">
      <c r="A3" s="276" t="s">
        <v>111</v>
      </c>
      <c r="B3" s="275" t="s">
        <v>497</v>
      </c>
      <c r="H3" s="2">
        <v>1</v>
      </c>
      <c r="I3" s="2">
        <v>6.8947599999999998E-3</v>
      </c>
      <c r="K3" s="2">
        <v>1</v>
      </c>
      <c r="M3" s="2">
        <v>25.4</v>
      </c>
      <c r="O3" s="2">
        <v>1</v>
      </c>
      <c r="P3" s="2">
        <f>4.44822/1000</f>
        <v>4.4482200000000001E-3</v>
      </c>
    </row>
    <row r="4" spans="1:47" x14ac:dyDescent="0.25">
      <c r="A4" s="277" t="s">
        <v>110</v>
      </c>
      <c r="B4" s="275" t="s">
        <v>492</v>
      </c>
      <c r="H4" s="2">
        <v>145.03800000000001</v>
      </c>
      <c r="I4" s="2">
        <v>1</v>
      </c>
      <c r="K4" s="2">
        <v>3.9370099999999998E-2</v>
      </c>
      <c r="M4" s="2">
        <v>1</v>
      </c>
      <c r="O4" s="2">
        <f>0.224809*1000</f>
        <v>224.809</v>
      </c>
      <c r="P4" s="2">
        <v>1</v>
      </c>
    </row>
    <row r="5" spans="1:47" x14ac:dyDescent="0.25">
      <c r="A5" s="278" t="s">
        <v>493</v>
      </c>
      <c r="B5" s="275" t="s">
        <v>494</v>
      </c>
    </row>
    <row r="6" spans="1:47" x14ac:dyDescent="0.25">
      <c r="A6" s="320" t="s">
        <v>546</v>
      </c>
      <c r="B6" s="275" t="s">
        <v>547</v>
      </c>
    </row>
    <row r="7" spans="1:47" ht="15" customHeight="1" x14ac:dyDescent="0.25">
      <c r="F7" s="414" t="s">
        <v>112</v>
      </c>
      <c r="G7" s="414"/>
      <c r="H7" s="414"/>
      <c r="I7" s="414"/>
      <c r="J7" s="414"/>
      <c r="K7" s="414"/>
      <c r="L7" s="414"/>
      <c r="M7" s="414"/>
      <c r="N7" s="415" t="s">
        <v>116</v>
      </c>
      <c r="O7" s="415"/>
      <c r="P7" s="415"/>
      <c r="Q7" s="417" t="s">
        <v>505</v>
      </c>
      <c r="R7" s="417"/>
      <c r="S7" s="417"/>
      <c r="T7" s="417"/>
      <c r="U7" s="417"/>
      <c r="V7" s="417"/>
      <c r="W7" s="366"/>
      <c r="X7" s="366"/>
      <c r="Y7" s="413" t="s">
        <v>120</v>
      </c>
      <c r="Z7" s="413"/>
      <c r="AA7" s="413"/>
      <c r="AB7" s="413"/>
      <c r="AC7" s="413"/>
      <c r="AD7" s="413"/>
      <c r="AE7" s="418" t="s">
        <v>121</v>
      </c>
      <c r="AF7" s="418"/>
      <c r="AG7" s="418"/>
      <c r="AH7" s="418"/>
      <c r="AI7" s="418"/>
      <c r="AJ7" s="418"/>
      <c r="AK7" s="418"/>
      <c r="AL7" s="418"/>
      <c r="AM7" s="416" t="s">
        <v>117</v>
      </c>
      <c r="AN7" s="416"/>
      <c r="AO7" s="416"/>
      <c r="AP7" s="412" t="s">
        <v>119</v>
      </c>
      <c r="AQ7" s="412"/>
      <c r="AR7" s="412"/>
      <c r="AS7" s="410" t="s">
        <v>600</v>
      </c>
      <c r="AT7" s="411"/>
      <c r="AU7" s="411"/>
    </row>
    <row r="8" spans="1:47" s="312" customFormat="1" ht="42.75" x14ac:dyDescent="0.25">
      <c r="A8" s="53" t="s">
        <v>2</v>
      </c>
      <c r="B8" s="53" t="s">
        <v>1</v>
      </c>
      <c r="C8" s="53" t="s">
        <v>0</v>
      </c>
      <c r="D8" s="53" t="s">
        <v>605</v>
      </c>
      <c r="E8" s="53" t="s">
        <v>104</v>
      </c>
      <c r="F8" s="54" t="s">
        <v>3</v>
      </c>
      <c r="G8" s="55" t="s">
        <v>598</v>
      </c>
      <c r="H8" s="54" t="s">
        <v>4</v>
      </c>
      <c r="I8" s="55" t="s">
        <v>5</v>
      </c>
      <c r="J8" s="54" t="s">
        <v>6</v>
      </c>
      <c r="K8" s="53" t="s">
        <v>504</v>
      </c>
      <c r="L8" s="54" t="s">
        <v>7</v>
      </c>
      <c r="M8" s="53" t="s">
        <v>599</v>
      </c>
      <c r="N8" s="55" t="s">
        <v>113</v>
      </c>
      <c r="O8" s="55" t="s">
        <v>115</v>
      </c>
      <c r="P8" s="55" t="s">
        <v>114</v>
      </c>
      <c r="Q8" s="53" t="s">
        <v>8</v>
      </c>
      <c r="R8" s="53" t="s">
        <v>106</v>
      </c>
      <c r="S8" s="53" t="s">
        <v>107</v>
      </c>
      <c r="T8" s="53" t="s">
        <v>491</v>
      </c>
      <c r="U8" s="53" t="s">
        <v>621</v>
      </c>
      <c r="V8" s="53" t="s">
        <v>620</v>
      </c>
      <c r="W8" s="386" t="s">
        <v>631</v>
      </c>
      <c r="X8" s="386" t="s">
        <v>632</v>
      </c>
      <c r="Y8" s="53" t="s">
        <v>498</v>
      </c>
      <c r="Z8" s="53" t="s">
        <v>122</v>
      </c>
      <c r="AA8" s="53" t="s">
        <v>9</v>
      </c>
      <c r="AB8" s="53" t="s">
        <v>502</v>
      </c>
      <c r="AC8" s="53" t="s">
        <v>499</v>
      </c>
      <c r="AD8" s="53" t="s">
        <v>10</v>
      </c>
      <c r="AE8" s="53" t="s">
        <v>622</v>
      </c>
      <c r="AF8" s="53" t="s">
        <v>623</v>
      </c>
      <c r="AG8" s="53" t="s">
        <v>500</v>
      </c>
      <c r="AH8" s="53" t="s">
        <v>123</v>
      </c>
      <c r="AI8" s="55" t="s">
        <v>11</v>
      </c>
      <c r="AJ8" s="53" t="s">
        <v>503</v>
      </c>
      <c r="AK8" s="53" t="s">
        <v>501</v>
      </c>
      <c r="AL8" s="53" t="s">
        <v>12</v>
      </c>
      <c r="AM8" s="53" t="s">
        <v>496</v>
      </c>
      <c r="AN8" s="53" t="s">
        <v>485</v>
      </c>
      <c r="AO8" s="53" t="s">
        <v>486</v>
      </c>
      <c r="AP8" s="53" t="s">
        <v>118</v>
      </c>
      <c r="AQ8" s="53" t="s">
        <v>484</v>
      </c>
      <c r="AR8" s="53" t="s">
        <v>487</v>
      </c>
      <c r="AS8" s="360"/>
      <c r="AT8" s="363" t="s">
        <v>602</v>
      </c>
      <c r="AU8" s="362" t="s">
        <v>601</v>
      </c>
    </row>
    <row r="9" spans="1:47" ht="14.25" customHeight="1" x14ac:dyDescent="0.25">
      <c r="A9" s="2">
        <v>1</v>
      </c>
      <c r="B9" s="2" t="s">
        <v>101</v>
      </c>
      <c r="C9" s="2" t="s">
        <v>105</v>
      </c>
      <c r="D9" s="370" t="s">
        <v>624</v>
      </c>
      <c r="E9" s="2" t="s">
        <v>490</v>
      </c>
      <c r="F9" s="2">
        <v>1800</v>
      </c>
      <c r="G9" s="2">
        <f>IF(E9="Cantilever",2*F9,1*F9)</f>
        <v>1800</v>
      </c>
      <c r="H9" s="2">
        <v>1720</v>
      </c>
      <c r="I9" s="58">
        <f t="shared" ref="I9:I40" si="0">H9*F9</f>
        <v>3096000</v>
      </c>
      <c r="J9" s="2">
        <v>150</v>
      </c>
      <c r="K9" s="2">
        <v>1655</v>
      </c>
      <c r="L9" s="59">
        <f>F9/H9</f>
        <v>1.0465116279069768</v>
      </c>
      <c r="M9" s="59">
        <f>G9/H9</f>
        <v>1.0465116279069768</v>
      </c>
      <c r="N9" s="281">
        <f t="shared" ref="N9:N37" si="1">O9*P9</f>
        <v>180190.47619047618</v>
      </c>
      <c r="O9" s="282">
        <f t="shared" ref="O9:O40" si="2">J9*H9</f>
        <v>258000</v>
      </c>
      <c r="P9" s="59">
        <f t="shared" ref="P9:P37" si="3">AQ9/AR9</f>
        <v>0.69841269841269837</v>
      </c>
      <c r="Q9" s="59"/>
      <c r="R9" s="2">
        <v>9.5</v>
      </c>
      <c r="S9" s="272">
        <v>16.399999999999999</v>
      </c>
      <c r="T9" s="60">
        <f t="shared" ref="T9:T37" si="4">AVERAGE(22,24)</f>
        <v>23</v>
      </c>
      <c r="U9" s="293">
        <v>3</v>
      </c>
      <c r="V9" s="376"/>
      <c r="W9" s="387"/>
      <c r="X9" s="387"/>
      <c r="Y9" s="281">
        <f t="shared" ref="Y9:Y37" si="5">Z9*(J9*K9)</f>
        <v>774.54</v>
      </c>
      <c r="Z9" s="2">
        <v>3.1199999999999999E-3</v>
      </c>
      <c r="AA9" s="60">
        <f t="shared" ref="AA9:AA37" si="6">AVERAGE(320,450)</f>
        <v>385</v>
      </c>
      <c r="AB9" s="60">
        <f t="shared" ref="AB9:AB40" si="7">Z9*AA9</f>
        <v>1.2012</v>
      </c>
      <c r="AC9" s="283"/>
      <c r="AD9" s="283">
        <v>400</v>
      </c>
      <c r="AE9" s="293">
        <v>0</v>
      </c>
      <c r="AF9" s="282">
        <f>AH9*F9*J9</f>
        <v>191.69999999999996</v>
      </c>
      <c r="AG9" s="282">
        <f>AE9+AF9</f>
        <v>191.69999999999996</v>
      </c>
      <c r="AH9" s="2">
        <v>7.0999999999999991E-4</v>
      </c>
      <c r="AI9" s="60">
        <f t="shared" ref="AI9:AI14" si="8">AVERAGE(320,450)</f>
        <v>385</v>
      </c>
      <c r="AJ9" s="60">
        <f t="shared" ref="AJ9:AJ40" si="9">AH9*AI9</f>
        <v>0.27334999999999998</v>
      </c>
      <c r="AK9" s="318">
        <f t="shared" ref="AK9:AK37" si="10">AH9*(J9*AL9)</f>
        <v>42.599999999999994</v>
      </c>
      <c r="AL9" s="285">
        <v>400</v>
      </c>
      <c r="AM9" s="279">
        <v>0</v>
      </c>
      <c r="AN9" s="2">
        <v>0</v>
      </c>
      <c r="AO9" s="2">
        <v>0</v>
      </c>
      <c r="AP9" s="280">
        <f t="shared" ref="AP9:AP37" si="11">AQ9*O9/1000</f>
        <v>113.52</v>
      </c>
      <c r="AQ9" s="271">
        <f>(0.46+0.42)/2</f>
        <v>0.44</v>
      </c>
      <c r="AR9" s="271">
        <f>(0.66+0.6)/2</f>
        <v>0.63</v>
      </c>
      <c r="AT9" s="2">
        <f>0.16*(2-1)*SQRT(R9)</f>
        <v>0.49315312023751812</v>
      </c>
    </row>
    <row r="10" spans="1:47" x14ac:dyDescent="0.25">
      <c r="A10" s="2">
        <v>2</v>
      </c>
      <c r="B10" s="2" t="s">
        <v>101</v>
      </c>
      <c r="C10" s="2" t="s">
        <v>124</v>
      </c>
      <c r="D10" s="371" t="s">
        <v>624</v>
      </c>
      <c r="E10" s="2" t="s">
        <v>490</v>
      </c>
      <c r="F10" s="2">
        <v>1800</v>
      </c>
      <c r="G10" s="2">
        <f t="shared" ref="G10:G73" si="12">IF(E10="Cantilever",2*F10,1*F10)</f>
        <v>1800</v>
      </c>
      <c r="H10" s="2">
        <v>1720</v>
      </c>
      <c r="I10" s="58">
        <f t="shared" si="0"/>
        <v>3096000</v>
      </c>
      <c r="J10" s="2">
        <v>150</v>
      </c>
      <c r="K10" s="2">
        <v>1655</v>
      </c>
      <c r="L10" s="59">
        <f t="shared" ref="L10:L73" si="13">F10/H10</f>
        <v>1.0465116279069768</v>
      </c>
      <c r="M10" s="59">
        <f t="shared" ref="M10:M73" si="14">G10/H10</f>
        <v>1.0465116279069768</v>
      </c>
      <c r="N10" s="281">
        <f t="shared" si="1"/>
        <v>180896.55172413794</v>
      </c>
      <c r="O10" s="282">
        <f t="shared" si="2"/>
        <v>258000</v>
      </c>
      <c r="P10" s="59">
        <f t="shared" si="3"/>
        <v>0.70114942528735635</v>
      </c>
      <c r="Q10" s="59"/>
      <c r="R10" s="2">
        <v>15.6</v>
      </c>
      <c r="S10" s="272">
        <v>27</v>
      </c>
      <c r="T10" s="60">
        <f t="shared" si="4"/>
        <v>23</v>
      </c>
      <c r="U10" s="293">
        <v>3</v>
      </c>
      <c r="V10" s="376"/>
      <c r="W10" s="387"/>
      <c r="X10" s="387"/>
      <c r="Y10" s="281">
        <f t="shared" si="5"/>
        <v>955.76250000000005</v>
      </c>
      <c r="Z10" s="2">
        <v>3.8500000000000001E-3</v>
      </c>
      <c r="AA10" s="60">
        <f t="shared" si="6"/>
        <v>385</v>
      </c>
      <c r="AB10" s="60">
        <f t="shared" si="7"/>
        <v>1.4822500000000001</v>
      </c>
      <c r="AC10" s="281"/>
      <c r="AD10" s="283">
        <v>400</v>
      </c>
      <c r="AE10" s="293">
        <v>0</v>
      </c>
      <c r="AF10" s="282">
        <f t="shared" ref="AF10:AF37" si="15">AH10*F10*J10</f>
        <v>191.69999999999996</v>
      </c>
      <c r="AG10" s="282">
        <f t="shared" ref="AG10:AG37" si="16">AE10+AF10</f>
        <v>191.69999999999996</v>
      </c>
      <c r="AH10" s="2">
        <v>7.0999999999999991E-4</v>
      </c>
      <c r="AI10" s="60">
        <f t="shared" si="8"/>
        <v>385</v>
      </c>
      <c r="AJ10" s="60">
        <f t="shared" si="9"/>
        <v>0.27334999999999998</v>
      </c>
      <c r="AK10" s="318">
        <f t="shared" si="10"/>
        <v>42.599999999999994</v>
      </c>
      <c r="AL10" s="285">
        <v>400</v>
      </c>
      <c r="AM10" s="279">
        <v>0</v>
      </c>
      <c r="AN10" s="2">
        <v>0</v>
      </c>
      <c r="AO10" s="2">
        <v>0</v>
      </c>
      <c r="AP10" s="280">
        <f t="shared" si="11"/>
        <v>157.38</v>
      </c>
      <c r="AQ10" s="271">
        <f>(0.61+0.61)/2</f>
        <v>0.61</v>
      </c>
      <c r="AR10" s="271">
        <v>0.87</v>
      </c>
      <c r="AT10" s="2">
        <f>(AP9*F9)/(AP9*K9)</f>
        <v>1.0876132930513596</v>
      </c>
    </row>
    <row r="11" spans="1:47" x14ac:dyDescent="0.25">
      <c r="A11" s="2">
        <v>3</v>
      </c>
      <c r="B11" s="2" t="s">
        <v>101</v>
      </c>
      <c r="C11" s="2" t="s">
        <v>125</v>
      </c>
      <c r="D11" s="371" t="s">
        <v>624</v>
      </c>
      <c r="E11" s="2" t="s">
        <v>490</v>
      </c>
      <c r="F11" s="2">
        <v>1800</v>
      </c>
      <c r="G11" s="2">
        <f t="shared" si="12"/>
        <v>1800</v>
      </c>
      <c r="H11" s="2">
        <v>1320</v>
      </c>
      <c r="I11" s="58">
        <f t="shared" si="0"/>
        <v>2376000</v>
      </c>
      <c r="J11" s="2">
        <v>150</v>
      </c>
      <c r="K11" s="2">
        <v>1255</v>
      </c>
      <c r="L11" s="59">
        <f t="shared" si="13"/>
        <v>1.3636363636363635</v>
      </c>
      <c r="M11" s="59">
        <f t="shared" si="14"/>
        <v>1.3636363636363635</v>
      </c>
      <c r="N11" s="281">
        <f t="shared" si="1"/>
        <v>139674.41860465115</v>
      </c>
      <c r="O11" s="282">
        <f t="shared" si="2"/>
        <v>198000</v>
      </c>
      <c r="P11" s="59">
        <f t="shared" si="3"/>
        <v>0.70542635658914721</v>
      </c>
      <c r="Q11" s="59"/>
      <c r="R11" s="2">
        <v>9.5</v>
      </c>
      <c r="S11" s="272">
        <v>16.399999999999999</v>
      </c>
      <c r="T11" s="60">
        <f t="shared" si="4"/>
        <v>23</v>
      </c>
      <c r="U11" s="293">
        <v>3</v>
      </c>
      <c r="V11" s="376"/>
      <c r="W11" s="387"/>
      <c r="X11" s="387"/>
      <c r="Y11" s="281">
        <f t="shared" si="5"/>
        <v>773.70749999999998</v>
      </c>
      <c r="Z11" s="2">
        <v>4.1099999999999999E-3</v>
      </c>
      <c r="AA11" s="60">
        <f t="shared" si="6"/>
        <v>385</v>
      </c>
      <c r="AB11" s="60">
        <f t="shared" si="7"/>
        <v>1.5823499999999999</v>
      </c>
      <c r="AC11" s="281"/>
      <c r="AD11" s="283">
        <v>400</v>
      </c>
      <c r="AE11" s="293">
        <v>0</v>
      </c>
      <c r="AF11" s="282">
        <f t="shared" si="15"/>
        <v>191.69999999999996</v>
      </c>
      <c r="AG11" s="282">
        <f t="shared" si="16"/>
        <v>191.69999999999996</v>
      </c>
      <c r="AH11" s="2">
        <v>7.0999999999999991E-4</v>
      </c>
      <c r="AI11" s="60">
        <f t="shared" si="8"/>
        <v>385</v>
      </c>
      <c r="AJ11" s="60">
        <f t="shared" si="9"/>
        <v>0.27334999999999998</v>
      </c>
      <c r="AK11" s="318">
        <f t="shared" si="10"/>
        <v>42.599999999999994</v>
      </c>
      <c r="AL11" s="285">
        <v>400</v>
      </c>
      <c r="AM11" s="279">
        <v>0</v>
      </c>
      <c r="AN11" s="2">
        <v>0</v>
      </c>
      <c r="AO11" s="2">
        <v>0</v>
      </c>
      <c r="AP11" s="280">
        <f t="shared" si="11"/>
        <v>90.089999999999989</v>
      </c>
      <c r="AQ11" s="271">
        <f>(0.44+0.47)/2</f>
        <v>0.45499999999999996</v>
      </c>
      <c r="AR11" s="271">
        <f>(0.62+0.67)/2</f>
        <v>0.64500000000000002</v>
      </c>
    </row>
    <row r="12" spans="1:47" x14ac:dyDescent="0.25">
      <c r="A12" s="2">
        <v>4</v>
      </c>
      <c r="B12" s="2" t="s">
        <v>101</v>
      </c>
      <c r="C12" s="2" t="s">
        <v>126</v>
      </c>
      <c r="D12" s="371" t="s">
        <v>624</v>
      </c>
      <c r="E12" s="2" t="s">
        <v>490</v>
      </c>
      <c r="F12" s="2">
        <v>1800</v>
      </c>
      <c r="G12" s="2">
        <f t="shared" si="12"/>
        <v>1800</v>
      </c>
      <c r="H12" s="2">
        <v>1320</v>
      </c>
      <c r="I12" s="58">
        <f t="shared" si="0"/>
        <v>2376000</v>
      </c>
      <c r="J12" s="2">
        <v>150</v>
      </c>
      <c r="K12" s="2">
        <v>1255</v>
      </c>
      <c r="L12" s="59">
        <f t="shared" si="13"/>
        <v>1.3636363636363635</v>
      </c>
      <c r="M12" s="59">
        <f t="shared" si="14"/>
        <v>1.3636363636363635</v>
      </c>
      <c r="N12" s="281">
        <f t="shared" si="1"/>
        <v>139420.11834319527</v>
      </c>
      <c r="O12" s="282">
        <f t="shared" si="2"/>
        <v>198000</v>
      </c>
      <c r="P12" s="59">
        <f t="shared" si="3"/>
        <v>0.70414201183431957</v>
      </c>
      <c r="Q12" s="59"/>
      <c r="R12" s="2">
        <v>15.6</v>
      </c>
      <c r="S12" s="272">
        <v>27</v>
      </c>
      <c r="T12" s="60">
        <f t="shared" si="4"/>
        <v>23</v>
      </c>
      <c r="U12" s="293">
        <v>3</v>
      </c>
      <c r="V12" s="376"/>
      <c r="W12" s="387"/>
      <c r="X12" s="387"/>
      <c r="Y12" s="281">
        <f t="shared" si="5"/>
        <v>705.9375</v>
      </c>
      <c r="Z12" s="2">
        <v>3.7499999999999999E-3</v>
      </c>
      <c r="AA12" s="60">
        <f t="shared" si="6"/>
        <v>385</v>
      </c>
      <c r="AB12" s="60">
        <f t="shared" si="7"/>
        <v>1.4437499999999999</v>
      </c>
      <c r="AC12" s="281"/>
      <c r="AD12" s="283">
        <v>400</v>
      </c>
      <c r="AE12" s="293">
        <v>0</v>
      </c>
      <c r="AF12" s="282">
        <f t="shared" si="15"/>
        <v>191.69999999999996</v>
      </c>
      <c r="AG12" s="282">
        <f t="shared" si="16"/>
        <v>191.69999999999996</v>
      </c>
      <c r="AH12" s="2">
        <v>7.0999999999999991E-4</v>
      </c>
      <c r="AI12" s="60">
        <f t="shared" si="8"/>
        <v>385</v>
      </c>
      <c r="AJ12" s="60">
        <f t="shared" si="9"/>
        <v>0.27334999999999998</v>
      </c>
      <c r="AK12" s="318">
        <f t="shared" si="10"/>
        <v>42.599999999999994</v>
      </c>
      <c r="AL12" s="285">
        <v>400</v>
      </c>
      <c r="AM12" s="279">
        <v>0</v>
      </c>
      <c r="AN12" s="2">
        <v>0</v>
      </c>
      <c r="AO12" s="2">
        <v>0</v>
      </c>
      <c r="AP12" s="280">
        <f t="shared" si="11"/>
        <v>117.81</v>
      </c>
      <c r="AQ12" s="271">
        <f>(0.72+0.47)/2</f>
        <v>0.59499999999999997</v>
      </c>
      <c r="AR12" s="271">
        <f>(1.02+0.67)/2</f>
        <v>0.84499999999999997</v>
      </c>
    </row>
    <row r="13" spans="1:47" x14ac:dyDescent="0.25">
      <c r="A13" s="2">
        <v>5</v>
      </c>
      <c r="B13" s="2" t="s">
        <v>101</v>
      </c>
      <c r="C13" s="2" t="s">
        <v>127</v>
      </c>
      <c r="D13" s="371" t="s">
        <v>624</v>
      </c>
      <c r="E13" s="2" t="s">
        <v>490</v>
      </c>
      <c r="F13" s="2">
        <v>1800</v>
      </c>
      <c r="G13" s="2">
        <f t="shared" si="12"/>
        <v>1800</v>
      </c>
      <c r="H13" s="2">
        <v>920</v>
      </c>
      <c r="I13" s="58">
        <f t="shared" si="0"/>
        <v>1656000</v>
      </c>
      <c r="J13" s="2">
        <v>150</v>
      </c>
      <c r="K13" s="2">
        <v>855</v>
      </c>
      <c r="L13" s="59">
        <f t="shared" si="13"/>
        <v>1.9565217391304348</v>
      </c>
      <c r="M13" s="59">
        <f t="shared" si="14"/>
        <v>1.9565217391304348</v>
      </c>
      <c r="N13" s="281">
        <f t="shared" si="1"/>
        <v>98943.39622641512</v>
      </c>
      <c r="O13" s="282">
        <f t="shared" si="2"/>
        <v>138000</v>
      </c>
      <c r="P13" s="59">
        <f t="shared" si="3"/>
        <v>0.71698113207547187</v>
      </c>
      <c r="Q13" s="59"/>
      <c r="R13" s="2">
        <v>9.5</v>
      </c>
      <c r="S13" s="272">
        <v>16.399999999999999</v>
      </c>
      <c r="T13" s="60">
        <f t="shared" si="4"/>
        <v>23</v>
      </c>
      <c r="U13" s="293">
        <v>3</v>
      </c>
      <c r="V13" s="376"/>
      <c r="W13" s="387"/>
      <c r="X13" s="387"/>
      <c r="Y13" s="281">
        <f t="shared" si="5"/>
        <v>774.63</v>
      </c>
      <c r="Z13" s="2">
        <v>6.0400000000000002E-3</v>
      </c>
      <c r="AA13" s="60">
        <f t="shared" si="6"/>
        <v>385</v>
      </c>
      <c r="AB13" s="60">
        <f t="shared" si="7"/>
        <v>2.3254000000000001</v>
      </c>
      <c r="AC13" s="281"/>
      <c r="AD13" s="283">
        <v>400</v>
      </c>
      <c r="AE13" s="293">
        <v>0</v>
      </c>
      <c r="AF13" s="282">
        <f t="shared" si="15"/>
        <v>191.69999999999996</v>
      </c>
      <c r="AG13" s="282">
        <f t="shared" si="16"/>
        <v>191.69999999999996</v>
      </c>
      <c r="AH13" s="2">
        <v>7.0999999999999991E-4</v>
      </c>
      <c r="AI13" s="60">
        <f t="shared" si="8"/>
        <v>385</v>
      </c>
      <c r="AJ13" s="60">
        <f t="shared" si="9"/>
        <v>0.27334999999999998</v>
      </c>
      <c r="AK13" s="318">
        <f t="shared" si="10"/>
        <v>42.599999999999994</v>
      </c>
      <c r="AL13" s="285">
        <v>400</v>
      </c>
      <c r="AM13" s="279">
        <v>0</v>
      </c>
      <c r="AN13" s="2">
        <v>0</v>
      </c>
      <c r="AO13" s="2">
        <v>0</v>
      </c>
      <c r="AP13" s="280">
        <f t="shared" si="11"/>
        <v>78.660000000000011</v>
      </c>
      <c r="AQ13" s="271">
        <f>(0.61+0.53)/2</f>
        <v>0.57000000000000006</v>
      </c>
      <c r="AR13" s="271">
        <f>(0.85+0.74)/2</f>
        <v>0.79499999999999993</v>
      </c>
    </row>
    <row r="14" spans="1:47" x14ac:dyDescent="0.25">
      <c r="A14" s="2">
        <v>6</v>
      </c>
      <c r="B14" s="2" t="s">
        <v>101</v>
      </c>
      <c r="C14" s="2" t="s">
        <v>128</v>
      </c>
      <c r="D14" s="371" t="s">
        <v>624</v>
      </c>
      <c r="E14" s="2" t="s">
        <v>490</v>
      </c>
      <c r="F14" s="2">
        <v>1800</v>
      </c>
      <c r="G14" s="2">
        <f t="shared" si="12"/>
        <v>1800</v>
      </c>
      <c r="H14" s="2">
        <v>920</v>
      </c>
      <c r="I14" s="58">
        <f t="shared" si="0"/>
        <v>1656000</v>
      </c>
      <c r="J14" s="2">
        <v>150</v>
      </c>
      <c r="K14" s="2">
        <v>855</v>
      </c>
      <c r="L14" s="59">
        <f t="shared" si="13"/>
        <v>1.9565217391304348</v>
      </c>
      <c r="M14" s="59">
        <f t="shared" si="14"/>
        <v>1.9565217391304348</v>
      </c>
      <c r="N14" s="281">
        <f t="shared" si="1"/>
        <v>98837.83783783784</v>
      </c>
      <c r="O14" s="282">
        <f t="shared" si="2"/>
        <v>138000</v>
      </c>
      <c r="P14" s="59">
        <f t="shared" si="3"/>
        <v>0.71621621621621623</v>
      </c>
      <c r="Q14" s="59"/>
      <c r="R14" s="2">
        <v>15.6</v>
      </c>
      <c r="S14" s="272">
        <v>27</v>
      </c>
      <c r="T14" s="60">
        <f t="shared" si="4"/>
        <v>23</v>
      </c>
      <c r="U14" s="293">
        <v>3</v>
      </c>
      <c r="V14" s="376"/>
      <c r="W14" s="387"/>
      <c r="X14" s="387"/>
      <c r="Y14" s="281">
        <f t="shared" si="5"/>
        <v>506.58750000000003</v>
      </c>
      <c r="Z14" s="2">
        <v>3.9500000000000004E-3</v>
      </c>
      <c r="AA14" s="60">
        <f t="shared" si="6"/>
        <v>385</v>
      </c>
      <c r="AB14" s="60">
        <f t="shared" si="7"/>
        <v>1.52075</v>
      </c>
      <c r="AC14" s="281"/>
      <c r="AD14" s="283">
        <v>400</v>
      </c>
      <c r="AE14" s="293">
        <v>0</v>
      </c>
      <c r="AF14" s="282">
        <f t="shared" si="15"/>
        <v>191.69999999999996</v>
      </c>
      <c r="AG14" s="282">
        <f t="shared" si="16"/>
        <v>191.69999999999996</v>
      </c>
      <c r="AH14" s="2">
        <v>7.0999999999999991E-4</v>
      </c>
      <c r="AI14" s="60">
        <f t="shared" si="8"/>
        <v>385</v>
      </c>
      <c r="AJ14" s="60">
        <f t="shared" si="9"/>
        <v>0.27334999999999998</v>
      </c>
      <c r="AK14" s="318">
        <f t="shared" si="10"/>
        <v>42.599999999999994</v>
      </c>
      <c r="AL14" s="285">
        <v>400</v>
      </c>
      <c r="AM14" s="279">
        <v>0</v>
      </c>
      <c r="AN14" s="2">
        <v>0</v>
      </c>
      <c r="AO14" s="2">
        <v>0</v>
      </c>
      <c r="AP14" s="280">
        <f t="shared" si="11"/>
        <v>73.14</v>
      </c>
      <c r="AQ14" s="271">
        <v>0.53</v>
      </c>
      <c r="AR14" s="271">
        <v>0.74</v>
      </c>
    </row>
    <row r="15" spans="1:47" x14ac:dyDescent="0.25">
      <c r="A15" s="2">
        <v>7</v>
      </c>
      <c r="B15" s="2" t="s">
        <v>101</v>
      </c>
      <c r="C15" s="2" t="s">
        <v>129</v>
      </c>
      <c r="D15" s="371" t="s">
        <v>624</v>
      </c>
      <c r="E15" s="2" t="s">
        <v>490</v>
      </c>
      <c r="F15" s="2">
        <v>1800</v>
      </c>
      <c r="G15" s="2">
        <f t="shared" si="12"/>
        <v>1800</v>
      </c>
      <c r="H15" s="2">
        <v>1320</v>
      </c>
      <c r="I15" s="58">
        <f t="shared" si="0"/>
        <v>2376000</v>
      </c>
      <c r="J15" s="2">
        <v>150</v>
      </c>
      <c r="K15" s="2">
        <v>1255</v>
      </c>
      <c r="L15" s="59">
        <f t="shared" si="13"/>
        <v>1.3636363636363635</v>
      </c>
      <c r="M15" s="59">
        <f t="shared" si="14"/>
        <v>1.3636363636363635</v>
      </c>
      <c r="N15" s="281">
        <f t="shared" si="1"/>
        <v>139071.42857142855</v>
      </c>
      <c r="O15" s="282">
        <f t="shared" si="2"/>
        <v>198000</v>
      </c>
      <c r="P15" s="59">
        <f t="shared" si="3"/>
        <v>0.70238095238095233</v>
      </c>
      <c r="Q15" s="59"/>
      <c r="R15" s="2">
        <v>9.5</v>
      </c>
      <c r="S15" s="272">
        <v>16.399999999999999</v>
      </c>
      <c r="T15" s="60">
        <f t="shared" si="4"/>
        <v>23</v>
      </c>
      <c r="U15" s="293">
        <v>3</v>
      </c>
      <c r="V15" s="376"/>
      <c r="W15" s="387"/>
      <c r="X15" s="387"/>
      <c r="Y15" s="281">
        <f t="shared" si="5"/>
        <v>773.70749999999998</v>
      </c>
      <c r="Z15" s="2">
        <v>4.1099999999999999E-3</v>
      </c>
      <c r="AA15" s="60">
        <f t="shared" si="6"/>
        <v>385</v>
      </c>
      <c r="AB15" s="60">
        <f t="shared" si="7"/>
        <v>1.5823499999999999</v>
      </c>
      <c r="AC15" s="281"/>
      <c r="AD15" s="283">
        <v>400</v>
      </c>
      <c r="AE15" s="293">
        <v>0</v>
      </c>
      <c r="AF15" s="282">
        <f t="shared" si="15"/>
        <v>0</v>
      </c>
      <c r="AG15" s="282">
        <f t="shared" si="16"/>
        <v>0</v>
      </c>
      <c r="AH15" s="2">
        <v>0</v>
      </c>
      <c r="AI15" s="57">
        <v>0</v>
      </c>
      <c r="AJ15" s="60">
        <f t="shared" si="9"/>
        <v>0</v>
      </c>
      <c r="AK15" s="318">
        <f t="shared" si="10"/>
        <v>0</v>
      </c>
      <c r="AL15" s="285">
        <v>400</v>
      </c>
      <c r="AM15" s="279">
        <v>0</v>
      </c>
      <c r="AN15" s="2">
        <v>0</v>
      </c>
      <c r="AO15" s="2">
        <v>0</v>
      </c>
      <c r="AP15" s="280">
        <f t="shared" si="11"/>
        <v>58.41</v>
      </c>
      <c r="AQ15" s="271">
        <f>(0.3+0.29)/2</f>
        <v>0.29499999999999998</v>
      </c>
      <c r="AR15" s="271">
        <f>(0.43+0.41)/2</f>
        <v>0.42</v>
      </c>
    </row>
    <row r="16" spans="1:47" x14ac:dyDescent="0.25">
      <c r="A16" s="2">
        <v>8</v>
      </c>
      <c r="B16" s="2" t="s">
        <v>101</v>
      </c>
      <c r="C16" s="2" t="s">
        <v>130</v>
      </c>
      <c r="D16" s="371" t="s">
        <v>624</v>
      </c>
      <c r="E16" s="2" t="s">
        <v>490</v>
      </c>
      <c r="F16" s="2">
        <v>1800</v>
      </c>
      <c r="G16" s="2">
        <f t="shared" si="12"/>
        <v>1800</v>
      </c>
      <c r="H16" s="2">
        <v>1320</v>
      </c>
      <c r="I16" s="58">
        <f t="shared" si="0"/>
        <v>2376000</v>
      </c>
      <c r="J16" s="2">
        <v>150</v>
      </c>
      <c r="K16" s="2">
        <v>1255</v>
      </c>
      <c r="L16" s="59">
        <f t="shared" si="13"/>
        <v>1.3636363636363635</v>
      </c>
      <c r="M16" s="59">
        <f t="shared" si="14"/>
        <v>1.3636363636363635</v>
      </c>
      <c r="N16" s="281">
        <f t="shared" si="1"/>
        <v>138980.76923076922</v>
      </c>
      <c r="O16" s="282">
        <f t="shared" si="2"/>
        <v>198000</v>
      </c>
      <c r="P16" s="59">
        <f t="shared" si="3"/>
        <v>0.70192307692307687</v>
      </c>
      <c r="Q16" s="59"/>
      <c r="R16" s="2">
        <v>9.5</v>
      </c>
      <c r="S16" s="272">
        <v>16.399999999999999</v>
      </c>
      <c r="T16" s="60">
        <f t="shared" si="4"/>
        <v>23</v>
      </c>
      <c r="U16" s="293">
        <v>3</v>
      </c>
      <c r="V16" s="376"/>
      <c r="W16" s="387"/>
      <c r="X16" s="387"/>
      <c r="Y16" s="281">
        <f t="shared" si="5"/>
        <v>773.70749999999998</v>
      </c>
      <c r="Z16" s="2">
        <v>4.1099999999999999E-3</v>
      </c>
      <c r="AA16" s="60">
        <f t="shared" si="6"/>
        <v>385</v>
      </c>
      <c r="AB16" s="60">
        <f t="shared" si="7"/>
        <v>1.5823499999999999</v>
      </c>
      <c r="AC16" s="281"/>
      <c r="AD16" s="283">
        <v>400</v>
      </c>
      <c r="AE16" s="293">
        <v>0</v>
      </c>
      <c r="AF16" s="282">
        <f t="shared" si="15"/>
        <v>0</v>
      </c>
      <c r="AG16" s="282">
        <f t="shared" si="16"/>
        <v>0</v>
      </c>
      <c r="AH16" s="2">
        <v>0</v>
      </c>
      <c r="AI16" s="57">
        <v>0</v>
      </c>
      <c r="AJ16" s="60">
        <f t="shared" si="9"/>
        <v>0</v>
      </c>
      <c r="AK16" s="318">
        <f t="shared" si="10"/>
        <v>0</v>
      </c>
      <c r="AL16" s="285">
        <v>400</v>
      </c>
      <c r="AM16" s="279">
        <v>0</v>
      </c>
      <c r="AN16" s="2">
        <v>0</v>
      </c>
      <c r="AO16" s="2">
        <v>0</v>
      </c>
      <c r="AP16" s="280">
        <f t="shared" si="11"/>
        <v>72.27</v>
      </c>
      <c r="AQ16" s="271">
        <f>(0.4+0.33)/2</f>
        <v>0.36499999999999999</v>
      </c>
      <c r="AR16" s="271">
        <f>(0.57+0.47)/2</f>
        <v>0.52</v>
      </c>
    </row>
    <row r="17" spans="1:44" x14ac:dyDescent="0.25">
      <c r="A17" s="2">
        <v>9</v>
      </c>
      <c r="B17" s="2" t="s">
        <v>101</v>
      </c>
      <c r="C17" s="2" t="s">
        <v>131</v>
      </c>
      <c r="D17" s="371" t="s">
        <v>624</v>
      </c>
      <c r="E17" s="2" t="s">
        <v>490</v>
      </c>
      <c r="F17" s="2">
        <v>1800</v>
      </c>
      <c r="G17" s="2">
        <f t="shared" si="12"/>
        <v>1800</v>
      </c>
      <c r="H17" s="2">
        <v>1320</v>
      </c>
      <c r="I17" s="58">
        <f t="shared" si="0"/>
        <v>2376000</v>
      </c>
      <c r="J17" s="2">
        <v>150</v>
      </c>
      <c r="K17" s="2">
        <v>1255</v>
      </c>
      <c r="L17" s="59">
        <f t="shared" si="13"/>
        <v>1.3636363636363635</v>
      </c>
      <c r="M17" s="59">
        <f t="shared" si="14"/>
        <v>1.3636363636363635</v>
      </c>
      <c r="N17" s="281">
        <f t="shared" si="1"/>
        <v>140461.5384615385</v>
      </c>
      <c r="O17" s="282">
        <f t="shared" si="2"/>
        <v>198000</v>
      </c>
      <c r="P17" s="59">
        <f t="shared" si="3"/>
        <v>0.70940170940170955</v>
      </c>
      <c r="Q17" s="59"/>
      <c r="R17" s="2">
        <v>9.5</v>
      </c>
      <c r="S17" s="272">
        <v>16.399999999999999</v>
      </c>
      <c r="T17" s="60">
        <f t="shared" si="4"/>
        <v>23</v>
      </c>
      <c r="U17" s="293">
        <v>3</v>
      </c>
      <c r="V17" s="376"/>
      <c r="W17" s="387"/>
      <c r="X17" s="387"/>
      <c r="Y17" s="281">
        <f t="shared" si="5"/>
        <v>773.70749999999998</v>
      </c>
      <c r="Z17" s="2">
        <v>4.1099999999999999E-3</v>
      </c>
      <c r="AA17" s="60">
        <f t="shared" si="6"/>
        <v>385</v>
      </c>
      <c r="AB17" s="60">
        <f t="shared" si="7"/>
        <v>1.5823499999999999</v>
      </c>
      <c r="AC17" s="281"/>
      <c r="AD17" s="283">
        <v>400</v>
      </c>
      <c r="AE17" s="293">
        <v>0</v>
      </c>
      <c r="AF17" s="282">
        <f t="shared" si="15"/>
        <v>191.69999999999996</v>
      </c>
      <c r="AG17" s="282">
        <f t="shared" si="16"/>
        <v>191.69999999999996</v>
      </c>
      <c r="AH17" s="2">
        <v>7.0999999999999991E-4</v>
      </c>
      <c r="AI17" s="57">
        <f t="shared" ref="AI17:AI22" si="17">AVERAGE(320,450)</f>
        <v>385</v>
      </c>
      <c r="AJ17" s="60">
        <f t="shared" si="9"/>
        <v>0.27334999999999998</v>
      </c>
      <c r="AK17" s="318">
        <f t="shared" si="10"/>
        <v>42.599999999999994</v>
      </c>
      <c r="AL17" s="285">
        <v>400</v>
      </c>
      <c r="AM17" s="279">
        <v>0</v>
      </c>
      <c r="AN17" s="2">
        <v>0</v>
      </c>
      <c r="AO17" s="2">
        <v>0</v>
      </c>
      <c r="AP17" s="280">
        <f t="shared" si="11"/>
        <v>82.17</v>
      </c>
      <c r="AQ17" s="271">
        <f>(0.51+0.32)/2</f>
        <v>0.41500000000000004</v>
      </c>
      <c r="AR17" s="271">
        <f>(0.72+0.45)/2</f>
        <v>0.58499999999999996</v>
      </c>
    </row>
    <row r="18" spans="1:44" x14ac:dyDescent="0.25">
      <c r="A18" s="2">
        <v>10</v>
      </c>
      <c r="B18" s="2" t="s">
        <v>101</v>
      </c>
      <c r="C18" s="2" t="s">
        <v>132</v>
      </c>
      <c r="D18" s="371" t="s">
        <v>624</v>
      </c>
      <c r="E18" s="2" t="s">
        <v>490</v>
      </c>
      <c r="F18" s="2">
        <v>1800</v>
      </c>
      <c r="G18" s="2">
        <f t="shared" si="12"/>
        <v>1800</v>
      </c>
      <c r="H18" s="2">
        <v>1320</v>
      </c>
      <c r="I18" s="58">
        <f t="shared" si="0"/>
        <v>2376000</v>
      </c>
      <c r="J18" s="2">
        <v>150</v>
      </c>
      <c r="K18" s="2">
        <v>1255</v>
      </c>
      <c r="L18" s="59">
        <f t="shared" si="13"/>
        <v>1.3636363636363635</v>
      </c>
      <c r="M18" s="59">
        <f t="shared" si="14"/>
        <v>1.3636363636363635</v>
      </c>
      <c r="N18" s="281">
        <f t="shared" si="1"/>
        <v>140314.96062992126</v>
      </c>
      <c r="O18" s="282">
        <f t="shared" si="2"/>
        <v>198000</v>
      </c>
      <c r="P18" s="59">
        <f t="shared" si="3"/>
        <v>0.70866141732283461</v>
      </c>
      <c r="Q18" s="59"/>
      <c r="R18" s="2">
        <v>9.5</v>
      </c>
      <c r="S18" s="272">
        <v>16.399999999999999</v>
      </c>
      <c r="T18" s="60">
        <f t="shared" si="4"/>
        <v>23</v>
      </c>
      <c r="U18" s="293">
        <v>3</v>
      </c>
      <c r="V18" s="376"/>
      <c r="W18" s="387"/>
      <c r="X18" s="387"/>
      <c r="Y18" s="281">
        <f t="shared" si="5"/>
        <v>773.70749999999998</v>
      </c>
      <c r="Z18" s="2">
        <v>4.1099999999999999E-3</v>
      </c>
      <c r="AA18" s="60">
        <f t="shared" si="6"/>
        <v>385</v>
      </c>
      <c r="AB18" s="60">
        <f t="shared" si="7"/>
        <v>1.5823499999999999</v>
      </c>
      <c r="AC18" s="281"/>
      <c r="AD18" s="283">
        <v>400</v>
      </c>
      <c r="AE18" s="293">
        <v>0</v>
      </c>
      <c r="AF18" s="282">
        <f t="shared" si="15"/>
        <v>399.6</v>
      </c>
      <c r="AG18" s="282">
        <f t="shared" si="16"/>
        <v>399.6</v>
      </c>
      <c r="AH18" s="2">
        <v>1.48E-3</v>
      </c>
      <c r="AI18" s="57">
        <f t="shared" si="17"/>
        <v>385</v>
      </c>
      <c r="AJ18" s="60">
        <f t="shared" si="9"/>
        <v>0.56979999999999997</v>
      </c>
      <c r="AK18" s="318">
        <f t="shared" si="10"/>
        <v>88.8</v>
      </c>
      <c r="AL18" s="285">
        <v>400</v>
      </c>
      <c r="AM18" s="279">
        <v>0</v>
      </c>
      <c r="AN18" s="2">
        <v>0</v>
      </c>
      <c r="AO18" s="2">
        <v>0</v>
      </c>
      <c r="AP18" s="280">
        <f t="shared" si="11"/>
        <v>89.1</v>
      </c>
      <c r="AQ18" s="271">
        <f>(0.53+0.37)/2</f>
        <v>0.45</v>
      </c>
      <c r="AR18" s="271">
        <f>(0.75+0.52)/2</f>
        <v>0.63500000000000001</v>
      </c>
    </row>
    <row r="19" spans="1:44" x14ac:dyDescent="0.25">
      <c r="A19" s="2">
        <v>11</v>
      </c>
      <c r="B19" s="2" t="s">
        <v>101</v>
      </c>
      <c r="C19" s="2" t="s">
        <v>133</v>
      </c>
      <c r="D19" s="371" t="s">
        <v>624</v>
      </c>
      <c r="E19" s="2" t="s">
        <v>490</v>
      </c>
      <c r="F19" s="2">
        <v>1800</v>
      </c>
      <c r="G19" s="2">
        <f t="shared" si="12"/>
        <v>1800</v>
      </c>
      <c r="H19" s="2">
        <v>1320</v>
      </c>
      <c r="I19" s="58">
        <f t="shared" si="0"/>
        <v>2376000</v>
      </c>
      <c r="J19" s="2">
        <v>150</v>
      </c>
      <c r="K19" s="2">
        <v>1255</v>
      </c>
      <c r="L19" s="59">
        <f t="shared" si="13"/>
        <v>1.3636363636363635</v>
      </c>
      <c r="M19" s="59">
        <f t="shared" si="14"/>
        <v>1.3636363636363635</v>
      </c>
      <c r="N19" s="281">
        <f t="shared" si="1"/>
        <v>139471.69811320759</v>
      </c>
      <c r="O19" s="282">
        <f t="shared" si="2"/>
        <v>198000</v>
      </c>
      <c r="P19" s="59">
        <f t="shared" si="3"/>
        <v>0.70440251572327062</v>
      </c>
      <c r="Q19" s="59"/>
      <c r="R19" s="2">
        <v>9.5</v>
      </c>
      <c r="S19" s="272">
        <v>16.399999999999999</v>
      </c>
      <c r="T19" s="60">
        <f t="shared" si="4"/>
        <v>23</v>
      </c>
      <c r="U19" s="293">
        <v>3</v>
      </c>
      <c r="V19" s="376"/>
      <c r="W19" s="387"/>
      <c r="X19" s="387"/>
      <c r="Y19" s="281">
        <f t="shared" si="5"/>
        <v>773.70749999999998</v>
      </c>
      <c r="Z19" s="2">
        <v>4.1099999999999999E-3</v>
      </c>
      <c r="AA19" s="60">
        <f t="shared" si="6"/>
        <v>385</v>
      </c>
      <c r="AB19" s="60">
        <f t="shared" si="7"/>
        <v>1.5823499999999999</v>
      </c>
      <c r="AC19" s="281"/>
      <c r="AD19" s="283">
        <v>400</v>
      </c>
      <c r="AE19" s="293">
        <v>0</v>
      </c>
      <c r="AF19" s="282">
        <f t="shared" si="15"/>
        <v>599.40000000000009</v>
      </c>
      <c r="AG19" s="282">
        <f t="shared" si="16"/>
        <v>599.40000000000009</v>
      </c>
      <c r="AH19" s="2">
        <v>2.2200000000000002E-3</v>
      </c>
      <c r="AI19" s="57">
        <f t="shared" si="17"/>
        <v>385</v>
      </c>
      <c r="AJ19" s="60">
        <f t="shared" si="9"/>
        <v>0.85470000000000013</v>
      </c>
      <c r="AK19" s="318">
        <f t="shared" si="10"/>
        <v>133.20000000000002</v>
      </c>
      <c r="AL19" s="285">
        <v>400</v>
      </c>
      <c r="AM19" s="279">
        <v>0</v>
      </c>
      <c r="AN19" s="2">
        <v>0</v>
      </c>
      <c r="AO19" s="2">
        <v>0</v>
      </c>
      <c r="AP19" s="280">
        <f t="shared" si="11"/>
        <v>110.88000000000001</v>
      </c>
      <c r="AQ19" s="271">
        <f>(0.67+0.45)/2</f>
        <v>0.56000000000000005</v>
      </c>
      <c r="AR19" s="271">
        <f>(0.95+0.64)/2</f>
        <v>0.79499999999999993</v>
      </c>
    </row>
    <row r="20" spans="1:44" x14ac:dyDescent="0.25">
      <c r="A20" s="2">
        <v>12</v>
      </c>
      <c r="B20" s="2" t="s">
        <v>101</v>
      </c>
      <c r="C20" s="2" t="s">
        <v>134</v>
      </c>
      <c r="D20" s="371" t="s">
        <v>624</v>
      </c>
      <c r="E20" s="2" t="s">
        <v>490</v>
      </c>
      <c r="F20" s="2">
        <v>1800</v>
      </c>
      <c r="G20" s="2">
        <f t="shared" si="12"/>
        <v>1800</v>
      </c>
      <c r="H20" s="2">
        <v>1320</v>
      </c>
      <c r="I20" s="58">
        <f t="shared" si="0"/>
        <v>2376000</v>
      </c>
      <c r="J20" s="2">
        <v>150</v>
      </c>
      <c r="K20" s="2">
        <v>1255</v>
      </c>
      <c r="L20" s="59">
        <f t="shared" si="13"/>
        <v>1.3636363636363635</v>
      </c>
      <c r="M20" s="59">
        <f t="shared" si="14"/>
        <v>1.3636363636363635</v>
      </c>
      <c r="N20" s="281">
        <f t="shared" si="1"/>
        <v>138803.07692307694</v>
      </c>
      <c r="O20" s="282">
        <f t="shared" si="2"/>
        <v>198000</v>
      </c>
      <c r="P20" s="59">
        <f t="shared" si="3"/>
        <v>0.70102564102564102</v>
      </c>
      <c r="Q20" s="59"/>
      <c r="R20" s="2">
        <v>15.6</v>
      </c>
      <c r="S20" s="272">
        <v>27</v>
      </c>
      <c r="T20" s="60">
        <f t="shared" si="4"/>
        <v>23</v>
      </c>
      <c r="U20" s="293">
        <v>3</v>
      </c>
      <c r="V20" s="376"/>
      <c r="W20" s="387"/>
      <c r="X20" s="387"/>
      <c r="Y20" s="281">
        <f t="shared" si="5"/>
        <v>773.70749999999998</v>
      </c>
      <c r="Z20" s="2">
        <v>4.1099999999999999E-3</v>
      </c>
      <c r="AA20" s="60">
        <f t="shared" si="6"/>
        <v>385</v>
      </c>
      <c r="AB20" s="60">
        <f t="shared" si="7"/>
        <v>1.5823499999999999</v>
      </c>
      <c r="AC20" s="281"/>
      <c r="AD20" s="283">
        <v>400</v>
      </c>
      <c r="AE20" s="293">
        <v>0</v>
      </c>
      <c r="AF20" s="282">
        <f t="shared" si="15"/>
        <v>191.69999999999996</v>
      </c>
      <c r="AG20" s="282">
        <f t="shared" si="16"/>
        <v>191.69999999999996</v>
      </c>
      <c r="AH20" s="2">
        <v>7.0999999999999991E-4</v>
      </c>
      <c r="AI20" s="57">
        <f t="shared" si="17"/>
        <v>385</v>
      </c>
      <c r="AJ20" s="60">
        <f t="shared" si="9"/>
        <v>0.27334999999999998</v>
      </c>
      <c r="AK20" s="318">
        <f t="shared" si="10"/>
        <v>42.599999999999994</v>
      </c>
      <c r="AL20" s="285">
        <v>400</v>
      </c>
      <c r="AM20" s="280">
        <f t="shared" ref="AM20:AM37" si="18">AN20*(J19*H19)/1000</f>
        <v>97.02</v>
      </c>
      <c r="AN20" s="2">
        <v>0.49</v>
      </c>
      <c r="AO20" s="2">
        <v>0.69</v>
      </c>
      <c r="AP20" s="280">
        <f t="shared" si="11"/>
        <v>135.333</v>
      </c>
      <c r="AQ20" s="271">
        <f>(0.857+0.51)/2</f>
        <v>0.6835</v>
      </c>
      <c r="AR20" s="271">
        <f>(1.23+0.72)/2</f>
        <v>0.97499999999999998</v>
      </c>
    </row>
    <row r="21" spans="1:44" x14ac:dyDescent="0.25">
      <c r="A21" s="2">
        <v>13</v>
      </c>
      <c r="B21" s="2" t="s">
        <v>101</v>
      </c>
      <c r="C21" s="2" t="s">
        <v>143</v>
      </c>
      <c r="D21" s="371" t="s">
        <v>624</v>
      </c>
      <c r="E21" s="2" t="s">
        <v>490</v>
      </c>
      <c r="F21" s="2">
        <v>1800</v>
      </c>
      <c r="G21" s="2">
        <f t="shared" si="12"/>
        <v>1800</v>
      </c>
      <c r="H21" s="2">
        <v>1320</v>
      </c>
      <c r="I21" s="58">
        <f t="shared" si="0"/>
        <v>2376000</v>
      </c>
      <c r="J21" s="2">
        <v>150</v>
      </c>
      <c r="K21" s="2">
        <v>1255</v>
      </c>
      <c r="L21" s="59">
        <f t="shared" si="13"/>
        <v>1.3636363636363635</v>
      </c>
      <c r="M21" s="59">
        <f t="shared" si="14"/>
        <v>1.3636363636363635</v>
      </c>
      <c r="N21" s="281">
        <f t="shared" si="1"/>
        <v>139764.70588235292</v>
      </c>
      <c r="O21" s="282">
        <f t="shared" si="2"/>
        <v>198000</v>
      </c>
      <c r="P21" s="59">
        <f t="shared" si="3"/>
        <v>0.70588235294117641</v>
      </c>
      <c r="Q21" s="59"/>
      <c r="R21" s="2">
        <v>15.6</v>
      </c>
      <c r="S21" s="272">
        <v>27</v>
      </c>
      <c r="T21" s="60">
        <f t="shared" si="4"/>
        <v>23</v>
      </c>
      <c r="U21" s="293">
        <v>3</v>
      </c>
      <c r="V21" s="376"/>
      <c r="W21" s="387"/>
      <c r="X21" s="387"/>
      <c r="Y21" s="281">
        <f t="shared" si="5"/>
        <v>773.70749999999998</v>
      </c>
      <c r="Z21" s="2">
        <v>4.1099999999999999E-3</v>
      </c>
      <c r="AA21" s="60">
        <f t="shared" si="6"/>
        <v>385</v>
      </c>
      <c r="AB21" s="60">
        <f t="shared" si="7"/>
        <v>1.5823499999999999</v>
      </c>
      <c r="AC21" s="281"/>
      <c r="AD21" s="283">
        <v>400</v>
      </c>
      <c r="AE21" s="293">
        <v>0</v>
      </c>
      <c r="AF21" s="282">
        <f t="shared" si="15"/>
        <v>191.69999999999996</v>
      </c>
      <c r="AG21" s="282">
        <f t="shared" si="16"/>
        <v>191.69999999999996</v>
      </c>
      <c r="AH21" s="2">
        <v>7.0999999999999991E-4</v>
      </c>
      <c r="AI21" s="57">
        <f t="shared" si="17"/>
        <v>385</v>
      </c>
      <c r="AJ21" s="60">
        <f t="shared" si="9"/>
        <v>0.27334999999999998</v>
      </c>
      <c r="AK21" s="318">
        <f t="shared" si="10"/>
        <v>42.599999999999994</v>
      </c>
      <c r="AL21" s="285">
        <v>400</v>
      </c>
      <c r="AM21" s="280">
        <f t="shared" si="18"/>
        <v>194.04</v>
      </c>
      <c r="AN21" s="2">
        <v>0.98</v>
      </c>
      <c r="AO21" s="2">
        <v>1.39</v>
      </c>
      <c r="AP21" s="280">
        <f t="shared" si="11"/>
        <v>142.56</v>
      </c>
      <c r="AQ21" s="271">
        <f>(0.75+0.69)/2</f>
        <v>0.72</v>
      </c>
      <c r="AR21" s="271">
        <f>(1.06+0.98)/2</f>
        <v>1.02</v>
      </c>
    </row>
    <row r="22" spans="1:44" x14ac:dyDescent="0.25">
      <c r="A22" s="2">
        <v>14</v>
      </c>
      <c r="B22" s="2" t="s">
        <v>101</v>
      </c>
      <c r="C22" s="2" t="s">
        <v>144</v>
      </c>
      <c r="D22" s="371" t="s">
        <v>624</v>
      </c>
      <c r="E22" s="2" t="s">
        <v>490</v>
      </c>
      <c r="F22" s="2">
        <v>1800</v>
      </c>
      <c r="G22" s="2">
        <f t="shared" si="12"/>
        <v>1800</v>
      </c>
      <c r="H22" s="2">
        <v>1320</v>
      </c>
      <c r="I22" s="58">
        <f t="shared" si="0"/>
        <v>2376000</v>
      </c>
      <c r="J22" s="2">
        <v>150</v>
      </c>
      <c r="K22" s="2">
        <v>1255</v>
      </c>
      <c r="L22" s="59">
        <f t="shared" si="13"/>
        <v>1.3636363636363635</v>
      </c>
      <c r="M22" s="59">
        <f t="shared" si="14"/>
        <v>1.3636363636363635</v>
      </c>
      <c r="N22" s="281">
        <f t="shared" si="1"/>
        <v>139992.1875</v>
      </c>
      <c r="O22" s="282">
        <f t="shared" si="2"/>
        <v>198000</v>
      </c>
      <c r="P22" s="59">
        <f t="shared" si="3"/>
        <v>0.70703125</v>
      </c>
      <c r="Q22" s="59"/>
      <c r="R22" s="2">
        <v>15.6</v>
      </c>
      <c r="S22" s="272">
        <v>27</v>
      </c>
      <c r="T22" s="60">
        <f t="shared" si="4"/>
        <v>23</v>
      </c>
      <c r="U22" s="293">
        <v>3</v>
      </c>
      <c r="V22" s="376"/>
      <c r="W22" s="387"/>
      <c r="X22" s="387"/>
      <c r="Y22" s="281">
        <f t="shared" si="5"/>
        <v>773.70749999999998</v>
      </c>
      <c r="Z22" s="2">
        <v>4.1099999999999999E-3</v>
      </c>
      <c r="AA22" s="60">
        <f t="shared" si="6"/>
        <v>385</v>
      </c>
      <c r="AB22" s="60">
        <f t="shared" si="7"/>
        <v>1.5823499999999999</v>
      </c>
      <c r="AC22" s="281"/>
      <c r="AD22" s="283">
        <v>400</v>
      </c>
      <c r="AE22" s="293">
        <v>0</v>
      </c>
      <c r="AF22" s="282">
        <f t="shared" si="15"/>
        <v>191.69999999999996</v>
      </c>
      <c r="AG22" s="282">
        <f t="shared" si="16"/>
        <v>191.69999999999996</v>
      </c>
      <c r="AH22" s="2">
        <v>7.0999999999999991E-4</v>
      </c>
      <c r="AI22" s="57">
        <f t="shared" si="17"/>
        <v>385</v>
      </c>
      <c r="AJ22" s="60">
        <f t="shared" si="9"/>
        <v>0.27334999999999998</v>
      </c>
      <c r="AK22" s="318">
        <f t="shared" si="10"/>
        <v>42.599999999999994</v>
      </c>
      <c r="AL22" s="285">
        <v>400</v>
      </c>
      <c r="AM22" s="280">
        <f t="shared" si="18"/>
        <v>291.06</v>
      </c>
      <c r="AN22" s="2">
        <v>1.47</v>
      </c>
      <c r="AO22" s="2">
        <v>2.08</v>
      </c>
      <c r="AP22" s="280">
        <f t="shared" si="11"/>
        <v>179.19</v>
      </c>
      <c r="AQ22" s="271">
        <f>(0.97+0.84)/2</f>
        <v>0.90500000000000003</v>
      </c>
      <c r="AR22" s="271">
        <f>(1.37+1.19)/2</f>
        <v>1.28</v>
      </c>
    </row>
    <row r="23" spans="1:44" x14ac:dyDescent="0.25">
      <c r="A23" s="2">
        <v>15</v>
      </c>
      <c r="B23" s="2" t="s">
        <v>101</v>
      </c>
      <c r="C23" s="2" t="s">
        <v>135</v>
      </c>
      <c r="D23" s="371" t="s">
        <v>624</v>
      </c>
      <c r="E23" s="2" t="s">
        <v>490</v>
      </c>
      <c r="F23" s="2">
        <v>1800</v>
      </c>
      <c r="G23" s="2">
        <f t="shared" si="12"/>
        <v>1800</v>
      </c>
      <c r="H23" s="2">
        <v>1370</v>
      </c>
      <c r="I23" s="58">
        <f t="shared" si="0"/>
        <v>2466000</v>
      </c>
      <c r="J23" s="2">
        <v>150</v>
      </c>
      <c r="K23" s="2">
        <v>1293</v>
      </c>
      <c r="L23" s="59">
        <f t="shared" si="13"/>
        <v>1.3138686131386861</v>
      </c>
      <c r="M23" s="59">
        <f t="shared" si="14"/>
        <v>1.3138686131386861</v>
      </c>
      <c r="N23" s="281">
        <f t="shared" si="1"/>
        <v>147458.01526717556</v>
      </c>
      <c r="O23" s="282">
        <f t="shared" si="2"/>
        <v>205500</v>
      </c>
      <c r="P23" s="59">
        <f t="shared" si="3"/>
        <v>0.71755725190839692</v>
      </c>
      <c r="Q23" s="59"/>
      <c r="R23" s="2">
        <v>8.1</v>
      </c>
      <c r="S23" s="272">
        <v>14</v>
      </c>
      <c r="T23" s="60">
        <f t="shared" si="4"/>
        <v>23</v>
      </c>
      <c r="U23" s="293">
        <v>3</v>
      </c>
      <c r="V23" s="376"/>
      <c r="W23" s="387"/>
      <c r="X23" s="387"/>
      <c r="Y23" s="281">
        <f t="shared" si="5"/>
        <v>773.86050000000012</v>
      </c>
      <c r="Z23" s="2">
        <v>3.9900000000000005E-3</v>
      </c>
      <c r="AA23" s="60">
        <f t="shared" si="6"/>
        <v>385</v>
      </c>
      <c r="AB23" s="60">
        <f t="shared" si="7"/>
        <v>1.5361500000000001</v>
      </c>
      <c r="AC23" s="281"/>
      <c r="AD23" s="283">
        <v>400</v>
      </c>
      <c r="AE23" s="293">
        <v>0</v>
      </c>
      <c r="AF23" s="282">
        <f t="shared" si="15"/>
        <v>0</v>
      </c>
      <c r="AG23" s="282">
        <f t="shared" si="16"/>
        <v>0</v>
      </c>
      <c r="AH23" s="2">
        <v>0</v>
      </c>
      <c r="AI23" s="57">
        <v>0</v>
      </c>
      <c r="AJ23" s="60">
        <f t="shared" si="9"/>
        <v>0</v>
      </c>
      <c r="AK23" s="318">
        <f t="shared" si="10"/>
        <v>0</v>
      </c>
      <c r="AL23" s="285">
        <v>400</v>
      </c>
      <c r="AM23" s="280">
        <f t="shared" si="18"/>
        <v>97.02</v>
      </c>
      <c r="AN23" s="2">
        <v>0.49</v>
      </c>
      <c r="AO23" s="2">
        <v>0.68</v>
      </c>
      <c r="AP23" s="280">
        <f t="shared" si="11"/>
        <v>96.584999999999994</v>
      </c>
      <c r="AQ23" s="271">
        <f>(0.53+0.41)/2</f>
        <v>0.47</v>
      </c>
      <c r="AR23" s="271">
        <f>(0.74+0.57)/2</f>
        <v>0.65500000000000003</v>
      </c>
    </row>
    <row r="24" spans="1:44" x14ac:dyDescent="0.25">
      <c r="A24" s="2">
        <v>16</v>
      </c>
      <c r="B24" s="2" t="s">
        <v>101</v>
      </c>
      <c r="C24" s="2" t="s">
        <v>136</v>
      </c>
      <c r="D24" s="371" t="s">
        <v>624</v>
      </c>
      <c r="E24" s="2" t="s">
        <v>490</v>
      </c>
      <c r="F24" s="2">
        <v>1800</v>
      </c>
      <c r="G24" s="2">
        <f t="shared" si="12"/>
        <v>1800</v>
      </c>
      <c r="H24" s="2">
        <v>1370</v>
      </c>
      <c r="I24" s="58">
        <f t="shared" si="0"/>
        <v>2466000</v>
      </c>
      <c r="J24" s="2">
        <v>150</v>
      </c>
      <c r="K24" s="2">
        <v>1293</v>
      </c>
      <c r="L24" s="59">
        <f t="shared" si="13"/>
        <v>1.3138686131386861</v>
      </c>
      <c r="M24" s="59">
        <f t="shared" si="14"/>
        <v>1.3138686131386861</v>
      </c>
      <c r="N24" s="281">
        <f t="shared" si="1"/>
        <v>146927.53623188403</v>
      </c>
      <c r="O24" s="282">
        <f t="shared" si="2"/>
        <v>205500</v>
      </c>
      <c r="P24" s="59">
        <f t="shared" si="3"/>
        <v>0.71497584541062786</v>
      </c>
      <c r="Q24" s="59"/>
      <c r="R24" s="2">
        <v>8.1</v>
      </c>
      <c r="S24" s="272">
        <v>14</v>
      </c>
      <c r="T24" s="60">
        <f t="shared" si="4"/>
        <v>23</v>
      </c>
      <c r="U24" s="293">
        <v>3</v>
      </c>
      <c r="V24" s="376"/>
      <c r="W24" s="387"/>
      <c r="X24" s="387"/>
      <c r="Y24" s="281">
        <f t="shared" si="5"/>
        <v>773.86050000000012</v>
      </c>
      <c r="Z24" s="2">
        <v>3.9900000000000005E-3</v>
      </c>
      <c r="AA24" s="60">
        <f t="shared" si="6"/>
        <v>385</v>
      </c>
      <c r="AB24" s="60">
        <f t="shared" si="7"/>
        <v>1.5361500000000001</v>
      </c>
      <c r="AC24" s="281"/>
      <c r="AD24" s="283">
        <v>400</v>
      </c>
      <c r="AE24" s="293">
        <v>0</v>
      </c>
      <c r="AF24" s="282">
        <f t="shared" si="15"/>
        <v>399.6</v>
      </c>
      <c r="AG24" s="282">
        <f t="shared" si="16"/>
        <v>399.6</v>
      </c>
      <c r="AH24" s="2">
        <v>1.48E-3</v>
      </c>
      <c r="AI24" s="57">
        <f>AVERAGE(320,450)</f>
        <v>385</v>
      </c>
      <c r="AJ24" s="60">
        <f t="shared" si="9"/>
        <v>0.56979999999999997</v>
      </c>
      <c r="AK24" s="318">
        <f t="shared" si="10"/>
        <v>88.8</v>
      </c>
      <c r="AL24" s="285">
        <v>400</v>
      </c>
      <c r="AM24" s="280">
        <f t="shared" si="18"/>
        <v>100.69499999999999</v>
      </c>
      <c r="AN24" s="2">
        <v>0.49</v>
      </c>
      <c r="AO24" s="2">
        <v>0.68</v>
      </c>
      <c r="AP24" s="280">
        <f t="shared" si="11"/>
        <v>152.07</v>
      </c>
      <c r="AQ24" s="271">
        <f>(0.75+0.73)/2</f>
        <v>0.74</v>
      </c>
      <c r="AR24" s="271">
        <f>(1.05+1.02)/2</f>
        <v>1.0350000000000001</v>
      </c>
    </row>
    <row r="25" spans="1:44" x14ac:dyDescent="0.25">
      <c r="A25" s="2">
        <v>17</v>
      </c>
      <c r="B25" s="2" t="s">
        <v>101</v>
      </c>
      <c r="C25" s="2" t="s">
        <v>145</v>
      </c>
      <c r="D25" s="371" t="s">
        <v>624</v>
      </c>
      <c r="E25" s="2" t="s">
        <v>490</v>
      </c>
      <c r="F25" s="2">
        <v>1800</v>
      </c>
      <c r="G25" s="2">
        <f t="shared" si="12"/>
        <v>1800</v>
      </c>
      <c r="H25" s="2">
        <v>1370</v>
      </c>
      <c r="I25" s="58">
        <f t="shared" si="0"/>
        <v>2466000</v>
      </c>
      <c r="J25" s="2">
        <v>150</v>
      </c>
      <c r="K25" s="2">
        <v>1293</v>
      </c>
      <c r="L25" s="59">
        <f t="shared" si="13"/>
        <v>1.3138686131386861</v>
      </c>
      <c r="M25" s="59">
        <f t="shared" si="14"/>
        <v>1.3138686131386861</v>
      </c>
      <c r="N25" s="281">
        <f t="shared" si="1"/>
        <v>146910.63829787236</v>
      </c>
      <c r="O25" s="282">
        <f t="shared" si="2"/>
        <v>205500</v>
      </c>
      <c r="P25" s="59">
        <f t="shared" si="3"/>
        <v>0.71489361702127663</v>
      </c>
      <c r="Q25" s="59"/>
      <c r="R25" s="2">
        <v>8.1</v>
      </c>
      <c r="S25" s="272">
        <v>14</v>
      </c>
      <c r="T25" s="60">
        <f t="shared" si="4"/>
        <v>23</v>
      </c>
      <c r="U25" s="293">
        <v>3</v>
      </c>
      <c r="V25" s="376"/>
      <c r="W25" s="387"/>
      <c r="X25" s="387"/>
      <c r="Y25" s="281">
        <f t="shared" si="5"/>
        <v>773.86050000000012</v>
      </c>
      <c r="Z25" s="2">
        <v>3.9900000000000005E-3</v>
      </c>
      <c r="AA25" s="60">
        <f t="shared" si="6"/>
        <v>385</v>
      </c>
      <c r="AB25" s="60">
        <f t="shared" si="7"/>
        <v>1.5361500000000001</v>
      </c>
      <c r="AC25" s="281"/>
      <c r="AD25" s="283">
        <v>400</v>
      </c>
      <c r="AE25" s="293">
        <v>0</v>
      </c>
      <c r="AF25" s="282">
        <f t="shared" si="15"/>
        <v>599.40000000000009</v>
      </c>
      <c r="AG25" s="282">
        <f t="shared" si="16"/>
        <v>599.40000000000009</v>
      </c>
      <c r="AH25" s="2">
        <v>2.2200000000000002E-3</v>
      </c>
      <c r="AI25" s="57">
        <f>AVERAGE(320,450)</f>
        <v>385</v>
      </c>
      <c r="AJ25" s="60">
        <f t="shared" si="9"/>
        <v>0.85470000000000013</v>
      </c>
      <c r="AK25" s="318">
        <f t="shared" si="10"/>
        <v>133.20000000000002</v>
      </c>
      <c r="AL25" s="285">
        <v>400</v>
      </c>
      <c r="AM25" s="280">
        <f t="shared" si="18"/>
        <v>100.69499999999999</v>
      </c>
      <c r="AN25" s="2">
        <v>0.49</v>
      </c>
      <c r="AO25" s="2">
        <v>0.68</v>
      </c>
      <c r="AP25" s="280">
        <f t="shared" si="11"/>
        <v>172.62000000000003</v>
      </c>
      <c r="AQ25" s="271">
        <f>(0.78+0.9)/2</f>
        <v>0.84000000000000008</v>
      </c>
      <c r="AR25" s="271">
        <f>(1.09+1.26)/2</f>
        <v>1.175</v>
      </c>
    </row>
    <row r="26" spans="1:44" x14ac:dyDescent="0.25">
      <c r="A26" s="2">
        <v>18</v>
      </c>
      <c r="B26" s="2" t="s">
        <v>101</v>
      </c>
      <c r="C26" s="2" t="s">
        <v>137</v>
      </c>
      <c r="D26" s="371" t="s">
        <v>624</v>
      </c>
      <c r="E26" s="2" t="s">
        <v>490</v>
      </c>
      <c r="F26" s="2">
        <v>1800</v>
      </c>
      <c r="G26" s="2">
        <f t="shared" si="12"/>
        <v>1800</v>
      </c>
      <c r="H26" s="2">
        <v>1370</v>
      </c>
      <c r="I26" s="58">
        <f t="shared" si="0"/>
        <v>2466000</v>
      </c>
      <c r="J26" s="2">
        <v>150</v>
      </c>
      <c r="K26" s="2">
        <v>1293</v>
      </c>
      <c r="L26" s="59">
        <f t="shared" si="13"/>
        <v>1.3138686131386861</v>
      </c>
      <c r="M26" s="59">
        <f t="shared" si="14"/>
        <v>1.3138686131386861</v>
      </c>
      <c r="N26" s="281">
        <f t="shared" si="1"/>
        <v>147339.62264150943</v>
      </c>
      <c r="O26" s="282">
        <f t="shared" si="2"/>
        <v>205500</v>
      </c>
      <c r="P26" s="59">
        <f t="shared" si="3"/>
        <v>0.71698113207547165</v>
      </c>
      <c r="Q26" s="59"/>
      <c r="R26" s="2">
        <v>8.1</v>
      </c>
      <c r="S26" s="272">
        <v>14</v>
      </c>
      <c r="T26" s="60">
        <f t="shared" si="4"/>
        <v>23</v>
      </c>
      <c r="U26" s="293">
        <v>3</v>
      </c>
      <c r="V26" s="376"/>
      <c r="W26" s="387"/>
      <c r="X26" s="387"/>
      <c r="Y26" s="281">
        <f t="shared" si="5"/>
        <v>773.86050000000012</v>
      </c>
      <c r="Z26" s="2">
        <v>3.9900000000000005E-3</v>
      </c>
      <c r="AA26" s="60">
        <f t="shared" si="6"/>
        <v>385</v>
      </c>
      <c r="AB26" s="60">
        <f t="shared" si="7"/>
        <v>1.5361500000000001</v>
      </c>
      <c r="AC26" s="281"/>
      <c r="AD26" s="283">
        <v>400</v>
      </c>
      <c r="AE26" s="293">
        <v>0</v>
      </c>
      <c r="AF26" s="282">
        <f t="shared" si="15"/>
        <v>904.5</v>
      </c>
      <c r="AG26" s="282">
        <f t="shared" si="16"/>
        <v>904.5</v>
      </c>
      <c r="AH26" s="2">
        <v>3.3500000000000001E-3</v>
      </c>
      <c r="AI26" s="57">
        <f>AVERAGE(320,450)</f>
        <v>385</v>
      </c>
      <c r="AJ26" s="60">
        <f t="shared" si="9"/>
        <v>1.28975</v>
      </c>
      <c r="AK26" s="318">
        <f t="shared" si="10"/>
        <v>201</v>
      </c>
      <c r="AL26" s="285">
        <v>400</v>
      </c>
      <c r="AM26" s="280">
        <f t="shared" si="18"/>
        <v>100.69499999999999</v>
      </c>
      <c r="AN26" s="2">
        <v>0.49</v>
      </c>
      <c r="AO26" s="2">
        <v>0.68</v>
      </c>
      <c r="AP26" s="280">
        <f t="shared" si="11"/>
        <v>195.22499999999999</v>
      </c>
      <c r="AQ26" s="271">
        <f>(1.21+0.69)/2</f>
        <v>0.95</v>
      </c>
      <c r="AR26" s="271">
        <f>(1.69+0.96)/2</f>
        <v>1.325</v>
      </c>
    </row>
    <row r="27" spans="1:44" x14ac:dyDescent="0.25">
      <c r="A27" s="2">
        <v>19</v>
      </c>
      <c r="B27" s="2" t="s">
        <v>101</v>
      </c>
      <c r="C27" s="2" t="s">
        <v>138</v>
      </c>
      <c r="D27" s="371" t="s">
        <v>624</v>
      </c>
      <c r="E27" s="2" t="s">
        <v>490</v>
      </c>
      <c r="F27" s="2">
        <v>1800</v>
      </c>
      <c r="G27" s="2">
        <f t="shared" si="12"/>
        <v>1800</v>
      </c>
      <c r="H27" s="2">
        <v>1370</v>
      </c>
      <c r="I27" s="58">
        <f t="shared" si="0"/>
        <v>2466000</v>
      </c>
      <c r="J27" s="2">
        <v>150</v>
      </c>
      <c r="K27" s="2">
        <v>1293</v>
      </c>
      <c r="L27" s="59">
        <f t="shared" si="13"/>
        <v>1.3138686131386861</v>
      </c>
      <c r="M27" s="59">
        <f t="shared" si="14"/>
        <v>1.3138686131386861</v>
      </c>
      <c r="N27" s="281">
        <f t="shared" si="1"/>
        <v>147566.48936170214</v>
      </c>
      <c r="O27" s="282">
        <f t="shared" si="2"/>
        <v>205500</v>
      </c>
      <c r="P27" s="59">
        <f t="shared" si="3"/>
        <v>0.71808510638297884</v>
      </c>
      <c r="Q27" s="59"/>
      <c r="R27" s="2">
        <v>8.1</v>
      </c>
      <c r="S27" s="272">
        <v>14</v>
      </c>
      <c r="T27" s="60">
        <f t="shared" si="4"/>
        <v>23</v>
      </c>
      <c r="U27" s="293">
        <v>3</v>
      </c>
      <c r="V27" s="376"/>
      <c r="W27" s="387"/>
      <c r="X27" s="387"/>
      <c r="Y27" s="281">
        <f t="shared" si="5"/>
        <v>287.04599999999999</v>
      </c>
      <c r="Z27" s="2">
        <v>1.48E-3</v>
      </c>
      <c r="AA27" s="60">
        <f t="shared" si="6"/>
        <v>385</v>
      </c>
      <c r="AB27" s="60">
        <f t="shared" si="7"/>
        <v>0.56979999999999997</v>
      </c>
      <c r="AC27" s="281"/>
      <c r="AD27" s="283">
        <v>400</v>
      </c>
      <c r="AE27" s="293">
        <v>0</v>
      </c>
      <c r="AF27" s="282">
        <f t="shared" si="15"/>
        <v>191.69999999999996</v>
      </c>
      <c r="AG27" s="282">
        <f t="shared" si="16"/>
        <v>191.69999999999996</v>
      </c>
      <c r="AH27" s="2">
        <v>7.0999999999999991E-4</v>
      </c>
      <c r="AI27" s="57">
        <f>AVERAGE(320,450)</f>
        <v>385</v>
      </c>
      <c r="AJ27" s="60">
        <f t="shared" si="9"/>
        <v>0.27334999999999998</v>
      </c>
      <c r="AK27" s="318">
        <f t="shared" si="10"/>
        <v>42.599999999999994</v>
      </c>
      <c r="AL27" s="285">
        <v>400</v>
      </c>
      <c r="AM27" s="280">
        <f t="shared" si="18"/>
        <v>100.69499999999999</v>
      </c>
      <c r="AN27" s="2">
        <v>0.49</v>
      </c>
      <c r="AO27" s="2">
        <v>0.68</v>
      </c>
      <c r="AP27" s="280">
        <f t="shared" si="11"/>
        <v>138.71250000000001</v>
      </c>
      <c r="AQ27" s="271">
        <f>(0.72+0.63)/2</f>
        <v>0.67500000000000004</v>
      </c>
      <c r="AR27" s="271">
        <f>(1+0.88)/2</f>
        <v>0.94</v>
      </c>
    </row>
    <row r="28" spans="1:44" x14ac:dyDescent="0.25">
      <c r="A28" s="2">
        <v>20</v>
      </c>
      <c r="B28" s="2" t="s">
        <v>101</v>
      </c>
      <c r="C28" s="2" t="s">
        <v>139</v>
      </c>
      <c r="D28" s="371" t="s">
        <v>624</v>
      </c>
      <c r="E28" s="2" t="s">
        <v>490</v>
      </c>
      <c r="F28" s="2">
        <v>1800</v>
      </c>
      <c r="G28" s="2">
        <f t="shared" si="12"/>
        <v>1800</v>
      </c>
      <c r="H28" s="2">
        <v>1320</v>
      </c>
      <c r="I28" s="58">
        <f t="shared" si="0"/>
        <v>2376000</v>
      </c>
      <c r="J28" s="2">
        <v>150</v>
      </c>
      <c r="K28" s="2">
        <v>1255</v>
      </c>
      <c r="L28" s="59">
        <f t="shared" si="13"/>
        <v>1.3636363636363635</v>
      </c>
      <c r="M28" s="59">
        <f t="shared" si="14"/>
        <v>1.3636363636363635</v>
      </c>
      <c r="N28" s="281">
        <f t="shared" si="1"/>
        <v>139559.47136563878</v>
      </c>
      <c r="O28" s="282">
        <f t="shared" si="2"/>
        <v>198000</v>
      </c>
      <c r="P28" s="59">
        <f t="shared" si="3"/>
        <v>0.70484581497797361</v>
      </c>
      <c r="Q28" s="59"/>
      <c r="R28" s="2">
        <v>15.6</v>
      </c>
      <c r="S28" s="272">
        <v>27</v>
      </c>
      <c r="T28" s="60">
        <f t="shared" si="4"/>
        <v>23</v>
      </c>
      <c r="U28" s="293">
        <v>3</v>
      </c>
      <c r="V28" s="376"/>
      <c r="W28" s="387"/>
      <c r="X28" s="387"/>
      <c r="Y28" s="281">
        <f t="shared" si="5"/>
        <v>773.70749999999998</v>
      </c>
      <c r="Z28" s="2">
        <v>4.1099999999999999E-3</v>
      </c>
      <c r="AA28" s="60">
        <f t="shared" si="6"/>
        <v>385</v>
      </c>
      <c r="AB28" s="60">
        <f t="shared" si="7"/>
        <v>1.5823499999999999</v>
      </c>
      <c r="AC28" s="281"/>
      <c r="AD28" s="283">
        <v>400</v>
      </c>
      <c r="AE28" s="293">
        <v>0</v>
      </c>
      <c r="AF28" s="282">
        <f t="shared" si="15"/>
        <v>0</v>
      </c>
      <c r="AG28" s="282">
        <f t="shared" si="16"/>
        <v>0</v>
      </c>
      <c r="AH28" s="2">
        <v>0</v>
      </c>
      <c r="AI28" s="57">
        <v>0</v>
      </c>
      <c r="AJ28" s="60">
        <f t="shared" si="9"/>
        <v>0</v>
      </c>
      <c r="AK28" s="318">
        <f t="shared" si="10"/>
        <v>0</v>
      </c>
      <c r="AL28" s="285">
        <v>400</v>
      </c>
      <c r="AM28" s="280">
        <f t="shared" si="18"/>
        <v>201.39</v>
      </c>
      <c r="AN28" s="2">
        <v>0.98</v>
      </c>
      <c r="AO28" s="2">
        <v>1.39</v>
      </c>
      <c r="AP28" s="280">
        <f t="shared" si="11"/>
        <v>158.4</v>
      </c>
      <c r="AQ28" s="271">
        <f>(0.91+0.69)/2</f>
        <v>0.8</v>
      </c>
      <c r="AR28" s="271">
        <f>(1.29+0.98)/2</f>
        <v>1.135</v>
      </c>
    </row>
    <row r="29" spans="1:44" x14ac:dyDescent="0.25">
      <c r="A29" s="2">
        <v>21</v>
      </c>
      <c r="B29" s="2" t="s">
        <v>101</v>
      </c>
      <c r="C29" s="2" t="s">
        <v>140</v>
      </c>
      <c r="D29" s="371" t="s">
        <v>624</v>
      </c>
      <c r="E29" s="2" t="s">
        <v>490</v>
      </c>
      <c r="F29" s="2">
        <v>1800</v>
      </c>
      <c r="G29" s="2">
        <f t="shared" si="12"/>
        <v>1800</v>
      </c>
      <c r="H29" s="2">
        <v>1320</v>
      </c>
      <c r="I29" s="58">
        <f t="shared" si="0"/>
        <v>2376000</v>
      </c>
      <c r="J29" s="2">
        <v>150</v>
      </c>
      <c r="K29" s="2">
        <v>1255</v>
      </c>
      <c r="L29" s="59">
        <f t="shared" si="13"/>
        <v>1.3636363636363635</v>
      </c>
      <c r="M29" s="59">
        <f t="shared" si="14"/>
        <v>1.3636363636363635</v>
      </c>
      <c r="N29" s="281">
        <f t="shared" si="1"/>
        <v>139392</v>
      </c>
      <c r="O29" s="282">
        <f t="shared" si="2"/>
        <v>198000</v>
      </c>
      <c r="P29" s="59">
        <f t="shared" si="3"/>
        <v>0.70399999999999996</v>
      </c>
      <c r="Q29" s="59"/>
      <c r="R29" s="2">
        <v>8.1</v>
      </c>
      <c r="S29" s="272">
        <v>14</v>
      </c>
      <c r="T29" s="60">
        <f t="shared" si="4"/>
        <v>23</v>
      </c>
      <c r="U29" s="293">
        <v>3</v>
      </c>
      <c r="V29" s="376"/>
      <c r="W29" s="387"/>
      <c r="X29" s="387"/>
      <c r="Y29" s="281">
        <f t="shared" si="5"/>
        <v>773.70749999999998</v>
      </c>
      <c r="Z29" s="2">
        <v>4.1099999999999999E-3</v>
      </c>
      <c r="AA29" s="60">
        <f t="shared" si="6"/>
        <v>385</v>
      </c>
      <c r="AB29" s="60">
        <f t="shared" si="7"/>
        <v>1.5823499999999999</v>
      </c>
      <c r="AC29" s="281"/>
      <c r="AD29" s="283">
        <v>400</v>
      </c>
      <c r="AE29" s="293">
        <v>0</v>
      </c>
      <c r="AF29" s="282">
        <f t="shared" si="15"/>
        <v>0</v>
      </c>
      <c r="AG29" s="282">
        <f t="shared" si="16"/>
        <v>0</v>
      </c>
      <c r="AH29" s="2">
        <v>0</v>
      </c>
      <c r="AI29" s="57">
        <v>0</v>
      </c>
      <c r="AJ29" s="60">
        <f t="shared" si="9"/>
        <v>0</v>
      </c>
      <c r="AK29" s="318">
        <f t="shared" si="10"/>
        <v>0</v>
      </c>
      <c r="AL29" s="285">
        <v>400</v>
      </c>
      <c r="AM29" s="280">
        <f t="shared" si="18"/>
        <v>194.04</v>
      </c>
      <c r="AN29" s="2">
        <v>0.98</v>
      </c>
      <c r="AO29" s="2">
        <v>1.39</v>
      </c>
      <c r="AP29" s="280">
        <f t="shared" si="11"/>
        <v>87.12</v>
      </c>
      <c r="AQ29" s="271">
        <f>(0.48+0.4)/2</f>
        <v>0.44</v>
      </c>
      <c r="AR29" s="271">
        <f>(0.68+0.57)/2</f>
        <v>0.625</v>
      </c>
    </row>
    <row r="30" spans="1:44" x14ac:dyDescent="0.25">
      <c r="A30" s="2">
        <v>22</v>
      </c>
      <c r="B30" s="2" t="s">
        <v>101</v>
      </c>
      <c r="C30" s="2" t="s">
        <v>141</v>
      </c>
      <c r="D30" s="371" t="s">
        <v>624</v>
      </c>
      <c r="E30" s="2" t="s">
        <v>490</v>
      </c>
      <c r="F30" s="2">
        <v>1800</v>
      </c>
      <c r="G30" s="2">
        <f t="shared" si="12"/>
        <v>1800</v>
      </c>
      <c r="H30" s="2">
        <v>1320</v>
      </c>
      <c r="I30" s="58">
        <f t="shared" si="0"/>
        <v>2376000</v>
      </c>
      <c r="J30" s="2">
        <v>150</v>
      </c>
      <c r="K30" s="2">
        <v>1255</v>
      </c>
      <c r="L30" s="59">
        <f t="shared" si="13"/>
        <v>1.3636363636363635</v>
      </c>
      <c r="M30" s="59">
        <f t="shared" si="14"/>
        <v>1.3636363636363635</v>
      </c>
      <c r="N30" s="281">
        <f t="shared" si="1"/>
        <v>140008.36820083685</v>
      </c>
      <c r="O30" s="282">
        <f t="shared" si="2"/>
        <v>198000</v>
      </c>
      <c r="P30" s="59">
        <f t="shared" si="3"/>
        <v>0.7071129707112972</v>
      </c>
      <c r="Q30" s="59"/>
      <c r="R30" s="2">
        <v>15.6</v>
      </c>
      <c r="S30" s="272">
        <v>27</v>
      </c>
      <c r="T30" s="60">
        <f t="shared" si="4"/>
        <v>23</v>
      </c>
      <c r="U30" s="293">
        <v>3</v>
      </c>
      <c r="V30" s="376"/>
      <c r="W30" s="387"/>
      <c r="X30" s="387"/>
      <c r="Y30" s="281">
        <f t="shared" si="5"/>
        <v>773.70749999999998</v>
      </c>
      <c r="Z30" s="2">
        <v>4.1099999999999999E-3</v>
      </c>
      <c r="AA30" s="60">
        <f t="shared" si="6"/>
        <v>385</v>
      </c>
      <c r="AB30" s="60">
        <f t="shared" si="7"/>
        <v>1.5823499999999999</v>
      </c>
      <c r="AC30" s="281"/>
      <c r="AD30" s="283">
        <v>400</v>
      </c>
      <c r="AE30" s="293">
        <v>0</v>
      </c>
      <c r="AF30" s="282">
        <f t="shared" si="15"/>
        <v>399.6</v>
      </c>
      <c r="AG30" s="282">
        <f t="shared" si="16"/>
        <v>399.6</v>
      </c>
      <c r="AH30" s="2">
        <v>1.48E-3</v>
      </c>
      <c r="AI30" s="60">
        <f t="shared" ref="AI30:AI37" si="19">AVERAGE(320,450)</f>
        <v>385</v>
      </c>
      <c r="AJ30" s="60">
        <f t="shared" si="9"/>
        <v>0.56979999999999997</v>
      </c>
      <c r="AK30" s="318">
        <f t="shared" si="10"/>
        <v>88.8</v>
      </c>
      <c r="AL30" s="285">
        <v>400</v>
      </c>
      <c r="AM30" s="280">
        <f t="shared" si="18"/>
        <v>194.04</v>
      </c>
      <c r="AN30" s="2">
        <v>0.98</v>
      </c>
      <c r="AO30" s="2">
        <v>1.39</v>
      </c>
      <c r="AP30" s="280">
        <f t="shared" si="11"/>
        <v>167.31</v>
      </c>
      <c r="AQ30" s="271">
        <f>(0.99+0.7)/2</f>
        <v>0.84499999999999997</v>
      </c>
      <c r="AR30" s="271">
        <f>(1.4+0.99)/2</f>
        <v>1.1949999999999998</v>
      </c>
    </row>
    <row r="31" spans="1:44" x14ac:dyDescent="0.25">
      <c r="A31" s="2">
        <v>23</v>
      </c>
      <c r="B31" s="2" t="s">
        <v>101</v>
      </c>
      <c r="C31" s="2" t="s">
        <v>142</v>
      </c>
      <c r="D31" s="371" t="s">
        <v>624</v>
      </c>
      <c r="E31" s="2" t="s">
        <v>490</v>
      </c>
      <c r="F31" s="2">
        <v>1800</v>
      </c>
      <c r="G31" s="2">
        <f t="shared" si="12"/>
        <v>1800</v>
      </c>
      <c r="H31" s="2">
        <v>1320</v>
      </c>
      <c r="I31" s="58">
        <f t="shared" si="0"/>
        <v>2376000</v>
      </c>
      <c r="J31" s="2">
        <v>150</v>
      </c>
      <c r="K31" s="2">
        <v>1255</v>
      </c>
      <c r="L31" s="59">
        <f t="shared" si="13"/>
        <v>1.3636363636363635</v>
      </c>
      <c r="M31" s="59">
        <f t="shared" si="14"/>
        <v>1.3636363636363635</v>
      </c>
      <c r="N31" s="281">
        <f t="shared" si="1"/>
        <v>140030.41825095058</v>
      </c>
      <c r="O31" s="282">
        <f t="shared" si="2"/>
        <v>198000</v>
      </c>
      <c r="P31" s="59">
        <f t="shared" si="3"/>
        <v>0.70722433460076051</v>
      </c>
      <c r="Q31" s="59"/>
      <c r="R31" s="2">
        <v>15.6</v>
      </c>
      <c r="S31" s="272">
        <v>27</v>
      </c>
      <c r="T31" s="60">
        <f t="shared" si="4"/>
        <v>23</v>
      </c>
      <c r="U31" s="293">
        <v>3</v>
      </c>
      <c r="V31" s="376"/>
      <c r="W31" s="387"/>
      <c r="X31" s="387"/>
      <c r="Y31" s="281">
        <f t="shared" si="5"/>
        <v>773.70749999999998</v>
      </c>
      <c r="Z31" s="2">
        <v>4.1099999999999999E-3</v>
      </c>
      <c r="AA31" s="60">
        <f t="shared" si="6"/>
        <v>385</v>
      </c>
      <c r="AB31" s="60">
        <f t="shared" si="7"/>
        <v>1.5823499999999999</v>
      </c>
      <c r="AC31" s="281"/>
      <c r="AD31" s="283">
        <v>400</v>
      </c>
      <c r="AE31" s="293">
        <v>0</v>
      </c>
      <c r="AF31" s="282">
        <f t="shared" si="15"/>
        <v>599.40000000000009</v>
      </c>
      <c r="AG31" s="282">
        <f t="shared" si="16"/>
        <v>599.40000000000009</v>
      </c>
      <c r="AH31" s="2">
        <v>2.2200000000000002E-3</v>
      </c>
      <c r="AI31" s="60">
        <f t="shared" si="19"/>
        <v>385</v>
      </c>
      <c r="AJ31" s="60">
        <f t="shared" si="9"/>
        <v>0.85470000000000013</v>
      </c>
      <c r="AK31" s="318">
        <f t="shared" si="10"/>
        <v>133.20000000000002</v>
      </c>
      <c r="AL31" s="285">
        <v>400</v>
      </c>
      <c r="AM31" s="280">
        <f t="shared" si="18"/>
        <v>194.04</v>
      </c>
      <c r="AN31" s="2">
        <v>0.98</v>
      </c>
      <c r="AO31" s="2">
        <v>1.39</v>
      </c>
      <c r="AP31" s="280">
        <f t="shared" si="11"/>
        <v>184.14</v>
      </c>
      <c r="AQ31" s="271">
        <f>(1.09+0.77)/2</f>
        <v>0.93</v>
      </c>
      <c r="AR31" s="271">
        <f>(1.54+1.09)/2</f>
        <v>1.3149999999999999</v>
      </c>
    </row>
    <row r="32" spans="1:44" x14ac:dyDescent="0.25">
      <c r="A32" s="2">
        <v>24</v>
      </c>
      <c r="B32" s="2" t="s">
        <v>101</v>
      </c>
      <c r="C32" s="2" t="s">
        <v>146</v>
      </c>
      <c r="D32" s="371" t="s">
        <v>624</v>
      </c>
      <c r="E32" s="2" t="s">
        <v>490</v>
      </c>
      <c r="F32" s="2">
        <v>1800</v>
      </c>
      <c r="G32" s="2">
        <f t="shared" si="12"/>
        <v>1800</v>
      </c>
      <c r="H32" s="2">
        <v>1970</v>
      </c>
      <c r="I32" s="58">
        <f t="shared" si="0"/>
        <v>3546000</v>
      </c>
      <c r="J32" s="2">
        <v>150</v>
      </c>
      <c r="K32" s="2">
        <v>1880</v>
      </c>
      <c r="L32" s="59">
        <f t="shared" si="13"/>
        <v>0.91370558375634514</v>
      </c>
      <c r="M32" s="59">
        <f t="shared" si="14"/>
        <v>0.91370558375634514</v>
      </c>
      <c r="N32" s="281">
        <f t="shared" si="1"/>
        <v>211842.46575342465</v>
      </c>
      <c r="O32" s="282">
        <f t="shared" si="2"/>
        <v>295500</v>
      </c>
      <c r="P32" s="59">
        <f t="shared" si="3"/>
        <v>0.71689497716894979</v>
      </c>
      <c r="Q32" s="59"/>
      <c r="R32" s="2">
        <v>8.8000000000000007</v>
      </c>
      <c r="S32" s="272">
        <v>15.2</v>
      </c>
      <c r="T32" s="60">
        <f t="shared" si="4"/>
        <v>23</v>
      </c>
      <c r="U32" s="293">
        <v>3</v>
      </c>
      <c r="V32" s="376"/>
      <c r="W32" s="387"/>
      <c r="X32" s="387"/>
      <c r="Y32" s="281">
        <f t="shared" si="5"/>
        <v>772.68000000000006</v>
      </c>
      <c r="Z32" s="2">
        <v>2.7400000000000002E-3</v>
      </c>
      <c r="AA32" s="60">
        <f t="shared" si="6"/>
        <v>385</v>
      </c>
      <c r="AB32" s="60">
        <f t="shared" si="7"/>
        <v>1.0549000000000002</v>
      </c>
      <c r="AC32" s="281"/>
      <c r="AD32" s="283">
        <v>400</v>
      </c>
      <c r="AE32" s="293">
        <v>0</v>
      </c>
      <c r="AF32" s="282">
        <f t="shared" si="15"/>
        <v>399.6</v>
      </c>
      <c r="AG32" s="282">
        <f t="shared" si="16"/>
        <v>399.6</v>
      </c>
      <c r="AH32" s="2">
        <v>1.48E-3</v>
      </c>
      <c r="AI32" s="60">
        <f t="shared" si="19"/>
        <v>385</v>
      </c>
      <c r="AJ32" s="60">
        <f t="shared" si="9"/>
        <v>0.56979999999999997</v>
      </c>
      <c r="AK32" s="318">
        <f t="shared" si="10"/>
        <v>88.8</v>
      </c>
      <c r="AL32" s="285">
        <v>400</v>
      </c>
      <c r="AM32" s="280">
        <f t="shared" si="18"/>
        <v>97.02</v>
      </c>
      <c r="AN32" s="2">
        <v>0.49</v>
      </c>
      <c r="AO32" s="2">
        <v>0.69</v>
      </c>
      <c r="AP32" s="280">
        <f t="shared" si="11"/>
        <v>231.9675</v>
      </c>
      <c r="AQ32" s="271">
        <f>(0.81+0.76)/2</f>
        <v>0.78500000000000003</v>
      </c>
      <c r="AR32" s="271">
        <f>(1.13+1.06)/2</f>
        <v>1.095</v>
      </c>
    </row>
    <row r="33" spans="1:45" x14ac:dyDescent="0.25">
      <c r="A33" s="2">
        <v>25</v>
      </c>
      <c r="B33" s="2" t="s">
        <v>101</v>
      </c>
      <c r="C33" s="2" t="s">
        <v>147</v>
      </c>
      <c r="D33" s="371" t="s">
        <v>624</v>
      </c>
      <c r="E33" s="2" t="s">
        <v>490</v>
      </c>
      <c r="F33" s="2">
        <v>1800</v>
      </c>
      <c r="G33" s="2">
        <f t="shared" si="12"/>
        <v>1800</v>
      </c>
      <c r="H33" s="2">
        <v>1970</v>
      </c>
      <c r="I33" s="58">
        <f t="shared" si="0"/>
        <v>3546000</v>
      </c>
      <c r="J33" s="2">
        <v>150</v>
      </c>
      <c r="K33" s="2">
        <v>1880</v>
      </c>
      <c r="L33" s="59">
        <f t="shared" si="13"/>
        <v>0.91370558375634514</v>
      </c>
      <c r="M33" s="59">
        <f t="shared" si="14"/>
        <v>0.91370558375634514</v>
      </c>
      <c r="N33" s="281">
        <f t="shared" si="1"/>
        <v>211867.92452830187</v>
      </c>
      <c r="O33" s="282">
        <f t="shared" si="2"/>
        <v>295500</v>
      </c>
      <c r="P33" s="59">
        <f t="shared" si="3"/>
        <v>0.71698113207547165</v>
      </c>
      <c r="Q33" s="59"/>
      <c r="R33" s="2">
        <v>8.8000000000000007</v>
      </c>
      <c r="S33" s="272">
        <v>15.2</v>
      </c>
      <c r="T33" s="60">
        <f t="shared" si="4"/>
        <v>23</v>
      </c>
      <c r="U33" s="293">
        <v>3</v>
      </c>
      <c r="V33" s="376"/>
      <c r="W33" s="387"/>
      <c r="X33" s="387"/>
      <c r="Y33" s="281">
        <f t="shared" si="5"/>
        <v>772.68000000000006</v>
      </c>
      <c r="Z33" s="2">
        <v>2.7400000000000002E-3</v>
      </c>
      <c r="AA33" s="60">
        <f t="shared" si="6"/>
        <v>385</v>
      </c>
      <c r="AB33" s="60">
        <f t="shared" si="7"/>
        <v>1.0549000000000002</v>
      </c>
      <c r="AC33" s="281"/>
      <c r="AD33" s="283">
        <v>400</v>
      </c>
      <c r="AE33" s="293">
        <v>0</v>
      </c>
      <c r="AF33" s="282">
        <f t="shared" si="15"/>
        <v>399.6</v>
      </c>
      <c r="AG33" s="282">
        <f t="shared" si="16"/>
        <v>399.6</v>
      </c>
      <c r="AH33" s="2">
        <v>1.48E-3</v>
      </c>
      <c r="AI33" s="60">
        <f t="shared" si="19"/>
        <v>385</v>
      </c>
      <c r="AJ33" s="60">
        <f t="shared" si="9"/>
        <v>0.56979999999999997</v>
      </c>
      <c r="AK33" s="318">
        <f t="shared" si="10"/>
        <v>88.8</v>
      </c>
      <c r="AL33" s="285">
        <v>400</v>
      </c>
      <c r="AM33" s="280">
        <f t="shared" si="18"/>
        <v>144.79499999999999</v>
      </c>
      <c r="AN33" s="2">
        <v>0.49</v>
      </c>
      <c r="AO33" s="2">
        <v>0.69</v>
      </c>
      <c r="AP33" s="280">
        <f t="shared" si="11"/>
        <v>224.58</v>
      </c>
      <c r="AQ33" s="271">
        <f>(0.78+0.74)/2</f>
        <v>0.76</v>
      </c>
      <c r="AR33" s="271">
        <f>(1.09+1.03)/2</f>
        <v>1.06</v>
      </c>
    </row>
    <row r="34" spans="1:45" x14ac:dyDescent="0.25">
      <c r="A34" s="2">
        <v>26</v>
      </c>
      <c r="B34" s="2" t="s">
        <v>101</v>
      </c>
      <c r="C34" s="2" t="s">
        <v>148</v>
      </c>
      <c r="D34" s="371" t="s">
        <v>624</v>
      </c>
      <c r="E34" s="2" t="s">
        <v>490</v>
      </c>
      <c r="F34" s="2">
        <v>1800</v>
      </c>
      <c r="G34" s="2">
        <f t="shared" si="12"/>
        <v>1800</v>
      </c>
      <c r="H34" s="2">
        <v>1770</v>
      </c>
      <c r="I34" s="58">
        <f t="shared" si="0"/>
        <v>3186000</v>
      </c>
      <c r="J34" s="2">
        <v>150</v>
      </c>
      <c r="K34" s="2">
        <v>1680</v>
      </c>
      <c r="L34" s="59">
        <f t="shared" si="13"/>
        <v>1.0169491525423728</v>
      </c>
      <c r="M34" s="59">
        <f t="shared" si="14"/>
        <v>1.0169491525423728</v>
      </c>
      <c r="N34" s="281">
        <f t="shared" si="1"/>
        <v>206810.52631578947</v>
      </c>
      <c r="O34" s="282">
        <f t="shared" si="2"/>
        <v>265500</v>
      </c>
      <c r="P34" s="59">
        <f t="shared" si="3"/>
        <v>0.77894736842105261</v>
      </c>
      <c r="Q34" s="59"/>
      <c r="R34" s="2">
        <v>8.8000000000000007</v>
      </c>
      <c r="S34" s="272">
        <v>15.2</v>
      </c>
      <c r="T34" s="60">
        <f t="shared" si="4"/>
        <v>23</v>
      </c>
      <c r="U34" s="293">
        <v>3</v>
      </c>
      <c r="V34" s="376"/>
      <c r="W34" s="387"/>
      <c r="X34" s="387"/>
      <c r="Y34" s="281">
        <f t="shared" si="5"/>
        <v>642.6</v>
      </c>
      <c r="Z34" s="2">
        <v>2.5500000000000002E-3</v>
      </c>
      <c r="AA34" s="60">
        <f t="shared" si="6"/>
        <v>385</v>
      </c>
      <c r="AB34" s="60">
        <f t="shared" si="7"/>
        <v>0.98175000000000012</v>
      </c>
      <c r="AC34" s="281"/>
      <c r="AD34" s="283">
        <v>400</v>
      </c>
      <c r="AE34" s="293">
        <v>0</v>
      </c>
      <c r="AF34" s="282">
        <f t="shared" si="15"/>
        <v>399.6</v>
      </c>
      <c r="AG34" s="282">
        <f t="shared" si="16"/>
        <v>399.6</v>
      </c>
      <c r="AH34" s="2">
        <v>1.48E-3</v>
      </c>
      <c r="AI34" s="60">
        <f t="shared" si="19"/>
        <v>385</v>
      </c>
      <c r="AJ34" s="60">
        <f t="shared" si="9"/>
        <v>0.56979999999999997</v>
      </c>
      <c r="AK34" s="318">
        <f t="shared" si="10"/>
        <v>88.8</v>
      </c>
      <c r="AL34" s="285">
        <v>400</v>
      </c>
      <c r="AM34" s="280">
        <f t="shared" si="18"/>
        <v>144.79499999999999</v>
      </c>
      <c r="AN34" s="2">
        <v>0.49</v>
      </c>
      <c r="AO34" s="2">
        <v>0.68</v>
      </c>
      <c r="AP34" s="280">
        <f t="shared" si="11"/>
        <v>196.47</v>
      </c>
      <c r="AQ34" s="271">
        <f>(0.8+0.68)/2</f>
        <v>0.74</v>
      </c>
      <c r="AR34" s="271">
        <f>(1.13+0.77)/2</f>
        <v>0.95</v>
      </c>
    </row>
    <row r="35" spans="1:45" x14ac:dyDescent="0.25">
      <c r="A35" s="2">
        <v>27</v>
      </c>
      <c r="B35" s="2" t="s">
        <v>101</v>
      </c>
      <c r="C35" s="2" t="s">
        <v>149</v>
      </c>
      <c r="D35" s="371" t="s">
        <v>624</v>
      </c>
      <c r="E35" s="2" t="s">
        <v>490</v>
      </c>
      <c r="F35" s="2">
        <v>1800</v>
      </c>
      <c r="G35" s="2">
        <f t="shared" si="12"/>
        <v>1800</v>
      </c>
      <c r="H35" s="2">
        <v>1370</v>
      </c>
      <c r="I35" s="58">
        <f t="shared" si="0"/>
        <v>2466000</v>
      </c>
      <c r="J35" s="2">
        <v>150</v>
      </c>
      <c r="K35" s="2">
        <v>1280</v>
      </c>
      <c r="L35" s="59">
        <f t="shared" si="13"/>
        <v>1.3138686131386861</v>
      </c>
      <c r="M35" s="59">
        <f t="shared" si="14"/>
        <v>1.3138686131386861</v>
      </c>
      <c r="N35" s="281">
        <f t="shared" si="1"/>
        <v>147378.78787878787</v>
      </c>
      <c r="O35" s="282">
        <f t="shared" si="2"/>
        <v>205500</v>
      </c>
      <c r="P35" s="59">
        <f t="shared" si="3"/>
        <v>0.71717171717171713</v>
      </c>
      <c r="Q35" s="59"/>
      <c r="R35" s="2">
        <v>8.8000000000000007</v>
      </c>
      <c r="S35" s="272">
        <v>15.2</v>
      </c>
      <c r="T35" s="60">
        <f t="shared" si="4"/>
        <v>23</v>
      </c>
      <c r="U35" s="293">
        <v>3</v>
      </c>
      <c r="V35" s="376"/>
      <c r="W35" s="387"/>
      <c r="X35" s="387"/>
      <c r="Y35" s="281">
        <f t="shared" si="5"/>
        <v>506.88</v>
      </c>
      <c r="Z35" s="2">
        <v>2.64E-3</v>
      </c>
      <c r="AA35" s="60">
        <f t="shared" si="6"/>
        <v>385</v>
      </c>
      <c r="AB35" s="60">
        <f t="shared" si="7"/>
        <v>1.0164</v>
      </c>
      <c r="AC35" s="281"/>
      <c r="AD35" s="283">
        <v>400</v>
      </c>
      <c r="AE35" s="293">
        <v>0</v>
      </c>
      <c r="AF35" s="282">
        <f t="shared" si="15"/>
        <v>399.6</v>
      </c>
      <c r="AG35" s="282">
        <f t="shared" si="16"/>
        <v>399.6</v>
      </c>
      <c r="AH35" s="2">
        <v>1.48E-3</v>
      </c>
      <c r="AI35" s="60">
        <f t="shared" si="19"/>
        <v>385</v>
      </c>
      <c r="AJ35" s="60">
        <f t="shared" si="9"/>
        <v>0.56979999999999997</v>
      </c>
      <c r="AK35" s="318">
        <f t="shared" si="10"/>
        <v>88.8</v>
      </c>
      <c r="AL35" s="285">
        <v>400</v>
      </c>
      <c r="AM35" s="280">
        <f t="shared" si="18"/>
        <v>130.095</v>
      </c>
      <c r="AN35" s="2">
        <v>0.49</v>
      </c>
      <c r="AO35" s="2">
        <v>0.67</v>
      </c>
      <c r="AP35" s="280">
        <f t="shared" si="11"/>
        <v>145.905</v>
      </c>
      <c r="AQ35" s="271">
        <f>(0.72+0.7)/2</f>
        <v>0.71</v>
      </c>
      <c r="AR35" s="271">
        <f>(1+0.98)/2</f>
        <v>0.99</v>
      </c>
    </row>
    <row r="36" spans="1:45" x14ac:dyDescent="0.25">
      <c r="A36" s="2">
        <v>28</v>
      </c>
      <c r="B36" s="2" t="s">
        <v>101</v>
      </c>
      <c r="C36" s="2" t="s">
        <v>150</v>
      </c>
      <c r="D36" s="371" t="s">
        <v>624</v>
      </c>
      <c r="E36" s="2" t="s">
        <v>490</v>
      </c>
      <c r="F36" s="2">
        <v>1800</v>
      </c>
      <c r="G36" s="2">
        <f t="shared" si="12"/>
        <v>1800</v>
      </c>
      <c r="H36" s="2">
        <v>970</v>
      </c>
      <c r="I36" s="58">
        <f t="shared" si="0"/>
        <v>1746000</v>
      </c>
      <c r="J36" s="2">
        <v>150</v>
      </c>
      <c r="K36" s="2">
        <v>880</v>
      </c>
      <c r="L36" s="59">
        <f t="shared" si="13"/>
        <v>1.8556701030927836</v>
      </c>
      <c r="M36" s="59">
        <f t="shared" si="14"/>
        <v>1.8556701030927836</v>
      </c>
      <c r="N36" s="281">
        <f t="shared" si="1"/>
        <v>106897.95918367348</v>
      </c>
      <c r="O36" s="282">
        <f t="shared" si="2"/>
        <v>145500</v>
      </c>
      <c r="P36" s="59">
        <f t="shared" si="3"/>
        <v>0.73469387755102045</v>
      </c>
      <c r="Q36" s="59"/>
      <c r="R36" s="2">
        <v>8.8000000000000007</v>
      </c>
      <c r="S36" s="272">
        <v>15.2</v>
      </c>
      <c r="T36" s="60">
        <f t="shared" si="4"/>
        <v>23</v>
      </c>
      <c r="U36" s="293">
        <v>3</v>
      </c>
      <c r="V36" s="376"/>
      <c r="W36" s="387"/>
      <c r="X36" s="387"/>
      <c r="Y36" s="281">
        <f t="shared" si="5"/>
        <v>386.76</v>
      </c>
      <c r="Z36" s="2">
        <v>2.9299999999999999E-3</v>
      </c>
      <c r="AA36" s="60">
        <f t="shared" si="6"/>
        <v>385</v>
      </c>
      <c r="AB36" s="60">
        <f t="shared" si="7"/>
        <v>1.12805</v>
      </c>
      <c r="AC36" s="281"/>
      <c r="AD36" s="283">
        <v>400</v>
      </c>
      <c r="AE36" s="293">
        <v>0</v>
      </c>
      <c r="AF36" s="282">
        <f t="shared" si="15"/>
        <v>399.6</v>
      </c>
      <c r="AG36" s="282">
        <f t="shared" si="16"/>
        <v>399.6</v>
      </c>
      <c r="AH36" s="2">
        <v>1.48E-3</v>
      </c>
      <c r="AI36" s="60">
        <f t="shared" si="19"/>
        <v>385</v>
      </c>
      <c r="AJ36" s="60">
        <f t="shared" si="9"/>
        <v>0.56979999999999997</v>
      </c>
      <c r="AK36" s="318">
        <f t="shared" si="10"/>
        <v>88.8</v>
      </c>
      <c r="AL36" s="285">
        <v>400</v>
      </c>
      <c r="AM36" s="280">
        <f t="shared" si="18"/>
        <v>100.69499999999999</v>
      </c>
      <c r="AN36" s="2">
        <v>0.49</v>
      </c>
      <c r="AO36" s="2">
        <v>0.67</v>
      </c>
      <c r="AP36" s="280">
        <f t="shared" si="11"/>
        <v>78.569999999999993</v>
      </c>
      <c r="AQ36" s="271">
        <f>(0.6+0.48)/2</f>
        <v>0.54</v>
      </c>
      <c r="AR36" s="271">
        <f>(0.82+0.65)/2</f>
        <v>0.73499999999999999</v>
      </c>
    </row>
    <row r="37" spans="1:45" s="296" customFormat="1" x14ac:dyDescent="0.25">
      <c r="A37" s="296">
        <v>29</v>
      </c>
      <c r="B37" s="296" t="s">
        <v>101</v>
      </c>
      <c r="C37" s="296" t="s">
        <v>151</v>
      </c>
      <c r="D37" s="372" t="s">
        <v>624</v>
      </c>
      <c r="E37" s="296" t="s">
        <v>490</v>
      </c>
      <c r="F37" s="296">
        <v>1800</v>
      </c>
      <c r="G37" s="296">
        <f t="shared" si="12"/>
        <v>1800</v>
      </c>
      <c r="H37" s="296">
        <v>970</v>
      </c>
      <c r="I37" s="298">
        <f t="shared" si="0"/>
        <v>1746000</v>
      </c>
      <c r="J37" s="296">
        <v>150</v>
      </c>
      <c r="K37" s="296">
        <v>880</v>
      </c>
      <c r="L37" s="300">
        <f t="shared" si="13"/>
        <v>1.8556701030927836</v>
      </c>
      <c r="M37" s="300">
        <f t="shared" si="14"/>
        <v>1.8556701030927836</v>
      </c>
      <c r="N37" s="308">
        <f t="shared" si="1"/>
        <v>106439.59731543623</v>
      </c>
      <c r="O37" s="304">
        <f t="shared" si="2"/>
        <v>145500</v>
      </c>
      <c r="P37" s="300">
        <f t="shared" si="3"/>
        <v>0.73154362416107377</v>
      </c>
      <c r="Q37" s="302"/>
      <c r="R37" s="296">
        <v>8.8000000000000007</v>
      </c>
      <c r="S37" s="299">
        <v>15.2</v>
      </c>
      <c r="T37" s="307">
        <f t="shared" si="4"/>
        <v>23</v>
      </c>
      <c r="U37" s="297">
        <v>3</v>
      </c>
      <c r="V37" s="377"/>
      <c r="W37" s="388"/>
      <c r="X37" s="388"/>
      <c r="Y37" s="308">
        <f t="shared" si="5"/>
        <v>386.76</v>
      </c>
      <c r="Z37" s="296">
        <v>2.9299999999999999E-3</v>
      </c>
      <c r="AA37" s="307">
        <f t="shared" si="6"/>
        <v>385</v>
      </c>
      <c r="AB37" s="307">
        <f t="shared" si="7"/>
        <v>1.12805</v>
      </c>
      <c r="AC37" s="308"/>
      <c r="AD37" s="309">
        <v>400</v>
      </c>
      <c r="AE37" s="297">
        <v>0</v>
      </c>
      <c r="AF37" s="304">
        <f t="shared" si="15"/>
        <v>399.6</v>
      </c>
      <c r="AG37" s="304">
        <f t="shared" si="16"/>
        <v>399.6</v>
      </c>
      <c r="AH37" s="296">
        <v>1.48E-3</v>
      </c>
      <c r="AI37" s="307">
        <f t="shared" si="19"/>
        <v>385</v>
      </c>
      <c r="AJ37" s="307">
        <f t="shared" si="9"/>
        <v>0.56979999999999997</v>
      </c>
      <c r="AK37" s="319">
        <f t="shared" si="10"/>
        <v>88.8</v>
      </c>
      <c r="AL37" s="310">
        <v>400</v>
      </c>
      <c r="AM37" s="311">
        <f t="shared" si="18"/>
        <v>71.295000000000002</v>
      </c>
      <c r="AN37" s="296">
        <v>0.49</v>
      </c>
      <c r="AO37" s="296">
        <v>0.67</v>
      </c>
      <c r="AP37" s="311">
        <f t="shared" si="11"/>
        <v>79.297499999999985</v>
      </c>
      <c r="AQ37" s="305">
        <f>(0.62+0.47)/2</f>
        <v>0.54499999999999993</v>
      </c>
      <c r="AR37" s="305">
        <f>(0.85+0.64)/2</f>
        <v>0.745</v>
      </c>
      <c r="AS37" s="361"/>
    </row>
    <row r="38" spans="1:45" x14ac:dyDescent="0.25">
      <c r="A38" s="2">
        <v>30</v>
      </c>
      <c r="B38" s="2" t="s">
        <v>13</v>
      </c>
      <c r="C38" s="369">
        <v>1</v>
      </c>
      <c r="D38" s="369" t="s">
        <v>625</v>
      </c>
      <c r="E38" s="2" t="s">
        <v>489</v>
      </c>
      <c r="F38" s="2">
        <v>1200</v>
      </c>
      <c r="G38" s="2">
        <f t="shared" si="12"/>
        <v>2400</v>
      </c>
      <c r="H38" s="2">
        <v>1590</v>
      </c>
      <c r="I38" s="58">
        <f t="shared" si="0"/>
        <v>1908000</v>
      </c>
      <c r="J38" s="2">
        <v>190</v>
      </c>
      <c r="K38" s="2">
        <v>1272</v>
      </c>
      <c r="L38" s="59">
        <f t="shared" si="13"/>
        <v>0.75471698113207553</v>
      </c>
      <c r="M38" s="59">
        <f t="shared" si="14"/>
        <v>1.5094339622641511</v>
      </c>
      <c r="N38" s="282">
        <f t="shared" ref="N38:N69" si="20">(4*390/2*J38)+(H38-4*390/2)*(35)*2</f>
        <v>204900</v>
      </c>
      <c r="O38" s="58">
        <f t="shared" si="2"/>
        <v>302100</v>
      </c>
      <c r="P38" s="59">
        <f t="shared" ref="P38:P69" si="21">N38/O38</f>
        <v>0.67825223435948356</v>
      </c>
      <c r="Q38" s="59"/>
      <c r="R38" s="2">
        <v>12.4</v>
      </c>
      <c r="S38" s="287">
        <f t="shared" ref="S38:S101" si="22">R38/P38</f>
        <v>18.282284040995609</v>
      </c>
      <c r="T38" s="60">
        <v>23.4</v>
      </c>
      <c r="U38" s="293">
        <v>3</v>
      </c>
      <c r="V38" s="293">
        <v>10</v>
      </c>
      <c r="W38" s="389"/>
      <c r="X38" s="389"/>
      <c r="Y38" s="2">
        <v>0</v>
      </c>
      <c r="Z38" s="289">
        <v>0</v>
      </c>
      <c r="AA38" s="2">
        <v>0</v>
      </c>
      <c r="AB38" s="293">
        <f t="shared" si="7"/>
        <v>0</v>
      </c>
      <c r="AC38" s="2">
        <v>0</v>
      </c>
      <c r="AD38" s="2">
        <v>0</v>
      </c>
      <c r="AE38" s="2">
        <v>0</v>
      </c>
      <c r="AF38" s="58">
        <f>AH38*F38*J38</f>
        <v>0</v>
      </c>
      <c r="AG38" s="282">
        <f>AE38+AF38</f>
        <v>0</v>
      </c>
      <c r="AH38" s="58">
        <f t="shared" ref="AH38:AH69" si="23">IF(AK38=0,0,AK38/(AL38*J38))</f>
        <v>0</v>
      </c>
      <c r="AI38" s="2">
        <v>0</v>
      </c>
      <c r="AJ38" s="58">
        <f t="shared" si="9"/>
        <v>0</v>
      </c>
      <c r="AK38" s="272">
        <v>0</v>
      </c>
      <c r="AL38" s="286">
        <v>0</v>
      </c>
      <c r="AM38" s="2">
        <v>416</v>
      </c>
      <c r="AN38" s="59">
        <f t="shared" ref="AN38:AN69" si="24">AM38/O38*1000</f>
        <v>1.377027474346243</v>
      </c>
      <c r="AO38" s="59">
        <f t="shared" ref="AO38:AO69" si="25">AM38/N38*1000</f>
        <v>2.0302586627623231</v>
      </c>
      <c r="AP38" s="272">
        <v>297</v>
      </c>
      <c r="AQ38" s="59">
        <f t="shared" ref="AQ38:AQ69" si="26">AP38/(J38*H38)*1000</f>
        <v>0.98311817279046665</v>
      </c>
      <c r="AR38" s="59">
        <f t="shared" ref="AR38:AR69" si="27">AP38/N38*1000</f>
        <v>1.4494875549048316</v>
      </c>
    </row>
    <row r="39" spans="1:45" x14ac:dyDescent="0.25">
      <c r="A39" s="2">
        <v>31</v>
      </c>
      <c r="B39" s="2" t="s">
        <v>13</v>
      </c>
      <c r="C39" s="2">
        <v>2</v>
      </c>
      <c r="D39" s="369" t="s">
        <v>625</v>
      </c>
      <c r="E39" s="2" t="s">
        <v>489</v>
      </c>
      <c r="F39" s="2">
        <v>1200</v>
      </c>
      <c r="G39" s="2">
        <f t="shared" si="12"/>
        <v>2400</v>
      </c>
      <c r="H39" s="2">
        <v>1590</v>
      </c>
      <c r="I39" s="58">
        <f t="shared" si="0"/>
        <v>1908000</v>
      </c>
      <c r="J39" s="2">
        <v>190</v>
      </c>
      <c r="K39" s="2">
        <v>1272</v>
      </c>
      <c r="L39" s="59">
        <f t="shared" si="13"/>
        <v>0.75471698113207553</v>
      </c>
      <c r="M39" s="59">
        <f t="shared" si="14"/>
        <v>1.5094339622641511</v>
      </c>
      <c r="N39" s="282">
        <f t="shared" si="20"/>
        <v>204900</v>
      </c>
      <c r="O39" s="58">
        <f t="shared" si="2"/>
        <v>302100</v>
      </c>
      <c r="P39" s="59">
        <f t="shared" si="21"/>
        <v>0.67825223435948356</v>
      </c>
      <c r="Q39" s="59"/>
      <c r="R39" s="2">
        <v>12.4</v>
      </c>
      <c r="S39" s="287">
        <f t="shared" si="22"/>
        <v>18.282284040995609</v>
      </c>
      <c r="T39" s="60">
        <v>23.4</v>
      </c>
      <c r="U39" s="293">
        <v>3</v>
      </c>
      <c r="V39" s="293">
        <v>10</v>
      </c>
      <c r="W39" s="389"/>
      <c r="X39" s="389"/>
      <c r="Y39" s="2">
        <v>0</v>
      </c>
      <c r="Z39" s="289">
        <v>0</v>
      </c>
      <c r="AA39" s="2">
        <v>0</v>
      </c>
      <c r="AB39" s="293">
        <f t="shared" si="7"/>
        <v>0</v>
      </c>
      <c r="AC39" s="2">
        <v>0</v>
      </c>
      <c r="AD39" s="2">
        <v>0</v>
      </c>
      <c r="AE39" s="2">
        <v>0</v>
      </c>
      <c r="AF39" s="58">
        <f t="shared" ref="AF39:AF103" si="28">AH39*F39*J39</f>
        <v>0</v>
      </c>
      <c r="AG39" s="282">
        <f t="shared" ref="AG39:AG103" si="29">AE39+AF39</f>
        <v>0</v>
      </c>
      <c r="AH39" s="58">
        <f t="shared" si="23"/>
        <v>0</v>
      </c>
      <c r="AI39" s="2">
        <v>0</v>
      </c>
      <c r="AJ39" s="58">
        <f t="shared" si="9"/>
        <v>0</v>
      </c>
      <c r="AK39" s="272">
        <v>0</v>
      </c>
      <c r="AL39" s="286">
        <v>0</v>
      </c>
      <c r="AM39" s="2">
        <v>416</v>
      </c>
      <c r="AN39" s="59">
        <f t="shared" si="24"/>
        <v>1.377027474346243</v>
      </c>
      <c r="AO39" s="59">
        <f t="shared" si="25"/>
        <v>2.0302586627623231</v>
      </c>
      <c r="AP39" s="272">
        <v>278.10000000000002</v>
      </c>
      <c r="AQ39" s="59">
        <f t="shared" si="26"/>
        <v>0.9205561072492553</v>
      </c>
      <c r="AR39" s="59">
        <f t="shared" si="27"/>
        <v>1.3572474377745243</v>
      </c>
    </row>
    <row r="40" spans="1:45" x14ac:dyDescent="0.25">
      <c r="A40" s="2">
        <v>32</v>
      </c>
      <c r="B40" s="2" t="s">
        <v>13</v>
      </c>
      <c r="C40" s="2">
        <v>3</v>
      </c>
      <c r="D40" s="369" t="s">
        <v>625</v>
      </c>
      <c r="E40" s="2" t="s">
        <v>489</v>
      </c>
      <c r="F40" s="2">
        <v>1200</v>
      </c>
      <c r="G40" s="2">
        <f t="shared" si="12"/>
        <v>2400</v>
      </c>
      <c r="H40" s="2">
        <v>1590</v>
      </c>
      <c r="I40" s="58">
        <f t="shared" si="0"/>
        <v>1908000</v>
      </c>
      <c r="J40" s="2">
        <v>190</v>
      </c>
      <c r="K40" s="2">
        <v>1272</v>
      </c>
      <c r="L40" s="59">
        <f t="shared" si="13"/>
        <v>0.75471698113207553</v>
      </c>
      <c r="M40" s="59">
        <f t="shared" si="14"/>
        <v>1.5094339622641511</v>
      </c>
      <c r="N40" s="282">
        <f t="shared" si="20"/>
        <v>204900</v>
      </c>
      <c r="O40" s="58">
        <f t="shared" si="2"/>
        <v>302100</v>
      </c>
      <c r="P40" s="59">
        <f t="shared" si="21"/>
        <v>0.67825223435948356</v>
      </c>
      <c r="Q40" s="59"/>
      <c r="R40" s="2">
        <v>12.4</v>
      </c>
      <c r="S40" s="287">
        <f t="shared" si="22"/>
        <v>18.282284040995609</v>
      </c>
      <c r="T40" s="60">
        <v>23.4</v>
      </c>
      <c r="U40" s="293">
        <v>3</v>
      </c>
      <c r="V40" s="293">
        <v>10</v>
      </c>
      <c r="W40" s="389"/>
      <c r="X40" s="389"/>
      <c r="Y40" s="2">
        <v>0</v>
      </c>
      <c r="Z40" s="289">
        <v>0</v>
      </c>
      <c r="AA40" s="2">
        <v>0</v>
      </c>
      <c r="AB40" s="293">
        <f t="shared" si="7"/>
        <v>0</v>
      </c>
      <c r="AC40" s="2">
        <v>0</v>
      </c>
      <c r="AD40" s="2">
        <v>0</v>
      </c>
      <c r="AE40" s="2">
        <v>0</v>
      </c>
      <c r="AF40" s="58">
        <f t="shared" si="28"/>
        <v>0</v>
      </c>
      <c r="AG40" s="282">
        <f t="shared" si="29"/>
        <v>0</v>
      </c>
      <c r="AH40" s="58">
        <f t="shared" si="23"/>
        <v>0</v>
      </c>
      <c r="AI40" s="2">
        <v>0</v>
      </c>
      <c r="AJ40" s="58">
        <f t="shared" si="9"/>
        <v>0</v>
      </c>
      <c r="AK40" s="272">
        <v>0</v>
      </c>
      <c r="AL40" s="286">
        <v>0</v>
      </c>
      <c r="AM40" s="2">
        <v>416</v>
      </c>
      <c r="AN40" s="59">
        <f t="shared" si="24"/>
        <v>1.377027474346243</v>
      </c>
      <c r="AO40" s="59">
        <f t="shared" si="25"/>
        <v>2.0302586627623231</v>
      </c>
      <c r="AP40" s="272">
        <v>275.89999999999998</v>
      </c>
      <c r="AQ40" s="59">
        <f t="shared" si="26"/>
        <v>0.91327375041377024</v>
      </c>
      <c r="AR40" s="59">
        <f t="shared" si="27"/>
        <v>1.3465104929233773</v>
      </c>
    </row>
    <row r="41" spans="1:45" x14ac:dyDescent="0.25">
      <c r="A41" s="2">
        <v>33</v>
      </c>
      <c r="B41" s="2" t="s">
        <v>13</v>
      </c>
      <c r="C41" s="2">
        <v>4</v>
      </c>
      <c r="D41" s="369" t="s">
        <v>625</v>
      </c>
      <c r="E41" s="2" t="s">
        <v>489</v>
      </c>
      <c r="F41" s="2">
        <v>1200</v>
      </c>
      <c r="G41" s="2">
        <f t="shared" si="12"/>
        <v>2400</v>
      </c>
      <c r="H41" s="2">
        <v>1590</v>
      </c>
      <c r="I41" s="58">
        <f t="shared" ref="I41:I72" si="30">H41*F41</f>
        <v>1908000</v>
      </c>
      <c r="J41" s="2">
        <v>190</v>
      </c>
      <c r="K41" s="2">
        <v>1272</v>
      </c>
      <c r="L41" s="59">
        <f t="shared" si="13"/>
        <v>0.75471698113207553</v>
      </c>
      <c r="M41" s="59">
        <f t="shared" si="14"/>
        <v>1.5094339622641511</v>
      </c>
      <c r="N41" s="282">
        <f t="shared" si="20"/>
        <v>204900</v>
      </c>
      <c r="O41" s="58">
        <f t="shared" ref="O41:O72" si="31">J41*H41</f>
        <v>302100</v>
      </c>
      <c r="P41" s="59">
        <f t="shared" si="21"/>
        <v>0.67825223435948356</v>
      </c>
      <c r="Q41" s="59"/>
      <c r="R41" s="2">
        <v>12.4</v>
      </c>
      <c r="S41" s="287">
        <f t="shared" si="22"/>
        <v>18.282284040995609</v>
      </c>
      <c r="T41" s="60">
        <v>23.4</v>
      </c>
      <c r="U41" s="293">
        <v>3</v>
      </c>
      <c r="V41" s="293">
        <v>10</v>
      </c>
      <c r="W41" s="389"/>
      <c r="X41" s="389"/>
      <c r="Y41" s="2">
        <v>0</v>
      </c>
      <c r="Z41" s="289">
        <v>0</v>
      </c>
      <c r="AA41" s="2">
        <v>0</v>
      </c>
      <c r="AB41" s="293">
        <f t="shared" ref="AB41:AB72" si="32">Z41*AA41</f>
        <v>0</v>
      </c>
      <c r="AC41" s="2">
        <v>0</v>
      </c>
      <c r="AD41" s="2">
        <v>0</v>
      </c>
      <c r="AE41" s="2">
        <v>0</v>
      </c>
      <c r="AF41" s="58">
        <f t="shared" si="28"/>
        <v>128.99999999999997</v>
      </c>
      <c r="AG41" s="282">
        <f t="shared" si="29"/>
        <v>128.99999999999997</v>
      </c>
      <c r="AH41" s="58">
        <f t="shared" si="23"/>
        <v>5.6578947368421048E-4</v>
      </c>
      <c r="AI41" s="2">
        <v>530</v>
      </c>
      <c r="AJ41" s="58">
        <f t="shared" ref="AJ41:AJ72" si="33">AH41*AI41</f>
        <v>0.29986842105263156</v>
      </c>
      <c r="AK41" s="272">
        <v>21.5</v>
      </c>
      <c r="AL41" s="286">
        <v>200</v>
      </c>
      <c r="AM41" s="2">
        <v>416</v>
      </c>
      <c r="AN41" s="59">
        <f t="shared" si="24"/>
        <v>1.377027474346243</v>
      </c>
      <c r="AO41" s="59">
        <f t="shared" si="25"/>
        <v>2.0302586627623231</v>
      </c>
      <c r="AP41" s="272">
        <v>270.10000000000002</v>
      </c>
      <c r="AQ41" s="59">
        <f t="shared" si="26"/>
        <v>0.89407480966567376</v>
      </c>
      <c r="AR41" s="59">
        <f t="shared" si="27"/>
        <v>1.3182040019521719</v>
      </c>
    </row>
    <row r="42" spans="1:45" x14ac:dyDescent="0.25">
      <c r="A42" s="2">
        <v>34</v>
      </c>
      <c r="B42" s="2" t="s">
        <v>13</v>
      </c>
      <c r="C42" s="2">
        <v>5</v>
      </c>
      <c r="D42" s="369" t="s">
        <v>625</v>
      </c>
      <c r="E42" s="2" t="s">
        <v>489</v>
      </c>
      <c r="F42" s="2">
        <v>1200</v>
      </c>
      <c r="G42" s="2">
        <f t="shared" si="12"/>
        <v>2400</v>
      </c>
      <c r="H42" s="2">
        <v>1590</v>
      </c>
      <c r="I42" s="58">
        <f t="shared" si="30"/>
        <v>1908000</v>
      </c>
      <c r="J42" s="2">
        <v>190</v>
      </c>
      <c r="K42" s="2">
        <v>1272</v>
      </c>
      <c r="L42" s="59">
        <f t="shared" si="13"/>
        <v>0.75471698113207553</v>
      </c>
      <c r="M42" s="59">
        <f t="shared" si="14"/>
        <v>1.5094339622641511</v>
      </c>
      <c r="N42" s="282">
        <f t="shared" si="20"/>
        <v>204900</v>
      </c>
      <c r="O42" s="58">
        <f t="shared" si="31"/>
        <v>302100</v>
      </c>
      <c r="P42" s="59">
        <f t="shared" si="21"/>
        <v>0.67825223435948356</v>
      </c>
      <c r="Q42" s="59"/>
      <c r="R42" s="2">
        <v>12.4</v>
      </c>
      <c r="S42" s="287">
        <f t="shared" si="22"/>
        <v>18.282284040995609</v>
      </c>
      <c r="T42" s="60">
        <v>23.4</v>
      </c>
      <c r="U42" s="293">
        <v>3</v>
      </c>
      <c r="V42" s="293">
        <v>10</v>
      </c>
      <c r="W42" s="389"/>
      <c r="X42" s="389"/>
      <c r="Y42" s="2">
        <v>0</v>
      </c>
      <c r="Z42" s="289">
        <v>0</v>
      </c>
      <c r="AA42" s="2">
        <v>0</v>
      </c>
      <c r="AB42" s="293">
        <f t="shared" si="32"/>
        <v>0</v>
      </c>
      <c r="AC42" s="2">
        <v>0</v>
      </c>
      <c r="AD42" s="2">
        <v>0</v>
      </c>
      <c r="AE42" s="2">
        <v>0</v>
      </c>
      <c r="AF42" s="58">
        <f t="shared" si="28"/>
        <v>128.99999999999997</v>
      </c>
      <c r="AG42" s="282">
        <f t="shared" si="29"/>
        <v>128.99999999999997</v>
      </c>
      <c r="AH42" s="58">
        <f t="shared" si="23"/>
        <v>5.6578947368421048E-4</v>
      </c>
      <c r="AI42" s="2">
        <v>530</v>
      </c>
      <c r="AJ42" s="58">
        <f t="shared" si="33"/>
        <v>0.29986842105263156</v>
      </c>
      <c r="AK42" s="272">
        <v>21.5</v>
      </c>
      <c r="AL42" s="286">
        <v>200</v>
      </c>
      <c r="AM42" s="2">
        <v>416</v>
      </c>
      <c r="AN42" s="59">
        <f t="shared" si="24"/>
        <v>1.377027474346243</v>
      </c>
      <c r="AO42" s="59">
        <f t="shared" si="25"/>
        <v>2.0302586627623231</v>
      </c>
      <c r="AP42" s="272">
        <v>261.10000000000002</v>
      </c>
      <c r="AQ42" s="59">
        <f t="shared" si="26"/>
        <v>0.86428334988414446</v>
      </c>
      <c r="AR42" s="59">
        <f t="shared" si="27"/>
        <v>1.2742801366520256</v>
      </c>
    </row>
    <row r="43" spans="1:45" x14ac:dyDescent="0.25">
      <c r="A43" s="2">
        <v>35</v>
      </c>
      <c r="B43" s="2" t="s">
        <v>13</v>
      </c>
      <c r="C43" s="2">
        <v>6</v>
      </c>
      <c r="D43" s="369" t="s">
        <v>625</v>
      </c>
      <c r="E43" s="2" t="s">
        <v>489</v>
      </c>
      <c r="F43" s="2">
        <v>1200</v>
      </c>
      <c r="G43" s="2">
        <f t="shared" si="12"/>
        <v>2400</v>
      </c>
      <c r="H43" s="2">
        <v>1590</v>
      </c>
      <c r="I43" s="58">
        <f t="shared" si="30"/>
        <v>1908000</v>
      </c>
      <c r="J43" s="2">
        <v>190</v>
      </c>
      <c r="K43" s="2">
        <v>1272</v>
      </c>
      <c r="L43" s="59">
        <f t="shared" si="13"/>
        <v>0.75471698113207553</v>
      </c>
      <c r="M43" s="59">
        <f t="shared" si="14"/>
        <v>1.5094339622641511</v>
      </c>
      <c r="N43" s="282">
        <f t="shared" si="20"/>
        <v>204900</v>
      </c>
      <c r="O43" s="58">
        <f t="shared" si="31"/>
        <v>302100</v>
      </c>
      <c r="P43" s="59">
        <f t="shared" si="21"/>
        <v>0.67825223435948356</v>
      </c>
      <c r="Q43" s="59"/>
      <c r="R43" s="2">
        <v>12.4</v>
      </c>
      <c r="S43" s="287">
        <f t="shared" si="22"/>
        <v>18.282284040995609</v>
      </c>
      <c r="T43" s="60">
        <v>23.4</v>
      </c>
      <c r="U43" s="293">
        <v>3</v>
      </c>
      <c r="V43" s="293">
        <v>10</v>
      </c>
      <c r="W43" s="389"/>
      <c r="X43" s="389"/>
      <c r="Y43" s="2">
        <v>0</v>
      </c>
      <c r="Z43" s="289">
        <v>0</v>
      </c>
      <c r="AA43" s="2">
        <v>0</v>
      </c>
      <c r="AB43" s="293">
        <f t="shared" si="32"/>
        <v>0</v>
      </c>
      <c r="AC43" s="2">
        <v>0</v>
      </c>
      <c r="AD43" s="2">
        <v>0</v>
      </c>
      <c r="AE43" s="2">
        <v>0</v>
      </c>
      <c r="AF43" s="58">
        <f t="shared" si="28"/>
        <v>128.99999999999997</v>
      </c>
      <c r="AG43" s="282">
        <f t="shared" si="29"/>
        <v>128.99999999999997</v>
      </c>
      <c r="AH43" s="58">
        <f t="shared" si="23"/>
        <v>5.6578947368421048E-4</v>
      </c>
      <c r="AI43" s="2">
        <v>530</v>
      </c>
      <c r="AJ43" s="58">
        <f t="shared" si="33"/>
        <v>0.29986842105263156</v>
      </c>
      <c r="AK43" s="272">
        <v>21.5</v>
      </c>
      <c r="AL43" s="286">
        <v>200</v>
      </c>
      <c r="AM43" s="2">
        <v>416</v>
      </c>
      <c r="AN43" s="59">
        <f t="shared" si="24"/>
        <v>1.377027474346243</v>
      </c>
      <c r="AO43" s="59">
        <f t="shared" si="25"/>
        <v>2.0302586627623231</v>
      </c>
      <c r="AP43" s="272">
        <v>272.2</v>
      </c>
      <c r="AQ43" s="59">
        <f t="shared" si="26"/>
        <v>0.90102615028136368</v>
      </c>
      <c r="AR43" s="59">
        <f t="shared" si="27"/>
        <v>1.3284529038555393</v>
      </c>
    </row>
    <row r="44" spans="1:45" x14ac:dyDescent="0.25">
      <c r="A44" s="2">
        <v>36</v>
      </c>
      <c r="B44" s="2" t="s">
        <v>13</v>
      </c>
      <c r="C44" s="2">
        <v>7</v>
      </c>
      <c r="D44" s="369" t="s">
        <v>625</v>
      </c>
      <c r="E44" s="2" t="s">
        <v>489</v>
      </c>
      <c r="F44" s="2">
        <v>1200</v>
      </c>
      <c r="G44" s="2">
        <f t="shared" si="12"/>
        <v>2400</v>
      </c>
      <c r="H44" s="2">
        <v>1590</v>
      </c>
      <c r="I44" s="58">
        <f t="shared" si="30"/>
        <v>1908000</v>
      </c>
      <c r="J44" s="2">
        <v>190</v>
      </c>
      <c r="K44" s="2">
        <v>1272</v>
      </c>
      <c r="L44" s="59">
        <f t="shared" si="13"/>
        <v>0.75471698113207553</v>
      </c>
      <c r="M44" s="59">
        <f t="shared" si="14"/>
        <v>1.5094339622641511</v>
      </c>
      <c r="N44" s="282">
        <f t="shared" si="20"/>
        <v>204900</v>
      </c>
      <c r="O44" s="58">
        <f t="shared" si="31"/>
        <v>302100</v>
      </c>
      <c r="P44" s="59">
        <f t="shared" si="21"/>
        <v>0.67825223435948356</v>
      </c>
      <c r="Q44" s="59"/>
      <c r="R44" s="2">
        <v>12.4</v>
      </c>
      <c r="S44" s="287">
        <f t="shared" si="22"/>
        <v>18.282284040995609</v>
      </c>
      <c r="T44" s="60">
        <v>23.4</v>
      </c>
      <c r="U44" s="293">
        <v>3</v>
      </c>
      <c r="V44" s="293">
        <v>10</v>
      </c>
      <c r="W44" s="389"/>
      <c r="X44" s="389"/>
      <c r="Y44" s="2">
        <v>0</v>
      </c>
      <c r="Z44" s="289">
        <v>0</v>
      </c>
      <c r="AA44" s="2">
        <v>0</v>
      </c>
      <c r="AB44" s="293">
        <f t="shared" si="32"/>
        <v>0</v>
      </c>
      <c r="AC44" s="2">
        <v>0</v>
      </c>
      <c r="AD44" s="2">
        <v>0</v>
      </c>
      <c r="AE44" s="2">
        <v>0</v>
      </c>
      <c r="AF44" s="58">
        <f t="shared" si="28"/>
        <v>226.20000000000005</v>
      </c>
      <c r="AG44" s="282">
        <f t="shared" si="29"/>
        <v>226.20000000000005</v>
      </c>
      <c r="AH44" s="58">
        <f t="shared" si="23"/>
        <v>9.9210526315789485E-4</v>
      </c>
      <c r="AI44" s="2">
        <v>560</v>
      </c>
      <c r="AJ44" s="58">
        <f t="shared" si="33"/>
        <v>0.55557894736842117</v>
      </c>
      <c r="AK44" s="272">
        <v>37.700000000000003</v>
      </c>
      <c r="AL44" s="286">
        <v>200</v>
      </c>
      <c r="AM44" s="2">
        <v>416</v>
      </c>
      <c r="AN44" s="59">
        <f t="shared" si="24"/>
        <v>1.377027474346243</v>
      </c>
      <c r="AO44" s="59">
        <f t="shared" si="25"/>
        <v>2.0302586627623231</v>
      </c>
      <c r="AP44" s="272">
        <v>257.39999999999998</v>
      </c>
      <c r="AQ44" s="59">
        <f t="shared" si="26"/>
        <v>0.85203574975173779</v>
      </c>
      <c r="AR44" s="59">
        <f t="shared" si="27"/>
        <v>1.2562225475841875</v>
      </c>
    </row>
    <row r="45" spans="1:45" x14ac:dyDescent="0.25">
      <c r="A45" s="2">
        <v>37</v>
      </c>
      <c r="B45" s="2" t="s">
        <v>13</v>
      </c>
      <c r="C45" s="2">
        <v>8</v>
      </c>
      <c r="D45" s="369" t="s">
        <v>625</v>
      </c>
      <c r="E45" s="2" t="s">
        <v>489</v>
      </c>
      <c r="F45" s="2">
        <v>1200</v>
      </c>
      <c r="G45" s="2">
        <f t="shared" si="12"/>
        <v>2400</v>
      </c>
      <c r="H45" s="2">
        <v>1590</v>
      </c>
      <c r="I45" s="58">
        <f t="shared" si="30"/>
        <v>1908000</v>
      </c>
      <c r="J45" s="2">
        <v>190</v>
      </c>
      <c r="K45" s="2">
        <v>1272</v>
      </c>
      <c r="L45" s="59">
        <f t="shared" si="13"/>
        <v>0.75471698113207553</v>
      </c>
      <c r="M45" s="59">
        <f t="shared" si="14"/>
        <v>1.5094339622641511</v>
      </c>
      <c r="N45" s="282">
        <f t="shared" si="20"/>
        <v>204900</v>
      </c>
      <c r="O45" s="58">
        <f t="shared" si="31"/>
        <v>302100</v>
      </c>
      <c r="P45" s="59">
        <f t="shared" si="21"/>
        <v>0.67825223435948356</v>
      </c>
      <c r="Q45" s="59"/>
      <c r="R45" s="2">
        <v>12.4</v>
      </c>
      <c r="S45" s="287">
        <f t="shared" si="22"/>
        <v>18.282284040995609</v>
      </c>
      <c r="T45" s="60">
        <v>23.4</v>
      </c>
      <c r="U45" s="293">
        <v>3</v>
      </c>
      <c r="V45" s="293">
        <v>10</v>
      </c>
      <c r="W45" s="389"/>
      <c r="X45" s="389"/>
      <c r="Y45" s="2">
        <v>0</v>
      </c>
      <c r="Z45" s="289">
        <v>0</v>
      </c>
      <c r="AA45" s="2">
        <v>0</v>
      </c>
      <c r="AB45" s="293">
        <f t="shared" si="32"/>
        <v>0</v>
      </c>
      <c r="AC45" s="2">
        <v>0</v>
      </c>
      <c r="AD45" s="2">
        <v>0</v>
      </c>
      <c r="AE45" s="2">
        <v>0</v>
      </c>
      <c r="AF45" s="58">
        <f t="shared" si="28"/>
        <v>226.20000000000005</v>
      </c>
      <c r="AG45" s="282">
        <f t="shared" si="29"/>
        <v>226.20000000000005</v>
      </c>
      <c r="AH45" s="58">
        <f t="shared" si="23"/>
        <v>9.9210526315789485E-4</v>
      </c>
      <c r="AI45" s="2">
        <v>560</v>
      </c>
      <c r="AJ45" s="58">
        <f t="shared" si="33"/>
        <v>0.55557894736842117</v>
      </c>
      <c r="AK45" s="272">
        <v>37.700000000000003</v>
      </c>
      <c r="AL45" s="286">
        <v>200</v>
      </c>
      <c r="AM45" s="2">
        <v>416</v>
      </c>
      <c r="AN45" s="59">
        <f t="shared" si="24"/>
        <v>1.377027474346243</v>
      </c>
      <c r="AO45" s="59">
        <f t="shared" si="25"/>
        <v>2.0302586627623231</v>
      </c>
      <c r="AP45" s="272">
        <v>265.89999999999998</v>
      </c>
      <c r="AQ45" s="59">
        <f t="shared" si="26"/>
        <v>0.88017212843429316</v>
      </c>
      <c r="AR45" s="59">
        <f t="shared" si="27"/>
        <v>1.2977061981454368</v>
      </c>
    </row>
    <row r="46" spans="1:45" x14ac:dyDescent="0.25">
      <c r="A46" s="2">
        <v>38</v>
      </c>
      <c r="B46" s="2" t="s">
        <v>13</v>
      </c>
      <c r="C46" s="2">
        <v>9</v>
      </c>
      <c r="D46" s="369" t="s">
        <v>625</v>
      </c>
      <c r="E46" s="2" t="s">
        <v>489</v>
      </c>
      <c r="F46" s="2">
        <v>1200</v>
      </c>
      <c r="G46" s="2">
        <f t="shared" si="12"/>
        <v>2400</v>
      </c>
      <c r="H46" s="2">
        <v>1590</v>
      </c>
      <c r="I46" s="58">
        <f t="shared" si="30"/>
        <v>1908000</v>
      </c>
      <c r="J46" s="2">
        <v>190</v>
      </c>
      <c r="K46" s="2">
        <v>1272</v>
      </c>
      <c r="L46" s="59">
        <f t="shared" si="13"/>
        <v>0.75471698113207553</v>
      </c>
      <c r="M46" s="59">
        <f t="shared" si="14"/>
        <v>1.5094339622641511</v>
      </c>
      <c r="N46" s="282">
        <f t="shared" si="20"/>
        <v>204900</v>
      </c>
      <c r="O46" s="58">
        <f t="shared" si="31"/>
        <v>302100</v>
      </c>
      <c r="P46" s="59">
        <f t="shared" si="21"/>
        <v>0.67825223435948356</v>
      </c>
      <c r="Q46" s="59"/>
      <c r="R46" s="2">
        <v>12.4</v>
      </c>
      <c r="S46" s="287">
        <f t="shared" si="22"/>
        <v>18.282284040995609</v>
      </c>
      <c r="T46" s="60">
        <v>23.4</v>
      </c>
      <c r="U46" s="293">
        <v>3</v>
      </c>
      <c r="V46" s="293">
        <v>10</v>
      </c>
      <c r="W46" s="389"/>
      <c r="X46" s="389"/>
      <c r="Y46" s="2">
        <v>0</v>
      </c>
      <c r="Z46" s="289">
        <v>0</v>
      </c>
      <c r="AA46" s="2">
        <v>0</v>
      </c>
      <c r="AB46" s="293">
        <f t="shared" si="32"/>
        <v>0</v>
      </c>
      <c r="AC46" s="2">
        <v>0</v>
      </c>
      <c r="AD46" s="2">
        <v>0</v>
      </c>
      <c r="AE46" s="2">
        <v>0</v>
      </c>
      <c r="AF46" s="58">
        <f t="shared" si="28"/>
        <v>226.20000000000005</v>
      </c>
      <c r="AG46" s="282">
        <f t="shared" si="29"/>
        <v>226.20000000000005</v>
      </c>
      <c r="AH46" s="58">
        <f t="shared" si="23"/>
        <v>9.9210526315789485E-4</v>
      </c>
      <c r="AI46" s="2">
        <v>560</v>
      </c>
      <c r="AJ46" s="58">
        <f t="shared" si="33"/>
        <v>0.55557894736842117</v>
      </c>
      <c r="AK46" s="272">
        <v>37.700000000000003</v>
      </c>
      <c r="AL46" s="286">
        <v>200</v>
      </c>
      <c r="AM46" s="2">
        <v>416</v>
      </c>
      <c r="AN46" s="59">
        <f t="shared" si="24"/>
        <v>1.377027474346243</v>
      </c>
      <c r="AO46" s="59">
        <f t="shared" si="25"/>
        <v>2.0302586627623231</v>
      </c>
      <c r="AP46" s="272">
        <v>259.39999999999998</v>
      </c>
      <c r="AQ46" s="59">
        <f t="shared" si="26"/>
        <v>0.85865607414763323</v>
      </c>
      <c r="AR46" s="59">
        <f t="shared" si="27"/>
        <v>1.2659834065397755</v>
      </c>
    </row>
    <row r="47" spans="1:45" x14ac:dyDescent="0.25">
      <c r="A47" s="2">
        <v>39</v>
      </c>
      <c r="B47" s="2" t="s">
        <v>13</v>
      </c>
      <c r="C47" s="2">
        <v>10</v>
      </c>
      <c r="D47" s="369" t="s">
        <v>625</v>
      </c>
      <c r="E47" s="2" t="s">
        <v>489</v>
      </c>
      <c r="F47" s="2">
        <v>1200</v>
      </c>
      <c r="G47" s="2">
        <f t="shared" si="12"/>
        <v>2400</v>
      </c>
      <c r="H47" s="2">
        <v>1590</v>
      </c>
      <c r="I47" s="58">
        <f t="shared" si="30"/>
        <v>1908000</v>
      </c>
      <c r="J47" s="2">
        <v>190</v>
      </c>
      <c r="K47" s="2">
        <v>1272</v>
      </c>
      <c r="L47" s="59">
        <f t="shared" si="13"/>
        <v>0.75471698113207553</v>
      </c>
      <c r="M47" s="59">
        <f t="shared" si="14"/>
        <v>1.5094339622641511</v>
      </c>
      <c r="N47" s="282">
        <f t="shared" si="20"/>
        <v>204900</v>
      </c>
      <c r="O47" s="58">
        <f t="shared" si="31"/>
        <v>302100</v>
      </c>
      <c r="P47" s="59">
        <f t="shared" si="21"/>
        <v>0.67825223435948356</v>
      </c>
      <c r="Q47" s="59"/>
      <c r="R47" s="2">
        <v>12.4</v>
      </c>
      <c r="S47" s="287">
        <f t="shared" si="22"/>
        <v>18.282284040995609</v>
      </c>
      <c r="T47" s="60">
        <v>23.4</v>
      </c>
      <c r="U47" s="293">
        <v>3</v>
      </c>
      <c r="V47" s="293">
        <v>10</v>
      </c>
      <c r="W47" s="389"/>
      <c r="X47" s="389"/>
      <c r="Y47" s="2">
        <v>0</v>
      </c>
      <c r="Z47" s="289">
        <v>0</v>
      </c>
      <c r="AA47" s="2">
        <v>0</v>
      </c>
      <c r="AB47" s="293">
        <f t="shared" si="32"/>
        <v>0</v>
      </c>
      <c r="AC47" s="2">
        <v>0</v>
      </c>
      <c r="AD47" s="2">
        <v>0</v>
      </c>
      <c r="AE47" s="2">
        <v>0</v>
      </c>
      <c r="AF47" s="58">
        <f t="shared" si="28"/>
        <v>0</v>
      </c>
      <c r="AG47" s="282">
        <f t="shared" si="29"/>
        <v>0</v>
      </c>
      <c r="AH47" s="58">
        <f t="shared" si="23"/>
        <v>0</v>
      </c>
      <c r="AI47" s="2">
        <v>0</v>
      </c>
      <c r="AJ47" s="58">
        <f t="shared" si="33"/>
        <v>0</v>
      </c>
      <c r="AK47" s="272">
        <v>0</v>
      </c>
      <c r="AL47" s="286">
        <v>0</v>
      </c>
      <c r="AM47" s="2">
        <v>416</v>
      </c>
      <c r="AN47" s="59">
        <f t="shared" si="24"/>
        <v>1.377027474346243</v>
      </c>
      <c r="AO47" s="59">
        <f t="shared" si="25"/>
        <v>2.0302586627623231</v>
      </c>
      <c r="AP47" s="272">
        <v>275.10000000000002</v>
      </c>
      <c r="AQ47" s="59">
        <f t="shared" si="26"/>
        <v>0.91062562065541219</v>
      </c>
      <c r="AR47" s="59">
        <f t="shared" si="27"/>
        <v>1.3426061493411421</v>
      </c>
    </row>
    <row r="48" spans="1:45" x14ac:dyDescent="0.25">
      <c r="A48" s="2">
        <v>40</v>
      </c>
      <c r="B48" s="2" t="s">
        <v>13</v>
      </c>
      <c r="C48" s="2">
        <v>11</v>
      </c>
      <c r="D48" s="369" t="s">
        <v>625</v>
      </c>
      <c r="E48" s="2" t="s">
        <v>489</v>
      </c>
      <c r="F48" s="2">
        <v>1200</v>
      </c>
      <c r="G48" s="2">
        <f t="shared" si="12"/>
        <v>2400</v>
      </c>
      <c r="H48" s="2">
        <v>1590</v>
      </c>
      <c r="I48" s="58">
        <f t="shared" si="30"/>
        <v>1908000</v>
      </c>
      <c r="J48" s="2">
        <v>190</v>
      </c>
      <c r="K48" s="2">
        <v>1272</v>
      </c>
      <c r="L48" s="59">
        <f t="shared" si="13"/>
        <v>0.75471698113207553</v>
      </c>
      <c r="M48" s="59">
        <f t="shared" si="14"/>
        <v>1.5094339622641511</v>
      </c>
      <c r="N48" s="282">
        <f t="shared" si="20"/>
        <v>204900</v>
      </c>
      <c r="O48" s="58">
        <f t="shared" si="31"/>
        <v>302100</v>
      </c>
      <c r="P48" s="59">
        <f t="shared" si="21"/>
        <v>0.67825223435948356</v>
      </c>
      <c r="Q48" s="59"/>
      <c r="R48" s="2">
        <v>12.4</v>
      </c>
      <c r="S48" s="287">
        <f t="shared" si="22"/>
        <v>18.282284040995609</v>
      </c>
      <c r="T48" s="60">
        <v>23.4</v>
      </c>
      <c r="U48" s="293">
        <v>3</v>
      </c>
      <c r="V48" s="293">
        <v>10</v>
      </c>
      <c r="W48" s="389"/>
      <c r="X48" s="389"/>
      <c r="Y48" s="2">
        <v>0</v>
      </c>
      <c r="Z48" s="289">
        <v>0</v>
      </c>
      <c r="AA48" s="2">
        <v>0</v>
      </c>
      <c r="AB48" s="293">
        <f t="shared" si="32"/>
        <v>0</v>
      </c>
      <c r="AC48" s="2">
        <v>0</v>
      </c>
      <c r="AD48" s="2">
        <v>0</v>
      </c>
      <c r="AE48" s="2">
        <v>0</v>
      </c>
      <c r="AF48" s="58">
        <f t="shared" si="28"/>
        <v>0</v>
      </c>
      <c r="AG48" s="282">
        <f t="shared" si="29"/>
        <v>0</v>
      </c>
      <c r="AH48" s="58">
        <f t="shared" si="23"/>
        <v>0</v>
      </c>
      <c r="AI48" s="2">
        <v>0</v>
      </c>
      <c r="AJ48" s="58">
        <f t="shared" si="33"/>
        <v>0</v>
      </c>
      <c r="AK48" s="272">
        <v>0</v>
      </c>
      <c r="AL48" s="286">
        <v>0</v>
      </c>
      <c r="AM48" s="2">
        <v>416</v>
      </c>
      <c r="AN48" s="59">
        <f t="shared" si="24"/>
        <v>1.377027474346243</v>
      </c>
      <c r="AO48" s="59">
        <f t="shared" si="25"/>
        <v>2.0302586627623231</v>
      </c>
      <c r="AP48" s="272">
        <v>281.5</v>
      </c>
      <c r="AQ48" s="59">
        <f t="shared" si="26"/>
        <v>0.93181065872227742</v>
      </c>
      <c r="AR48" s="59">
        <f t="shared" si="27"/>
        <v>1.373840897999024</v>
      </c>
    </row>
    <row r="49" spans="1:44" x14ac:dyDescent="0.25">
      <c r="A49" s="2">
        <v>41</v>
      </c>
      <c r="B49" s="2" t="s">
        <v>13</v>
      </c>
      <c r="C49" s="2">
        <v>12</v>
      </c>
      <c r="D49" s="369" t="s">
        <v>625</v>
      </c>
      <c r="E49" s="2" t="s">
        <v>489</v>
      </c>
      <c r="F49" s="2">
        <v>1200</v>
      </c>
      <c r="G49" s="2">
        <f t="shared" si="12"/>
        <v>2400</v>
      </c>
      <c r="H49" s="2">
        <v>1590</v>
      </c>
      <c r="I49" s="58">
        <f t="shared" si="30"/>
        <v>1908000</v>
      </c>
      <c r="J49" s="2">
        <v>190</v>
      </c>
      <c r="K49" s="2">
        <v>1272</v>
      </c>
      <c r="L49" s="59">
        <f t="shared" si="13"/>
        <v>0.75471698113207553</v>
      </c>
      <c r="M49" s="59">
        <f t="shared" si="14"/>
        <v>1.5094339622641511</v>
      </c>
      <c r="N49" s="282">
        <f t="shared" si="20"/>
        <v>204900</v>
      </c>
      <c r="O49" s="58">
        <f t="shared" si="31"/>
        <v>302100</v>
      </c>
      <c r="P49" s="59">
        <f t="shared" si="21"/>
        <v>0.67825223435948356</v>
      </c>
      <c r="Q49" s="59"/>
      <c r="R49" s="2">
        <v>12.4</v>
      </c>
      <c r="S49" s="287">
        <f t="shared" si="22"/>
        <v>18.282284040995609</v>
      </c>
      <c r="T49" s="60">
        <v>23.4</v>
      </c>
      <c r="U49" s="293">
        <v>3</v>
      </c>
      <c r="V49" s="293">
        <v>10</v>
      </c>
      <c r="W49" s="389"/>
      <c r="X49" s="389"/>
      <c r="Y49" s="2">
        <v>0</v>
      </c>
      <c r="Z49" s="289">
        <v>0</v>
      </c>
      <c r="AA49" s="2">
        <v>0</v>
      </c>
      <c r="AB49" s="293">
        <f t="shared" si="32"/>
        <v>0</v>
      </c>
      <c r="AC49" s="2">
        <v>0</v>
      </c>
      <c r="AD49" s="2">
        <v>0</v>
      </c>
      <c r="AE49" s="2">
        <v>0</v>
      </c>
      <c r="AF49" s="58">
        <f t="shared" si="28"/>
        <v>0</v>
      </c>
      <c r="AG49" s="282">
        <f t="shared" si="29"/>
        <v>0</v>
      </c>
      <c r="AH49" s="58">
        <f t="shared" si="23"/>
        <v>0</v>
      </c>
      <c r="AI49" s="2">
        <v>0</v>
      </c>
      <c r="AJ49" s="58">
        <f t="shared" si="33"/>
        <v>0</v>
      </c>
      <c r="AK49" s="272">
        <v>0</v>
      </c>
      <c r="AL49" s="286">
        <v>0</v>
      </c>
      <c r="AM49" s="2">
        <v>416</v>
      </c>
      <c r="AN49" s="59">
        <f t="shared" si="24"/>
        <v>1.377027474346243</v>
      </c>
      <c r="AO49" s="59">
        <f t="shared" si="25"/>
        <v>2.0302586627623231</v>
      </c>
      <c r="AP49" s="272">
        <v>278.39999999999998</v>
      </c>
      <c r="AQ49" s="59">
        <f t="shared" si="26"/>
        <v>0.92154915590863939</v>
      </c>
      <c r="AR49" s="59">
        <f t="shared" si="27"/>
        <v>1.3587115666178624</v>
      </c>
    </row>
    <row r="50" spans="1:44" x14ac:dyDescent="0.25">
      <c r="A50" s="2">
        <v>42</v>
      </c>
      <c r="B50" s="2" t="s">
        <v>13</v>
      </c>
      <c r="C50" s="2">
        <v>13</v>
      </c>
      <c r="D50" s="369" t="s">
        <v>625</v>
      </c>
      <c r="E50" s="2" t="s">
        <v>489</v>
      </c>
      <c r="F50" s="2">
        <v>1200</v>
      </c>
      <c r="G50" s="2">
        <f t="shared" si="12"/>
        <v>2400</v>
      </c>
      <c r="H50" s="2">
        <v>1590</v>
      </c>
      <c r="I50" s="58">
        <f t="shared" si="30"/>
        <v>1908000</v>
      </c>
      <c r="J50" s="2">
        <v>190</v>
      </c>
      <c r="K50" s="2">
        <v>1272</v>
      </c>
      <c r="L50" s="59">
        <f t="shared" si="13"/>
        <v>0.75471698113207553</v>
      </c>
      <c r="M50" s="59">
        <f t="shared" si="14"/>
        <v>1.5094339622641511</v>
      </c>
      <c r="N50" s="282">
        <f t="shared" si="20"/>
        <v>204900</v>
      </c>
      <c r="O50" s="58">
        <f t="shared" si="31"/>
        <v>302100</v>
      </c>
      <c r="P50" s="59">
        <f t="shared" si="21"/>
        <v>0.67825223435948356</v>
      </c>
      <c r="Q50" s="59"/>
      <c r="R50" s="2">
        <v>12.4</v>
      </c>
      <c r="S50" s="287">
        <f t="shared" si="22"/>
        <v>18.282284040995609</v>
      </c>
      <c r="T50" s="60">
        <v>23.4</v>
      </c>
      <c r="U50" s="293">
        <v>3</v>
      </c>
      <c r="V50" s="293">
        <v>10</v>
      </c>
      <c r="W50" s="389"/>
      <c r="X50" s="389"/>
      <c r="Y50" s="2">
        <v>0</v>
      </c>
      <c r="Z50" s="289">
        <v>0</v>
      </c>
      <c r="AA50" s="2">
        <v>0</v>
      </c>
      <c r="AB50" s="293">
        <f t="shared" si="32"/>
        <v>0</v>
      </c>
      <c r="AC50" s="2">
        <v>0</v>
      </c>
      <c r="AD50" s="2">
        <v>0</v>
      </c>
      <c r="AE50" s="2">
        <v>0</v>
      </c>
      <c r="AF50" s="58">
        <f t="shared" si="28"/>
        <v>226.20000000000005</v>
      </c>
      <c r="AG50" s="282">
        <f t="shared" si="29"/>
        <v>226.20000000000005</v>
      </c>
      <c r="AH50" s="58">
        <f t="shared" si="23"/>
        <v>9.9210526315789485E-4</v>
      </c>
      <c r="AI50" s="2">
        <v>560</v>
      </c>
      <c r="AJ50" s="58">
        <f t="shared" si="33"/>
        <v>0.55557894736842117</v>
      </c>
      <c r="AK50" s="272">
        <v>37.700000000000003</v>
      </c>
      <c r="AL50" s="286">
        <v>200</v>
      </c>
      <c r="AM50" s="2">
        <v>416</v>
      </c>
      <c r="AN50" s="59">
        <f t="shared" si="24"/>
        <v>1.377027474346243</v>
      </c>
      <c r="AO50" s="59">
        <f t="shared" si="25"/>
        <v>2.0302586627623231</v>
      </c>
      <c r="AP50" s="272">
        <v>278.7</v>
      </c>
      <c r="AQ50" s="59">
        <f t="shared" si="26"/>
        <v>0.92254220456802383</v>
      </c>
      <c r="AR50" s="59">
        <f t="shared" si="27"/>
        <v>1.3601756954612005</v>
      </c>
    </row>
    <row r="51" spans="1:44" x14ac:dyDescent="0.25">
      <c r="A51" s="2">
        <v>43</v>
      </c>
      <c r="B51" s="2" t="s">
        <v>13</v>
      </c>
      <c r="C51" s="2">
        <v>14</v>
      </c>
      <c r="D51" s="369" t="s">
        <v>625</v>
      </c>
      <c r="E51" s="2" t="s">
        <v>489</v>
      </c>
      <c r="F51" s="2">
        <v>1200</v>
      </c>
      <c r="G51" s="2">
        <f t="shared" si="12"/>
        <v>2400</v>
      </c>
      <c r="H51" s="2">
        <v>1590</v>
      </c>
      <c r="I51" s="58">
        <f t="shared" si="30"/>
        <v>1908000</v>
      </c>
      <c r="J51" s="2">
        <v>190</v>
      </c>
      <c r="K51" s="2">
        <v>1272</v>
      </c>
      <c r="L51" s="59">
        <f t="shared" si="13"/>
        <v>0.75471698113207553</v>
      </c>
      <c r="M51" s="59">
        <f t="shared" si="14"/>
        <v>1.5094339622641511</v>
      </c>
      <c r="N51" s="282">
        <f t="shared" si="20"/>
        <v>204900</v>
      </c>
      <c r="O51" s="58">
        <f t="shared" si="31"/>
        <v>302100</v>
      </c>
      <c r="P51" s="59">
        <f t="shared" si="21"/>
        <v>0.67825223435948356</v>
      </c>
      <c r="Q51" s="59"/>
      <c r="R51" s="2">
        <v>12.4</v>
      </c>
      <c r="S51" s="287">
        <f t="shared" si="22"/>
        <v>18.282284040995609</v>
      </c>
      <c r="T51" s="60">
        <v>23.4</v>
      </c>
      <c r="U51" s="293">
        <v>3</v>
      </c>
      <c r="V51" s="293">
        <v>10</v>
      </c>
      <c r="W51" s="389"/>
      <c r="X51" s="389"/>
      <c r="Y51" s="2">
        <v>0</v>
      </c>
      <c r="Z51" s="289">
        <v>0</v>
      </c>
      <c r="AA51" s="2">
        <v>0</v>
      </c>
      <c r="AB51" s="293">
        <f t="shared" si="32"/>
        <v>0</v>
      </c>
      <c r="AC51" s="2">
        <v>0</v>
      </c>
      <c r="AD51" s="2">
        <v>0</v>
      </c>
      <c r="AE51" s="2">
        <v>0</v>
      </c>
      <c r="AF51" s="58">
        <f t="shared" si="28"/>
        <v>226.20000000000005</v>
      </c>
      <c r="AG51" s="282">
        <f t="shared" si="29"/>
        <v>226.20000000000005</v>
      </c>
      <c r="AH51" s="58">
        <f t="shared" si="23"/>
        <v>9.9210526315789485E-4</v>
      </c>
      <c r="AI51" s="2">
        <v>560</v>
      </c>
      <c r="AJ51" s="58">
        <f t="shared" si="33"/>
        <v>0.55557894736842117</v>
      </c>
      <c r="AK51" s="272">
        <v>37.700000000000003</v>
      </c>
      <c r="AL51" s="286">
        <v>200</v>
      </c>
      <c r="AM51" s="2">
        <v>416</v>
      </c>
      <c r="AN51" s="59">
        <f t="shared" si="24"/>
        <v>1.377027474346243</v>
      </c>
      <c r="AO51" s="59">
        <f t="shared" si="25"/>
        <v>2.0302586627623231</v>
      </c>
      <c r="AP51" s="272">
        <v>287.60000000000002</v>
      </c>
      <c r="AQ51" s="59">
        <f t="shared" si="26"/>
        <v>0.95200264812975843</v>
      </c>
      <c r="AR51" s="59">
        <f t="shared" si="27"/>
        <v>1.4036115178135677</v>
      </c>
    </row>
    <row r="52" spans="1:44" x14ac:dyDescent="0.25">
      <c r="A52" s="2">
        <v>44</v>
      </c>
      <c r="B52" s="2" t="s">
        <v>13</v>
      </c>
      <c r="C52" s="2">
        <v>15</v>
      </c>
      <c r="D52" s="369" t="s">
        <v>625</v>
      </c>
      <c r="E52" s="2" t="s">
        <v>489</v>
      </c>
      <c r="F52" s="2">
        <v>1200</v>
      </c>
      <c r="G52" s="2">
        <f t="shared" si="12"/>
        <v>2400</v>
      </c>
      <c r="H52" s="2">
        <v>1590</v>
      </c>
      <c r="I52" s="58">
        <f t="shared" si="30"/>
        <v>1908000</v>
      </c>
      <c r="J52" s="2">
        <v>190</v>
      </c>
      <c r="K52" s="2">
        <v>1272</v>
      </c>
      <c r="L52" s="59">
        <f t="shared" si="13"/>
        <v>0.75471698113207553</v>
      </c>
      <c r="M52" s="59">
        <f t="shared" si="14"/>
        <v>1.5094339622641511</v>
      </c>
      <c r="N52" s="282">
        <f t="shared" si="20"/>
        <v>204900</v>
      </c>
      <c r="O52" s="58">
        <f t="shared" si="31"/>
        <v>302100</v>
      </c>
      <c r="P52" s="59">
        <f t="shared" si="21"/>
        <v>0.67825223435948356</v>
      </c>
      <c r="Q52" s="59"/>
      <c r="R52" s="2">
        <v>12.4</v>
      </c>
      <c r="S52" s="287">
        <f t="shared" si="22"/>
        <v>18.282284040995609</v>
      </c>
      <c r="T52" s="60">
        <v>23.4</v>
      </c>
      <c r="U52" s="293">
        <v>3</v>
      </c>
      <c r="V52" s="293">
        <v>10</v>
      </c>
      <c r="W52" s="389"/>
      <c r="X52" s="389"/>
      <c r="Y52" s="2">
        <v>0</v>
      </c>
      <c r="Z52" s="289">
        <v>0</v>
      </c>
      <c r="AA52" s="2">
        <v>0</v>
      </c>
      <c r="AB52" s="293">
        <f t="shared" si="32"/>
        <v>0</v>
      </c>
      <c r="AC52" s="2">
        <v>0</v>
      </c>
      <c r="AD52" s="2">
        <v>0</v>
      </c>
      <c r="AE52" s="2">
        <v>0</v>
      </c>
      <c r="AF52" s="58">
        <f t="shared" si="28"/>
        <v>226.20000000000005</v>
      </c>
      <c r="AG52" s="282">
        <f t="shared" si="29"/>
        <v>226.20000000000005</v>
      </c>
      <c r="AH52" s="58">
        <f t="shared" si="23"/>
        <v>9.9210526315789485E-4</v>
      </c>
      <c r="AI52" s="2">
        <v>560</v>
      </c>
      <c r="AJ52" s="58">
        <f t="shared" si="33"/>
        <v>0.55557894736842117</v>
      </c>
      <c r="AK52" s="272">
        <v>37.700000000000003</v>
      </c>
      <c r="AL52" s="286">
        <v>200</v>
      </c>
      <c r="AM52" s="2">
        <v>416</v>
      </c>
      <c r="AN52" s="59">
        <f t="shared" si="24"/>
        <v>1.377027474346243</v>
      </c>
      <c r="AO52" s="59">
        <f t="shared" si="25"/>
        <v>2.0302586627623231</v>
      </c>
      <c r="AP52" s="272">
        <v>278.89999999999998</v>
      </c>
      <c r="AQ52" s="59">
        <f t="shared" si="26"/>
        <v>0.92320423700761323</v>
      </c>
      <c r="AR52" s="59">
        <f t="shared" si="27"/>
        <v>1.3611517813567593</v>
      </c>
    </row>
    <row r="53" spans="1:44" x14ac:dyDescent="0.25">
      <c r="A53" s="2">
        <v>45</v>
      </c>
      <c r="B53" s="2" t="s">
        <v>13</v>
      </c>
      <c r="C53" s="2">
        <v>16</v>
      </c>
      <c r="D53" s="369" t="s">
        <v>625</v>
      </c>
      <c r="E53" s="2" t="s">
        <v>489</v>
      </c>
      <c r="F53" s="2">
        <v>1200</v>
      </c>
      <c r="G53" s="2">
        <f t="shared" si="12"/>
        <v>2400</v>
      </c>
      <c r="H53" s="2">
        <v>1590</v>
      </c>
      <c r="I53" s="58">
        <f t="shared" si="30"/>
        <v>1908000</v>
      </c>
      <c r="J53" s="2">
        <v>190</v>
      </c>
      <c r="K53" s="2">
        <v>1272</v>
      </c>
      <c r="L53" s="59">
        <f t="shared" si="13"/>
        <v>0.75471698113207553</v>
      </c>
      <c r="M53" s="59">
        <f t="shared" si="14"/>
        <v>1.5094339622641511</v>
      </c>
      <c r="N53" s="282">
        <f t="shared" si="20"/>
        <v>204900</v>
      </c>
      <c r="O53" s="58">
        <f t="shared" si="31"/>
        <v>302100</v>
      </c>
      <c r="P53" s="59">
        <f t="shared" si="21"/>
        <v>0.67825223435948356</v>
      </c>
      <c r="Q53" s="59"/>
      <c r="R53" s="2">
        <v>16.2</v>
      </c>
      <c r="S53" s="287">
        <f t="shared" si="22"/>
        <v>23.884919472913616</v>
      </c>
      <c r="T53" s="60">
        <v>23.4</v>
      </c>
      <c r="U53" s="293">
        <v>3</v>
      </c>
      <c r="V53" s="293">
        <v>10</v>
      </c>
      <c r="W53" s="389"/>
      <c r="X53" s="389"/>
      <c r="Y53" s="2">
        <v>0</v>
      </c>
      <c r="Z53" s="289">
        <v>0</v>
      </c>
      <c r="AA53" s="2">
        <v>0</v>
      </c>
      <c r="AB53" s="293">
        <f t="shared" si="32"/>
        <v>0</v>
      </c>
      <c r="AC53" s="2">
        <v>0</v>
      </c>
      <c r="AD53" s="2">
        <v>0</v>
      </c>
      <c r="AE53" s="2">
        <v>0</v>
      </c>
      <c r="AF53" s="58">
        <f t="shared" si="28"/>
        <v>0</v>
      </c>
      <c r="AG53" s="282">
        <f t="shared" si="29"/>
        <v>0</v>
      </c>
      <c r="AH53" s="58">
        <f t="shared" si="23"/>
        <v>0</v>
      </c>
      <c r="AI53" s="2">
        <v>0</v>
      </c>
      <c r="AJ53" s="58">
        <f t="shared" si="33"/>
        <v>0</v>
      </c>
      <c r="AK53" s="272">
        <v>0</v>
      </c>
      <c r="AL53" s="286">
        <v>0</v>
      </c>
      <c r="AM53" s="2">
        <v>236</v>
      </c>
      <c r="AN53" s="59">
        <f t="shared" si="24"/>
        <v>0.78119827871565706</v>
      </c>
      <c r="AO53" s="59">
        <f t="shared" si="25"/>
        <v>1.1517813567593949</v>
      </c>
      <c r="AP53" s="272">
        <v>149.5</v>
      </c>
      <c r="AQ53" s="59">
        <f t="shared" si="26"/>
        <v>0.4948692485931811</v>
      </c>
      <c r="AR53" s="59">
        <f t="shared" si="27"/>
        <v>0.7296242069302098</v>
      </c>
    </row>
    <row r="54" spans="1:44" x14ac:dyDescent="0.25">
      <c r="A54" s="2">
        <v>46</v>
      </c>
      <c r="B54" s="2" t="s">
        <v>13</v>
      </c>
      <c r="C54" s="2">
        <v>17</v>
      </c>
      <c r="D54" s="369" t="s">
        <v>625</v>
      </c>
      <c r="E54" s="2" t="s">
        <v>489</v>
      </c>
      <c r="F54" s="2">
        <v>1200</v>
      </c>
      <c r="G54" s="2">
        <f t="shared" si="12"/>
        <v>2400</v>
      </c>
      <c r="H54" s="2">
        <v>1590</v>
      </c>
      <c r="I54" s="58">
        <f t="shared" si="30"/>
        <v>1908000</v>
      </c>
      <c r="J54" s="2">
        <v>190</v>
      </c>
      <c r="K54" s="2">
        <v>1272</v>
      </c>
      <c r="L54" s="59">
        <f t="shared" si="13"/>
        <v>0.75471698113207553</v>
      </c>
      <c r="M54" s="59">
        <f t="shared" si="14"/>
        <v>1.5094339622641511</v>
      </c>
      <c r="N54" s="282">
        <f t="shared" si="20"/>
        <v>204900</v>
      </c>
      <c r="O54" s="58">
        <f t="shared" si="31"/>
        <v>302100</v>
      </c>
      <c r="P54" s="59">
        <f t="shared" si="21"/>
        <v>0.67825223435948356</v>
      </c>
      <c r="Q54" s="59"/>
      <c r="R54" s="2">
        <v>16.2</v>
      </c>
      <c r="S54" s="287">
        <f t="shared" si="22"/>
        <v>23.884919472913616</v>
      </c>
      <c r="T54" s="60">
        <v>23.4</v>
      </c>
      <c r="U54" s="293">
        <v>3</v>
      </c>
      <c r="V54" s="293">
        <v>10</v>
      </c>
      <c r="W54" s="389"/>
      <c r="X54" s="389"/>
      <c r="Y54" s="2">
        <v>0</v>
      </c>
      <c r="Z54" s="289">
        <v>0</v>
      </c>
      <c r="AA54" s="2">
        <v>0</v>
      </c>
      <c r="AB54" s="293">
        <f t="shared" si="32"/>
        <v>0</v>
      </c>
      <c r="AC54" s="2">
        <v>0</v>
      </c>
      <c r="AD54" s="2">
        <v>0</v>
      </c>
      <c r="AE54" s="2">
        <v>0</v>
      </c>
      <c r="AF54" s="58">
        <f t="shared" si="28"/>
        <v>0</v>
      </c>
      <c r="AG54" s="282">
        <f t="shared" si="29"/>
        <v>0</v>
      </c>
      <c r="AH54" s="58">
        <f t="shared" si="23"/>
        <v>0</v>
      </c>
      <c r="AI54" s="2">
        <v>0</v>
      </c>
      <c r="AJ54" s="58">
        <f t="shared" si="33"/>
        <v>0</v>
      </c>
      <c r="AK54" s="272">
        <v>0</v>
      </c>
      <c r="AL54" s="286">
        <v>0</v>
      </c>
      <c r="AM54" s="2">
        <v>236</v>
      </c>
      <c r="AN54" s="59">
        <f t="shared" si="24"/>
        <v>0.78119827871565706</v>
      </c>
      <c r="AO54" s="59">
        <f t="shared" si="25"/>
        <v>1.1517813567593949</v>
      </c>
      <c r="AP54" s="272">
        <v>146.9</v>
      </c>
      <c r="AQ54" s="59">
        <f t="shared" si="26"/>
        <v>0.48626282687851707</v>
      </c>
      <c r="AR54" s="59">
        <f t="shared" si="27"/>
        <v>0.71693509028794533</v>
      </c>
    </row>
    <row r="55" spans="1:44" x14ac:dyDescent="0.25">
      <c r="A55" s="2">
        <v>47</v>
      </c>
      <c r="B55" s="2" t="s">
        <v>13</v>
      </c>
      <c r="C55" s="2">
        <v>18</v>
      </c>
      <c r="D55" s="369" t="s">
        <v>625</v>
      </c>
      <c r="E55" s="2" t="s">
        <v>489</v>
      </c>
      <c r="F55" s="2">
        <v>1200</v>
      </c>
      <c r="G55" s="2">
        <f t="shared" si="12"/>
        <v>2400</v>
      </c>
      <c r="H55" s="2">
        <v>1590</v>
      </c>
      <c r="I55" s="58">
        <f t="shared" si="30"/>
        <v>1908000</v>
      </c>
      <c r="J55" s="2">
        <v>190</v>
      </c>
      <c r="K55" s="2">
        <v>1272</v>
      </c>
      <c r="L55" s="59">
        <f t="shared" si="13"/>
        <v>0.75471698113207553</v>
      </c>
      <c r="M55" s="59">
        <f t="shared" si="14"/>
        <v>1.5094339622641511</v>
      </c>
      <c r="N55" s="282">
        <f t="shared" si="20"/>
        <v>204900</v>
      </c>
      <c r="O55" s="58">
        <f t="shared" si="31"/>
        <v>302100</v>
      </c>
      <c r="P55" s="59">
        <f t="shared" si="21"/>
        <v>0.67825223435948356</v>
      </c>
      <c r="Q55" s="59"/>
      <c r="R55" s="2">
        <v>16.2</v>
      </c>
      <c r="S55" s="287">
        <f t="shared" si="22"/>
        <v>23.884919472913616</v>
      </c>
      <c r="T55" s="60">
        <v>23.4</v>
      </c>
      <c r="U55" s="293">
        <v>3</v>
      </c>
      <c r="V55" s="293">
        <v>10</v>
      </c>
      <c r="W55" s="389"/>
      <c r="X55" s="389"/>
      <c r="Y55" s="2">
        <v>0</v>
      </c>
      <c r="Z55" s="289">
        <v>0</v>
      </c>
      <c r="AA55" s="2">
        <v>0</v>
      </c>
      <c r="AB55" s="293">
        <f t="shared" si="32"/>
        <v>0</v>
      </c>
      <c r="AC55" s="2">
        <v>0</v>
      </c>
      <c r="AD55" s="2">
        <v>0</v>
      </c>
      <c r="AE55" s="2">
        <v>0</v>
      </c>
      <c r="AF55" s="58">
        <f t="shared" si="28"/>
        <v>0</v>
      </c>
      <c r="AG55" s="282">
        <f t="shared" si="29"/>
        <v>0</v>
      </c>
      <c r="AH55" s="58">
        <f t="shared" si="23"/>
        <v>0</v>
      </c>
      <c r="AI55" s="2">
        <v>0</v>
      </c>
      <c r="AJ55" s="58">
        <f t="shared" si="33"/>
        <v>0</v>
      </c>
      <c r="AK55" s="272">
        <v>0</v>
      </c>
      <c r="AL55" s="286">
        <v>0</v>
      </c>
      <c r="AM55" s="2">
        <v>236</v>
      </c>
      <c r="AN55" s="59">
        <f t="shared" si="24"/>
        <v>0.78119827871565706</v>
      </c>
      <c r="AO55" s="59">
        <f t="shared" si="25"/>
        <v>1.1517813567593949</v>
      </c>
      <c r="AP55" s="272">
        <v>157.19999999999999</v>
      </c>
      <c r="AQ55" s="59">
        <f t="shared" si="26"/>
        <v>0.52035749751737836</v>
      </c>
      <c r="AR55" s="59">
        <f t="shared" si="27"/>
        <v>0.76720351390922392</v>
      </c>
    </row>
    <row r="56" spans="1:44" x14ac:dyDescent="0.25">
      <c r="A56" s="2">
        <v>48</v>
      </c>
      <c r="B56" s="2" t="s">
        <v>13</v>
      </c>
      <c r="C56" s="2">
        <v>19</v>
      </c>
      <c r="D56" s="369" t="s">
        <v>625</v>
      </c>
      <c r="E56" s="2" t="s">
        <v>489</v>
      </c>
      <c r="F56" s="2">
        <v>1200</v>
      </c>
      <c r="G56" s="2">
        <f t="shared" si="12"/>
        <v>2400</v>
      </c>
      <c r="H56" s="2">
        <v>1590</v>
      </c>
      <c r="I56" s="58">
        <f t="shared" si="30"/>
        <v>1908000</v>
      </c>
      <c r="J56" s="2">
        <v>190</v>
      </c>
      <c r="K56" s="2">
        <v>1272</v>
      </c>
      <c r="L56" s="59">
        <f t="shared" si="13"/>
        <v>0.75471698113207553</v>
      </c>
      <c r="M56" s="59">
        <f t="shared" si="14"/>
        <v>1.5094339622641511</v>
      </c>
      <c r="N56" s="282">
        <f t="shared" si="20"/>
        <v>204900</v>
      </c>
      <c r="O56" s="58">
        <f t="shared" si="31"/>
        <v>302100</v>
      </c>
      <c r="P56" s="59">
        <f t="shared" si="21"/>
        <v>0.67825223435948356</v>
      </c>
      <c r="Q56" s="59"/>
      <c r="R56" s="2">
        <v>12.4</v>
      </c>
      <c r="S56" s="287">
        <f t="shared" si="22"/>
        <v>18.282284040995609</v>
      </c>
      <c r="T56" s="60">
        <v>23.4</v>
      </c>
      <c r="U56" s="293">
        <v>3</v>
      </c>
      <c r="V56" s="293">
        <v>10</v>
      </c>
      <c r="W56" s="389"/>
      <c r="X56" s="389"/>
      <c r="Y56" s="2">
        <v>0</v>
      </c>
      <c r="Z56" s="289">
        <v>0</v>
      </c>
      <c r="AA56" s="2">
        <v>0</v>
      </c>
      <c r="AB56" s="293">
        <f t="shared" si="32"/>
        <v>0</v>
      </c>
      <c r="AC56" s="2">
        <v>0</v>
      </c>
      <c r="AD56" s="2">
        <v>0</v>
      </c>
      <c r="AE56" s="2">
        <v>0</v>
      </c>
      <c r="AF56" s="58">
        <f t="shared" si="28"/>
        <v>0</v>
      </c>
      <c r="AG56" s="282">
        <f t="shared" si="29"/>
        <v>0</v>
      </c>
      <c r="AH56" s="58">
        <f t="shared" si="23"/>
        <v>0</v>
      </c>
      <c r="AI56" s="2">
        <v>0</v>
      </c>
      <c r="AJ56" s="58">
        <f t="shared" si="33"/>
        <v>0</v>
      </c>
      <c r="AK56" s="272">
        <v>0</v>
      </c>
      <c r="AL56" s="286">
        <v>0</v>
      </c>
      <c r="AM56" s="2">
        <v>628</v>
      </c>
      <c r="AN56" s="59">
        <f t="shared" si="24"/>
        <v>2.0787818603111554</v>
      </c>
      <c r="AO56" s="59">
        <f t="shared" si="25"/>
        <v>3.0649097120546607</v>
      </c>
      <c r="AP56" s="272">
        <v>384.4</v>
      </c>
      <c r="AQ56" s="59">
        <f t="shared" si="26"/>
        <v>1.2724263488910956</v>
      </c>
      <c r="AR56" s="59">
        <f t="shared" si="27"/>
        <v>1.8760370912640312</v>
      </c>
    </row>
    <row r="57" spans="1:44" x14ac:dyDescent="0.25">
      <c r="A57" s="2">
        <v>49</v>
      </c>
      <c r="B57" s="2" t="s">
        <v>13</v>
      </c>
      <c r="C57" s="2">
        <v>20</v>
      </c>
      <c r="D57" s="369" t="s">
        <v>625</v>
      </c>
      <c r="E57" s="2" t="s">
        <v>489</v>
      </c>
      <c r="F57" s="2">
        <v>1200</v>
      </c>
      <c r="G57" s="2">
        <f t="shared" si="12"/>
        <v>2400</v>
      </c>
      <c r="H57" s="2">
        <v>1590</v>
      </c>
      <c r="I57" s="58">
        <f t="shared" si="30"/>
        <v>1908000</v>
      </c>
      <c r="J57" s="2">
        <v>190</v>
      </c>
      <c r="K57" s="2">
        <v>1272</v>
      </c>
      <c r="L57" s="59">
        <f t="shared" si="13"/>
        <v>0.75471698113207553</v>
      </c>
      <c r="M57" s="59">
        <f t="shared" si="14"/>
        <v>1.5094339622641511</v>
      </c>
      <c r="N57" s="282">
        <f t="shared" si="20"/>
        <v>204900</v>
      </c>
      <c r="O57" s="58">
        <f t="shared" si="31"/>
        <v>302100</v>
      </c>
      <c r="P57" s="59">
        <f t="shared" si="21"/>
        <v>0.67825223435948356</v>
      </c>
      <c r="Q57" s="59"/>
      <c r="R57" s="2">
        <v>12.4</v>
      </c>
      <c r="S57" s="287">
        <f t="shared" si="22"/>
        <v>18.282284040995609</v>
      </c>
      <c r="T57" s="60">
        <v>23.4</v>
      </c>
      <c r="U57" s="293">
        <v>3</v>
      </c>
      <c r="V57" s="293">
        <v>10</v>
      </c>
      <c r="W57" s="389"/>
      <c r="X57" s="389"/>
      <c r="Y57" s="2">
        <v>0</v>
      </c>
      <c r="Z57" s="289">
        <v>0</v>
      </c>
      <c r="AA57" s="2">
        <v>0</v>
      </c>
      <c r="AB57" s="293">
        <f t="shared" si="32"/>
        <v>0</v>
      </c>
      <c r="AC57" s="2">
        <v>0</v>
      </c>
      <c r="AD57" s="2">
        <v>0</v>
      </c>
      <c r="AE57" s="2">
        <v>0</v>
      </c>
      <c r="AF57" s="58">
        <f t="shared" si="28"/>
        <v>0</v>
      </c>
      <c r="AG57" s="282">
        <f t="shared" si="29"/>
        <v>0</v>
      </c>
      <c r="AH57" s="58">
        <f t="shared" si="23"/>
        <v>0</v>
      </c>
      <c r="AI57" s="2">
        <v>0</v>
      </c>
      <c r="AJ57" s="58">
        <f t="shared" si="33"/>
        <v>0</v>
      </c>
      <c r="AK57" s="272">
        <v>0</v>
      </c>
      <c r="AL57" s="286">
        <v>0</v>
      </c>
      <c r="AM57" s="2">
        <v>628</v>
      </c>
      <c r="AN57" s="59">
        <f t="shared" si="24"/>
        <v>2.0787818603111554</v>
      </c>
      <c r="AO57" s="59">
        <f t="shared" si="25"/>
        <v>3.0649097120546607</v>
      </c>
      <c r="AP57" s="272">
        <v>346.6</v>
      </c>
      <c r="AQ57" s="59">
        <f t="shared" si="26"/>
        <v>1.1473022178086727</v>
      </c>
      <c r="AR57" s="59">
        <f t="shared" si="27"/>
        <v>1.6915568570034165</v>
      </c>
    </row>
    <row r="58" spans="1:44" x14ac:dyDescent="0.25">
      <c r="A58" s="2">
        <v>50</v>
      </c>
      <c r="B58" s="2" t="s">
        <v>13</v>
      </c>
      <c r="C58" s="2">
        <v>21</v>
      </c>
      <c r="D58" s="369" t="s">
        <v>625</v>
      </c>
      <c r="E58" s="2" t="s">
        <v>489</v>
      </c>
      <c r="F58" s="2">
        <v>1200</v>
      </c>
      <c r="G58" s="2">
        <f t="shared" si="12"/>
        <v>2400</v>
      </c>
      <c r="H58" s="2">
        <v>1590</v>
      </c>
      <c r="I58" s="58">
        <f t="shared" si="30"/>
        <v>1908000</v>
      </c>
      <c r="J58" s="2">
        <v>190</v>
      </c>
      <c r="K58" s="2">
        <v>1272</v>
      </c>
      <c r="L58" s="59">
        <f t="shared" si="13"/>
        <v>0.75471698113207553</v>
      </c>
      <c r="M58" s="59">
        <f t="shared" si="14"/>
        <v>1.5094339622641511</v>
      </c>
      <c r="N58" s="282">
        <f t="shared" si="20"/>
        <v>204900</v>
      </c>
      <c r="O58" s="58">
        <f t="shared" si="31"/>
        <v>302100</v>
      </c>
      <c r="P58" s="59">
        <f t="shared" si="21"/>
        <v>0.67825223435948356</v>
      </c>
      <c r="Q58" s="59"/>
      <c r="R58" s="2">
        <v>12.4</v>
      </c>
      <c r="S58" s="287">
        <f t="shared" si="22"/>
        <v>18.282284040995609</v>
      </c>
      <c r="T58" s="60">
        <v>23.4</v>
      </c>
      <c r="U58" s="293">
        <v>3</v>
      </c>
      <c r="V58" s="293">
        <v>10</v>
      </c>
      <c r="W58" s="389"/>
      <c r="X58" s="389"/>
      <c r="Y58" s="2">
        <v>0</v>
      </c>
      <c r="Z58" s="289">
        <v>0</v>
      </c>
      <c r="AA58" s="2">
        <v>0</v>
      </c>
      <c r="AB58" s="293">
        <f t="shared" si="32"/>
        <v>0</v>
      </c>
      <c r="AC58" s="2">
        <v>0</v>
      </c>
      <c r="AD58" s="2">
        <v>0</v>
      </c>
      <c r="AE58" s="2">
        <v>0</v>
      </c>
      <c r="AF58" s="58">
        <f t="shared" si="28"/>
        <v>0</v>
      </c>
      <c r="AG58" s="282">
        <f t="shared" si="29"/>
        <v>0</v>
      </c>
      <c r="AH58" s="58">
        <f t="shared" si="23"/>
        <v>0</v>
      </c>
      <c r="AI58" s="2">
        <v>0</v>
      </c>
      <c r="AJ58" s="58">
        <f t="shared" si="33"/>
        <v>0</v>
      </c>
      <c r="AK58" s="272">
        <v>0</v>
      </c>
      <c r="AL58" s="286">
        <v>0</v>
      </c>
      <c r="AM58" s="2">
        <v>628</v>
      </c>
      <c r="AN58" s="59">
        <f t="shared" si="24"/>
        <v>2.0787818603111554</v>
      </c>
      <c r="AO58" s="59">
        <f t="shared" si="25"/>
        <v>3.0649097120546607</v>
      </c>
      <c r="AP58" s="272">
        <v>419.6</v>
      </c>
      <c r="AQ58" s="59">
        <f t="shared" si="26"/>
        <v>1.3889440582588548</v>
      </c>
      <c r="AR58" s="59">
        <f t="shared" si="27"/>
        <v>2.0478282088823816</v>
      </c>
    </row>
    <row r="59" spans="1:44" x14ac:dyDescent="0.25">
      <c r="A59" s="2">
        <v>51</v>
      </c>
      <c r="B59" s="2" t="s">
        <v>13</v>
      </c>
      <c r="C59" s="2">
        <v>22</v>
      </c>
      <c r="D59" s="369" t="s">
        <v>625</v>
      </c>
      <c r="E59" s="2" t="s">
        <v>489</v>
      </c>
      <c r="F59" s="2">
        <v>1200</v>
      </c>
      <c r="G59" s="2">
        <f t="shared" si="12"/>
        <v>2400</v>
      </c>
      <c r="H59" s="2">
        <v>1590</v>
      </c>
      <c r="I59" s="58">
        <f t="shared" si="30"/>
        <v>1908000</v>
      </c>
      <c r="J59" s="2">
        <v>190</v>
      </c>
      <c r="K59" s="2">
        <v>1272</v>
      </c>
      <c r="L59" s="59">
        <f t="shared" si="13"/>
        <v>0.75471698113207553</v>
      </c>
      <c r="M59" s="59">
        <f t="shared" si="14"/>
        <v>1.5094339622641511</v>
      </c>
      <c r="N59" s="282">
        <f t="shared" si="20"/>
        <v>204900</v>
      </c>
      <c r="O59" s="58">
        <f t="shared" si="31"/>
        <v>302100</v>
      </c>
      <c r="P59" s="59">
        <f t="shared" si="21"/>
        <v>0.67825223435948356</v>
      </c>
      <c r="Q59" s="59"/>
      <c r="R59" s="2">
        <v>12.4</v>
      </c>
      <c r="S59" s="287">
        <f t="shared" si="22"/>
        <v>18.282284040995609</v>
      </c>
      <c r="T59" s="60">
        <v>23.4</v>
      </c>
      <c r="U59" s="293">
        <v>3</v>
      </c>
      <c r="V59" s="293">
        <v>10</v>
      </c>
      <c r="W59" s="389"/>
      <c r="X59" s="389"/>
      <c r="Y59" s="2">
        <v>0</v>
      </c>
      <c r="Z59" s="289">
        <v>0</v>
      </c>
      <c r="AA59" s="2">
        <v>0</v>
      </c>
      <c r="AB59" s="293">
        <f t="shared" si="32"/>
        <v>0</v>
      </c>
      <c r="AC59" s="2">
        <v>0</v>
      </c>
      <c r="AD59" s="2">
        <v>0</v>
      </c>
      <c r="AE59" s="2">
        <v>0</v>
      </c>
      <c r="AF59" s="58">
        <f t="shared" si="28"/>
        <v>128.99999999999997</v>
      </c>
      <c r="AG59" s="282">
        <f t="shared" si="29"/>
        <v>128.99999999999997</v>
      </c>
      <c r="AH59" s="58">
        <f t="shared" si="23"/>
        <v>5.6578947368421048E-4</v>
      </c>
      <c r="AI59" s="2">
        <v>530</v>
      </c>
      <c r="AJ59" s="58">
        <f t="shared" si="33"/>
        <v>0.29986842105263156</v>
      </c>
      <c r="AK59" s="272">
        <v>21.5</v>
      </c>
      <c r="AL59" s="286">
        <v>200</v>
      </c>
      <c r="AM59" s="2">
        <v>628</v>
      </c>
      <c r="AN59" s="59">
        <f t="shared" si="24"/>
        <v>2.0787818603111554</v>
      </c>
      <c r="AO59" s="59">
        <f t="shared" si="25"/>
        <v>3.0649097120546607</v>
      </c>
      <c r="AP59" s="272">
        <v>347.9</v>
      </c>
      <c r="AQ59" s="59">
        <f t="shared" si="26"/>
        <v>1.1516054286660047</v>
      </c>
      <c r="AR59" s="59">
        <f t="shared" si="27"/>
        <v>1.6979014153245486</v>
      </c>
    </row>
    <row r="60" spans="1:44" x14ac:dyDescent="0.25">
      <c r="A60" s="2">
        <v>52</v>
      </c>
      <c r="B60" s="2" t="s">
        <v>13</v>
      </c>
      <c r="C60" s="2">
        <v>23</v>
      </c>
      <c r="D60" s="369" t="s">
        <v>625</v>
      </c>
      <c r="E60" s="2" t="s">
        <v>489</v>
      </c>
      <c r="F60" s="2">
        <v>1200</v>
      </c>
      <c r="G60" s="2">
        <f t="shared" si="12"/>
        <v>2400</v>
      </c>
      <c r="H60" s="2">
        <v>1590</v>
      </c>
      <c r="I60" s="58">
        <f t="shared" si="30"/>
        <v>1908000</v>
      </c>
      <c r="J60" s="2">
        <v>190</v>
      </c>
      <c r="K60" s="2">
        <v>1272</v>
      </c>
      <c r="L60" s="59">
        <f t="shared" si="13"/>
        <v>0.75471698113207553</v>
      </c>
      <c r="M60" s="59">
        <f t="shared" si="14"/>
        <v>1.5094339622641511</v>
      </c>
      <c r="N60" s="282">
        <f t="shared" si="20"/>
        <v>204900</v>
      </c>
      <c r="O60" s="58">
        <f t="shared" si="31"/>
        <v>302100</v>
      </c>
      <c r="P60" s="59">
        <f t="shared" si="21"/>
        <v>0.67825223435948356</v>
      </c>
      <c r="Q60" s="59"/>
      <c r="R60" s="2">
        <v>12.4</v>
      </c>
      <c r="S60" s="287">
        <f t="shared" si="22"/>
        <v>18.282284040995609</v>
      </c>
      <c r="T60" s="60">
        <v>23.4</v>
      </c>
      <c r="U60" s="293">
        <v>3</v>
      </c>
      <c r="V60" s="293">
        <v>10</v>
      </c>
      <c r="W60" s="389"/>
      <c r="X60" s="389"/>
      <c r="Y60" s="2">
        <v>0</v>
      </c>
      <c r="Z60" s="289">
        <v>0</v>
      </c>
      <c r="AA60" s="2">
        <v>0</v>
      </c>
      <c r="AB60" s="293">
        <f t="shared" si="32"/>
        <v>0</v>
      </c>
      <c r="AC60" s="2">
        <v>0</v>
      </c>
      <c r="AD60" s="2">
        <v>0</v>
      </c>
      <c r="AE60" s="2">
        <v>0</v>
      </c>
      <c r="AF60" s="58">
        <f t="shared" si="28"/>
        <v>128.99999999999997</v>
      </c>
      <c r="AG60" s="282">
        <f t="shared" si="29"/>
        <v>128.99999999999997</v>
      </c>
      <c r="AH60" s="58">
        <f t="shared" si="23"/>
        <v>5.6578947368421048E-4</v>
      </c>
      <c r="AI60" s="2">
        <v>530</v>
      </c>
      <c r="AJ60" s="58">
        <f t="shared" si="33"/>
        <v>0.29986842105263156</v>
      </c>
      <c r="AK60" s="272">
        <v>21.5</v>
      </c>
      <c r="AL60" s="286">
        <v>200</v>
      </c>
      <c r="AM60" s="2">
        <v>628</v>
      </c>
      <c r="AN60" s="59">
        <f t="shared" si="24"/>
        <v>2.0787818603111554</v>
      </c>
      <c r="AO60" s="59">
        <f t="shared" si="25"/>
        <v>3.0649097120546607</v>
      </c>
      <c r="AP60" s="272">
        <v>337.1</v>
      </c>
      <c r="AQ60" s="59">
        <f t="shared" si="26"/>
        <v>1.1158556769281696</v>
      </c>
      <c r="AR60" s="59">
        <f t="shared" si="27"/>
        <v>1.645192776964373</v>
      </c>
    </row>
    <row r="61" spans="1:44" x14ac:dyDescent="0.25">
      <c r="A61" s="2">
        <v>53</v>
      </c>
      <c r="B61" s="2" t="s">
        <v>13</v>
      </c>
      <c r="C61" s="2">
        <v>24</v>
      </c>
      <c r="D61" s="369" t="s">
        <v>625</v>
      </c>
      <c r="E61" s="2" t="s">
        <v>489</v>
      </c>
      <c r="F61" s="2">
        <v>1200</v>
      </c>
      <c r="G61" s="2">
        <f t="shared" si="12"/>
        <v>2400</v>
      </c>
      <c r="H61" s="2">
        <v>1590</v>
      </c>
      <c r="I61" s="58">
        <f t="shared" si="30"/>
        <v>1908000</v>
      </c>
      <c r="J61" s="2">
        <v>190</v>
      </c>
      <c r="K61" s="2">
        <v>1272</v>
      </c>
      <c r="L61" s="59">
        <f t="shared" si="13"/>
        <v>0.75471698113207553</v>
      </c>
      <c r="M61" s="59">
        <f t="shared" si="14"/>
        <v>1.5094339622641511</v>
      </c>
      <c r="N61" s="282">
        <f t="shared" si="20"/>
        <v>204900</v>
      </c>
      <c r="O61" s="58">
        <f t="shared" si="31"/>
        <v>302100</v>
      </c>
      <c r="P61" s="59">
        <f t="shared" si="21"/>
        <v>0.67825223435948356</v>
      </c>
      <c r="Q61" s="59"/>
      <c r="R61" s="2">
        <v>12.4</v>
      </c>
      <c r="S61" s="287">
        <f t="shared" si="22"/>
        <v>18.282284040995609</v>
      </c>
      <c r="T61" s="60">
        <v>23.4</v>
      </c>
      <c r="U61" s="293">
        <v>3</v>
      </c>
      <c r="V61" s="293">
        <v>10</v>
      </c>
      <c r="W61" s="389"/>
      <c r="X61" s="389"/>
      <c r="Y61" s="2">
        <v>0</v>
      </c>
      <c r="Z61" s="289">
        <v>0</v>
      </c>
      <c r="AA61" s="2">
        <v>0</v>
      </c>
      <c r="AB61" s="293">
        <f t="shared" si="32"/>
        <v>0</v>
      </c>
      <c r="AC61" s="2">
        <v>0</v>
      </c>
      <c r="AD61" s="2">
        <v>0</v>
      </c>
      <c r="AE61" s="2">
        <v>0</v>
      </c>
      <c r="AF61" s="58">
        <f t="shared" si="28"/>
        <v>128.99999999999997</v>
      </c>
      <c r="AG61" s="282">
        <f t="shared" si="29"/>
        <v>128.99999999999997</v>
      </c>
      <c r="AH61" s="58">
        <f t="shared" si="23"/>
        <v>5.6578947368421048E-4</v>
      </c>
      <c r="AI61" s="2">
        <v>530</v>
      </c>
      <c r="AJ61" s="58">
        <f t="shared" si="33"/>
        <v>0.29986842105263156</v>
      </c>
      <c r="AK61" s="272">
        <v>21.5</v>
      </c>
      <c r="AL61" s="286">
        <v>200</v>
      </c>
      <c r="AM61" s="2">
        <v>628</v>
      </c>
      <c r="AN61" s="59">
        <f t="shared" si="24"/>
        <v>2.0787818603111554</v>
      </c>
      <c r="AO61" s="59">
        <f t="shared" si="25"/>
        <v>3.0649097120546607</v>
      </c>
      <c r="AP61" s="272">
        <v>390.1</v>
      </c>
      <c r="AQ61" s="59">
        <f t="shared" si="26"/>
        <v>1.2912942734193977</v>
      </c>
      <c r="AR61" s="59">
        <f t="shared" si="27"/>
        <v>1.9038555392874574</v>
      </c>
    </row>
    <row r="62" spans="1:44" x14ac:dyDescent="0.25">
      <c r="A62" s="2">
        <v>54</v>
      </c>
      <c r="B62" s="2" t="s">
        <v>13</v>
      </c>
      <c r="C62" s="2">
        <v>25</v>
      </c>
      <c r="D62" s="369" t="s">
        <v>625</v>
      </c>
      <c r="E62" s="2" t="s">
        <v>489</v>
      </c>
      <c r="F62" s="2">
        <v>1200</v>
      </c>
      <c r="G62" s="2">
        <f t="shared" si="12"/>
        <v>2400</v>
      </c>
      <c r="H62" s="2">
        <v>1590</v>
      </c>
      <c r="I62" s="58">
        <f t="shared" si="30"/>
        <v>1908000</v>
      </c>
      <c r="J62" s="2">
        <v>190</v>
      </c>
      <c r="K62" s="2">
        <v>1272</v>
      </c>
      <c r="L62" s="59">
        <f t="shared" si="13"/>
        <v>0.75471698113207553</v>
      </c>
      <c r="M62" s="59">
        <f t="shared" si="14"/>
        <v>1.5094339622641511</v>
      </c>
      <c r="N62" s="282">
        <f t="shared" si="20"/>
        <v>204900</v>
      </c>
      <c r="O62" s="58">
        <f t="shared" si="31"/>
        <v>302100</v>
      </c>
      <c r="P62" s="59">
        <f t="shared" si="21"/>
        <v>0.67825223435948356</v>
      </c>
      <c r="Q62" s="59"/>
      <c r="R62" s="2">
        <v>12.4</v>
      </c>
      <c r="S62" s="287">
        <f t="shared" si="22"/>
        <v>18.282284040995609</v>
      </c>
      <c r="T62" s="60">
        <v>23.4</v>
      </c>
      <c r="U62" s="293">
        <v>3</v>
      </c>
      <c r="V62" s="293">
        <v>10</v>
      </c>
      <c r="W62" s="389"/>
      <c r="X62" s="389"/>
      <c r="Y62" s="2">
        <v>0</v>
      </c>
      <c r="Z62" s="289">
        <v>0</v>
      </c>
      <c r="AA62" s="2">
        <v>0</v>
      </c>
      <c r="AB62" s="293">
        <f t="shared" si="32"/>
        <v>0</v>
      </c>
      <c r="AC62" s="2">
        <v>0</v>
      </c>
      <c r="AD62" s="2">
        <v>0</v>
      </c>
      <c r="AE62" s="2">
        <v>0</v>
      </c>
      <c r="AF62" s="58">
        <f t="shared" si="28"/>
        <v>226.20000000000005</v>
      </c>
      <c r="AG62" s="282">
        <f t="shared" si="29"/>
        <v>226.20000000000005</v>
      </c>
      <c r="AH62" s="58">
        <f t="shared" si="23"/>
        <v>9.9210526315789485E-4</v>
      </c>
      <c r="AI62" s="2">
        <v>560</v>
      </c>
      <c r="AJ62" s="58">
        <f t="shared" si="33"/>
        <v>0.55557894736842117</v>
      </c>
      <c r="AK62" s="272">
        <v>37.700000000000003</v>
      </c>
      <c r="AL62" s="286">
        <v>200</v>
      </c>
      <c r="AM62" s="2">
        <v>628</v>
      </c>
      <c r="AN62" s="59">
        <f t="shared" si="24"/>
        <v>2.0787818603111554</v>
      </c>
      <c r="AO62" s="59">
        <f t="shared" si="25"/>
        <v>3.0649097120546607</v>
      </c>
      <c r="AP62" s="272">
        <v>384.2</v>
      </c>
      <c r="AQ62" s="59">
        <f t="shared" si="26"/>
        <v>1.2717643164515062</v>
      </c>
      <c r="AR62" s="59">
        <f t="shared" si="27"/>
        <v>1.8750610053684722</v>
      </c>
    </row>
    <row r="63" spans="1:44" x14ac:dyDescent="0.25">
      <c r="A63" s="2">
        <v>55</v>
      </c>
      <c r="B63" s="2" t="s">
        <v>13</v>
      </c>
      <c r="C63" s="2">
        <v>26</v>
      </c>
      <c r="D63" s="369" t="s">
        <v>625</v>
      </c>
      <c r="E63" s="2" t="s">
        <v>489</v>
      </c>
      <c r="F63" s="2">
        <v>1200</v>
      </c>
      <c r="G63" s="2">
        <f t="shared" si="12"/>
        <v>2400</v>
      </c>
      <c r="H63" s="2">
        <v>1590</v>
      </c>
      <c r="I63" s="58">
        <f t="shared" si="30"/>
        <v>1908000</v>
      </c>
      <c r="J63" s="2">
        <v>190</v>
      </c>
      <c r="K63" s="2">
        <v>1272</v>
      </c>
      <c r="L63" s="59">
        <f t="shared" si="13"/>
        <v>0.75471698113207553</v>
      </c>
      <c r="M63" s="59">
        <f t="shared" si="14"/>
        <v>1.5094339622641511</v>
      </c>
      <c r="N63" s="282">
        <f t="shared" si="20"/>
        <v>204900</v>
      </c>
      <c r="O63" s="58">
        <f t="shared" si="31"/>
        <v>302100</v>
      </c>
      <c r="P63" s="59">
        <f t="shared" si="21"/>
        <v>0.67825223435948356</v>
      </c>
      <c r="Q63" s="59"/>
      <c r="R63" s="2">
        <v>12.4</v>
      </c>
      <c r="S63" s="287">
        <f t="shared" si="22"/>
        <v>18.282284040995609</v>
      </c>
      <c r="T63" s="60">
        <v>23.4</v>
      </c>
      <c r="U63" s="293">
        <v>3</v>
      </c>
      <c r="V63" s="293">
        <v>10</v>
      </c>
      <c r="W63" s="389"/>
      <c r="X63" s="389"/>
      <c r="Y63" s="2">
        <v>0</v>
      </c>
      <c r="Z63" s="289">
        <v>0</v>
      </c>
      <c r="AA63" s="2">
        <v>0</v>
      </c>
      <c r="AB63" s="293">
        <f t="shared" si="32"/>
        <v>0</v>
      </c>
      <c r="AC63" s="2">
        <v>0</v>
      </c>
      <c r="AD63" s="2">
        <v>0</v>
      </c>
      <c r="AE63" s="2">
        <v>0</v>
      </c>
      <c r="AF63" s="58">
        <f t="shared" si="28"/>
        <v>226.20000000000005</v>
      </c>
      <c r="AG63" s="282">
        <f t="shared" si="29"/>
        <v>226.20000000000005</v>
      </c>
      <c r="AH63" s="58">
        <f t="shared" si="23"/>
        <v>9.9210526315789485E-4</v>
      </c>
      <c r="AI63" s="2">
        <v>560</v>
      </c>
      <c r="AJ63" s="58">
        <f t="shared" si="33"/>
        <v>0.55557894736842117</v>
      </c>
      <c r="AK63" s="272">
        <v>37.700000000000003</v>
      </c>
      <c r="AL63" s="286">
        <v>200</v>
      </c>
      <c r="AM63" s="2">
        <v>628</v>
      </c>
      <c r="AN63" s="59">
        <f t="shared" si="24"/>
        <v>2.0787818603111554</v>
      </c>
      <c r="AO63" s="59">
        <f t="shared" si="25"/>
        <v>3.0649097120546607</v>
      </c>
      <c r="AP63" s="272">
        <v>362.3</v>
      </c>
      <c r="AQ63" s="59">
        <f t="shared" si="26"/>
        <v>1.1992717643164514</v>
      </c>
      <c r="AR63" s="59">
        <f t="shared" si="27"/>
        <v>1.7681795998047829</v>
      </c>
    </row>
    <row r="64" spans="1:44" x14ac:dyDescent="0.25">
      <c r="A64" s="2">
        <v>56</v>
      </c>
      <c r="B64" s="2" t="s">
        <v>13</v>
      </c>
      <c r="C64" s="2">
        <v>27</v>
      </c>
      <c r="D64" s="369" t="s">
        <v>625</v>
      </c>
      <c r="E64" s="2" t="s">
        <v>489</v>
      </c>
      <c r="F64" s="2">
        <v>1200</v>
      </c>
      <c r="G64" s="2">
        <f t="shared" si="12"/>
        <v>2400</v>
      </c>
      <c r="H64" s="2">
        <v>1590</v>
      </c>
      <c r="I64" s="58">
        <f t="shared" si="30"/>
        <v>1908000</v>
      </c>
      <c r="J64" s="2">
        <v>190</v>
      </c>
      <c r="K64" s="2">
        <v>1272</v>
      </c>
      <c r="L64" s="59">
        <f t="shared" si="13"/>
        <v>0.75471698113207553</v>
      </c>
      <c r="M64" s="59">
        <f t="shared" si="14"/>
        <v>1.5094339622641511</v>
      </c>
      <c r="N64" s="282">
        <f t="shared" si="20"/>
        <v>204900</v>
      </c>
      <c r="O64" s="58">
        <f t="shared" si="31"/>
        <v>302100</v>
      </c>
      <c r="P64" s="59">
        <f t="shared" si="21"/>
        <v>0.67825223435948356</v>
      </c>
      <c r="Q64" s="59"/>
      <c r="R64" s="2">
        <v>12.4</v>
      </c>
      <c r="S64" s="287">
        <f t="shared" si="22"/>
        <v>18.282284040995609</v>
      </c>
      <c r="T64" s="60">
        <v>23.4</v>
      </c>
      <c r="U64" s="293">
        <v>3</v>
      </c>
      <c r="V64" s="293">
        <v>10</v>
      </c>
      <c r="W64" s="389"/>
      <c r="X64" s="389"/>
      <c r="Y64" s="2">
        <v>0</v>
      </c>
      <c r="Z64" s="289">
        <v>0</v>
      </c>
      <c r="AA64" s="2">
        <v>0</v>
      </c>
      <c r="AB64" s="293">
        <f t="shared" si="32"/>
        <v>0</v>
      </c>
      <c r="AC64" s="2">
        <v>0</v>
      </c>
      <c r="AD64" s="2">
        <v>0</v>
      </c>
      <c r="AE64" s="2">
        <v>0</v>
      </c>
      <c r="AF64" s="58">
        <f t="shared" si="28"/>
        <v>226.20000000000005</v>
      </c>
      <c r="AG64" s="282">
        <f t="shared" si="29"/>
        <v>226.20000000000005</v>
      </c>
      <c r="AH64" s="58">
        <f t="shared" si="23"/>
        <v>9.9210526315789485E-4</v>
      </c>
      <c r="AI64" s="2">
        <v>560</v>
      </c>
      <c r="AJ64" s="58">
        <f t="shared" si="33"/>
        <v>0.55557894736842117</v>
      </c>
      <c r="AK64" s="272">
        <v>37.700000000000003</v>
      </c>
      <c r="AL64" s="286">
        <v>200</v>
      </c>
      <c r="AM64" s="2">
        <v>628</v>
      </c>
      <c r="AN64" s="59">
        <f t="shared" si="24"/>
        <v>2.0787818603111554</v>
      </c>
      <c r="AO64" s="59">
        <f t="shared" si="25"/>
        <v>3.0649097120546607</v>
      </c>
      <c r="AP64" s="272">
        <v>325</v>
      </c>
      <c r="AQ64" s="59">
        <f t="shared" si="26"/>
        <v>1.0758027143330022</v>
      </c>
      <c r="AR64" s="59">
        <f t="shared" si="27"/>
        <v>1.5861395802830649</v>
      </c>
    </row>
    <row r="65" spans="1:44" x14ac:dyDescent="0.25">
      <c r="A65" s="2">
        <v>57</v>
      </c>
      <c r="B65" s="2" t="s">
        <v>13</v>
      </c>
      <c r="C65" s="2">
        <v>28</v>
      </c>
      <c r="D65" s="369" t="s">
        <v>625</v>
      </c>
      <c r="E65" s="2" t="s">
        <v>489</v>
      </c>
      <c r="F65" s="2">
        <v>1200</v>
      </c>
      <c r="G65" s="2">
        <f t="shared" si="12"/>
        <v>2400</v>
      </c>
      <c r="H65" s="2">
        <v>1590</v>
      </c>
      <c r="I65" s="58">
        <f t="shared" si="30"/>
        <v>1908000</v>
      </c>
      <c r="J65" s="2">
        <v>190</v>
      </c>
      <c r="K65" s="2">
        <v>1272</v>
      </c>
      <c r="L65" s="59">
        <f t="shared" si="13"/>
        <v>0.75471698113207553</v>
      </c>
      <c r="M65" s="59">
        <f t="shared" si="14"/>
        <v>1.5094339622641511</v>
      </c>
      <c r="N65" s="282">
        <f t="shared" si="20"/>
        <v>204900</v>
      </c>
      <c r="O65" s="58">
        <f t="shared" si="31"/>
        <v>302100</v>
      </c>
      <c r="P65" s="59">
        <f t="shared" si="21"/>
        <v>0.67825223435948356</v>
      </c>
      <c r="Q65" s="59"/>
      <c r="R65" s="2">
        <v>12.4</v>
      </c>
      <c r="S65" s="287">
        <f t="shared" si="22"/>
        <v>18.282284040995609</v>
      </c>
      <c r="T65" s="60">
        <v>23.4</v>
      </c>
      <c r="U65" s="293">
        <v>3</v>
      </c>
      <c r="V65" s="293">
        <v>10</v>
      </c>
      <c r="W65" s="389"/>
      <c r="X65" s="389"/>
      <c r="Y65" s="2">
        <v>0</v>
      </c>
      <c r="Z65" s="289">
        <v>0</v>
      </c>
      <c r="AA65" s="2">
        <v>0</v>
      </c>
      <c r="AB65" s="293">
        <f t="shared" si="32"/>
        <v>0</v>
      </c>
      <c r="AC65" s="2">
        <v>0</v>
      </c>
      <c r="AD65" s="2">
        <v>0</v>
      </c>
      <c r="AE65" s="2">
        <v>0</v>
      </c>
      <c r="AF65" s="58">
        <f t="shared" si="28"/>
        <v>0</v>
      </c>
      <c r="AG65" s="282">
        <f t="shared" si="29"/>
        <v>0</v>
      </c>
      <c r="AH65" s="58">
        <f t="shared" si="23"/>
        <v>0</v>
      </c>
      <c r="AI65" s="2">
        <v>0</v>
      </c>
      <c r="AJ65" s="58">
        <f t="shared" si="33"/>
        <v>0</v>
      </c>
      <c r="AK65" s="272">
        <v>0</v>
      </c>
      <c r="AL65" s="2">
        <v>0</v>
      </c>
      <c r="AM65" s="2">
        <v>628</v>
      </c>
      <c r="AN65" s="59">
        <f t="shared" si="24"/>
        <v>2.0787818603111554</v>
      </c>
      <c r="AO65" s="59">
        <f t="shared" si="25"/>
        <v>3.0649097120546607</v>
      </c>
      <c r="AP65" s="272">
        <v>338.4</v>
      </c>
      <c r="AQ65" s="59">
        <f t="shared" si="26"/>
        <v>1.1201588877855013</v>
      </c>
      <c r="AR65" s="59">
        <f t="shared" si="27"/>
        <v>1.6515373352855052</v>
      </c>
    </row>
    <row r="66" spans="1:44" x14ac:dyDescent="0.25">
      <c r="A66" s="2">
        <v>58</v>
      </c>
      <c r="B66" s="2" t="s">
        <v>13</v>
      </c>
      <c r="C66" s="2">
        <v>29</v>
      </c>
      <c r="D66" s="369" t="s">
        <v>625</v>
      </c>
      <c r="E66" s="2" t="s">
        <v>489</v>
      </c>
      <c r="F66" s="2">
        <v>1200</v>
      </c>
      <c r="G66" s="2">
        <f t="shared" si="12"/>
        <v>2400</v>
      </c>
      <c r="H66" s="2">
        <v>1590</v>
      </c>
      <c r="I66" s="58">
        <f t="shared" si="30"/>
        <v>1908000</v>
      </c>
      <c r="J66" s="2">
        <v>190</v>
      </c>
      <c r="K66" s="2">
        <v>1272</v>
      </c>
      <c r="L66" s="59">
        <f t="shared" si="13"/>
        <v>0.75471698113207553</v>
      </c>
      <c r="M66" s="59">
        <f t="shared" si="14"/>
        <v>1.5094339622641511</v>
      </c>
      <c r="N66" s="282">
        <f t="shared" si="20"/>
        <v>204900</v>
      </c>
      <c r="O66" s="58">
        <f t="shared" si="31"/>
        <v>302100</v>
      </c>
      <c r="P66" s="59">
        <f t="shared" si="21"/>
        <v>0.67825223435948356</v>
      </c>
      <c r="Q66" s="59"/>
      <c r="R66" s="2">
        <v>12.4</v>
      </c>
      <c r="S66" s="287">
        <f t="shared" si="22"/>
        <v>18.282284040995609</v>
      </c>
      <c r="T66" s="60">
        <v>23.4</v>
      </c>
      <c r="U66" s="293">
        <v>3</v>
      </c>
      <c r="V66" s="293">
        <v>10</v>
      </c>
      <c r="W66" s="389"/>
      <c r="X66" s="389"/>
      <c r="Y66" s="2">
        <v>0</v>
      </c>
      <c r="Z66" s="289">
        <v>0</v>
      </c>
      <c r="AA66" s="2">
        <v>0</v>
      </c>
      <c r="AB66" s="293">
        <f t="shared" si="32"/>
        <v>0</v>
      </c>
      <c r="AC66" s="2">
        <v>0</v>
      </c>
      <c r="AD66" s="2">
        <v>0</v>
      </c>
      <c r="AE66" s="2">
        <v>0</v>
      </c>
      <c r="AF66" s="58">
        <f t="shared" si="28"/>
        <v>0</v>
      </c>
      <c r="AG66" s="282">
        <f t="shared" si="29"/>
        <v>0</v>
      </c>
      <c r="AH66" s="58">
        <f t="shared" si="23"/>
        <v>0</v>
      </c>
      <c r="AI66" s="2">
        <v>0</v>
      </c>
      <c r="AJ66" s="58">
        <f t="shared" si="33"/>
        <v>0</v>
      </c>
      <c r="AK66" s="272">
        <v>0</v>
      </c>
      <c r="AL66" s="2">
        <v>0</v>
      </c>
      <c r="AM66" s="2">
        <v>628</v>
      </c>
      <c r="AN66" s="59">
        <f t="shared" si="24"/>
        <v>2.0787818603111554</v>
      </c>
      <c r="AO66" s="59">
        <f t="shared" si="25"/>
        <v>3.0649097120546607</v>
      </c>
      <c r="AP66" s="272">
        <v>356</v>
      </c>
      <c r="AQ66" s="59">
        <f t="shared" si="26"/>
        <v>1.1784177424693811</v>
      </c>
      <c r="AR66" s="59">
        <f t="shared" si="27"/>
        <v>1.7374328940946804</v>
      </c>
    </row>
    <row r="67" spans="1:44" x14ac:dyDescent="0.25">
      <c r="A67" s="2">
        <v>59</v>
      </c>
      <c r="B67" s="2" t="s">
        <v>13</v>
      </c>
      <c r="C67" s="2">
        <v>30</v>
      </c>
      <c r="D67" s="369" t="s">
        <v>625</v>
      </c>
      <c r="E67" s="2" t="s">
        <v>489</v>
      </c>
      <c r="F67" s="2">
        <v>1200</v>
      </c>
      <c r="G67" s="2">
        <f t="shared" si="12"/>
        <v>2400</v>
      </c>
      <c r="H67" s="2">
        <v>1590</v>
      </c>
      <c r="I67" s="58">
        <f t="shared" si="30"/>
        <v>1908000</v>
      </c>
      <c r="J67" s="2">
        <v>190</v>
      </c>
      <c r="K67" s="2">
        <v>1272</v>
      </c>
      <c r="L67" s="59">
        <f t="shared" si="13"/>
        <v>0.75471698113207553</v>
      </c>
      <c r="M67" s="59">
        <f t="shared" si="14"/>
        <v>1.5094339622641511</v>
      </c>
      <c r="N67" s="282">
        <f t="shared" si="20"/>
        <v>204900</v>
      </c>
      <c r="O67" s="58">
        <f t="shared" si="31"/>
        <v>302100</v>
      </c>
      <c r="P67" s="59">
        <f t="shared" si="21"/>
        <v>0.67825223435948356</v>
      </c>
      <c r="Q67" s="59"/>
      <c r="R67" s="2">
        <v>12.4</v>
      </c>
      <c r="S67" s="287">
        <f t="shared" si="22"/>
        <v>18.282284040995609</v>
      </c>
      <c r="T67" s="60">
        <v>23.4</v>
      </c>
      <c r="U67" s="293">
        <v>3</v>
      </c>
      <c r="V67" s="293">
        <v>10</v>
      </c>
      <c r="W67" s="389"/>
      <c r="X67" s="389"/>
      <c r="Y67" s="2">
        <v>0</v>
      </c>
      <c r="Z67" s="289">
        <v>0</v>
      </c>
      <c r="AA67" s="2">
        <v>0</v>
      </c>
      <c r="AB67" s="293">
        <f t="shared" si="32"/>
        <v>0</v>
      </c>
      <c r="AC67" s="2">
        <v>0</v>
      </c>
      <c r="AD67" s="2">
        <v>0</v>
      </c>
      <c r="AE67" s="2">
        <v>0</v>
      </c>
      <c r="AF67" s="58">
        <f t="shared" si="28"/>
        <v>0</v>
      </c>
      <c r="AG67" s="282">
        <f t="shared" si="29"/>
        <v>0</v>
      </c>
      <c r="AH67" s="58">
        <f t="shared" si="23"/>
        <v>0</v>
      </c>
      <c r="AI67" s="2">
        <v>0</v>
      </c>
      <c r="AJ67" s="58">
        <f t="shared" si="33"/>
        <v>0</v>
      </c>
      <c r="AK67" s="272">
        <v>0</v>
      </c>
      <c r="AL67" s="2">
        <v>0</v>
      </c>
      <c r="AM67" s="2">
        <v>628</v>
      </c>
      <c r="AN67" s="59">
        <f t="shared" si="24"/>
        <v>2.0787818603111554</v>
      </c>
      <c r="AO67" s="59">
        <f t="shared" si="25"/>
        <v>3.0649097120546607</v>
      </c>
      <c r="AP67" s="272">
        <v>373.9</v>
      </c>
      <c r="AQ67" s="59">
        <f t="shared" si="26"/>
        <v>1.2376696458126448</v>
      </c>
      <c r="AR67" s="59">
        <f t="shared" si="27"/>
        <v>1.8247925817471935</v>
      </c>
    </row>
    <row r="68" spans="1:44" x14ac:dyDescent="0.25">
      <c r="A68" s="2">
        <v>60</v>
      </c>
      <c r="B68" s="2" t="s">
        <v>13</v>
      </c>
      <c r="C68" s="2">
        <v>31</v>
      </c>
      <c r="D68" s="369" t="s">
        <v>625</v>
      </c>
      <c r="E68" s="2" t="s">
        <v>489</v>
      </c>
      <c r="F68" s="2">
        <v>1200</v>
      </c>
      <c r="G68" s="2">
        <f t="shared" si="12"/>
        <v>2400</v>
      </c>
      <c r="H68" s="2">
        <v>1590</v>
      </c>
      <c r="I68" s="58">
        <f t="shared" si="30"/>
        <v>1908000</v>
      </c>
      <c r="J68" s="2">
        <v>190</v>
      </c>
      <c r="K68" s="2">
        <v>1272</v>
      </c>
      <c r="L68" s="59">
        <f t="shared" si="13"/>
        <v>0.75471698113207553</v>
      </c>
      <c r="M68" s="59">
        <f t="shared" si="14"/>
        <v>1.5094339622641511</v>
      </c>
      <c r="N68" s="282">
        <f t="shared" si="20"/>
        <v>204900</v>
      </c>
      <c r="O68" s="58">
        <f t="shared" si="31"/>
        <v>302100</v>
      </c>
      <c r="P68" s="59">
        <f t="shared" si="21"/>
        <v>0.67825223435948356</v>
      </c>
      <c r="Q68" s="59"/>
      <c r="R68" s="2">
        <v>12.4</v>
      </c>
      <c r="S68" s="287">
        <f t="shared" si="22"/>
        <v>18.282284040995609</v>
      </c>
      <c r="T68" s="60">
        <v>23.4</v>
      </c>
      <c r="U68" s="293">
        <v>3</v>
      </c>
      <c r="V68" s="293">
        <v>10</v>
      </c>
      <c r="W68" s="389"/>
      <c r="X68" s="389"/>
      <c r="Y68" s="2">
        <v>0</v>
      </c>
      <c r="Z68" s="289">
        <v>0</v>
      </c>
      <c r="AA68" s="2">
        <v>0</v>
      </c>
      <c r="AB68" s="293">
        <f t="shared" si="32"/>
        <v>0</v>
      </c>
      <c r="AC68" s="2">
        <v>0</v>
      </c>
      <c r="AD68" s="2">
        <v>0</v>
      </c>
      <c r="AE68" s="2">
        <v>0</v>
      </c>
      <c r="AF68" s="58">
        <f t="shared" si="28"/>
        <v>226.20000000000005</v>
      </c>
      <c r="AG68" s="282">
        <f t="shared" si="29"/>
        <v>226.20000000000005</v>
      </c>
      <c r="AH68" s="58">
        <f t="shared" si="23"/>
        <v>9.9210526315789485E-4</v>
      </c>
      <c r="AI68" s="2">
        <v>560</v>
      </c>
      <c r="AJ68" s="58">
        <f t="shared" si="33"/>
        <v>0.55557894736842117</v>
      </c>
      <c r="AK68" s="272">
        <v>37.700000000000003</v>
      </c>
      <c r="AL68" s="2">
        <v>200</v>
      </c>
      <c r="AM68" s="2">
        <v>628</v>
      </c>
      <c r="AN68" s="59">
        <f t="shared" si="24"/>
        <v>2.0787818603111554</v>
      </c>
      <c r="AO68" s="59">
        <f t="shared" si="25"/>
        <v>3.0649097120546607</v>
      </c>
      <c r="AP68" s="272">
        <v>360.4</v>
      </c>
      <c r="AQ68" s="59">
        <f t="shared" si="26"/>
        <v>1.1929824561403508</v>
      </c>
      <c r="AR68" s="59">
        <f t="shared" si="27"/>
        <v>1.7589067837969741</v>
      </c>
    </row>
    <row r="69" spans="1:44" x14ac:dyDescent="0.25">
      <c r="A69" s="2">
        <v>61</v>
      </c>
      <c r="B69" s="2" t="s">
        <v>13</v>
      </c>
      <c r="C69" s="2">
        <v>32</v>
      </c>
      <c r="D69" s="369" t="s">
        <v>625</v>
      </c>
      <c r="E69" s="2" t="s">
        <v>489</v>
      </c>
      <c r="F69" s="2">
        <v>1200</v>
      </c>
      <c r="G69" s="2">
        <f t="shared" si="12"/>
        <v>2400</v>
      </c>
      <c r="H69" s="2">
        <v>1590</v>
      </c>
      <c r="I69" s="58">
        <f t="shared" si="30"/>
        <v>1908000</v>
      </c>
      <c r="J69" s="2">
        <v>190</v>
      </c>
      <c r="K69" s="2">
        <v>1272</v>
      </c>
      <c r="L69" s="59">
        <f t="shared" si="13"/>
        <v>0.75471698113207553</v>
      </c>
      <c r="M69" s="59">
        <f t="shared" si="14"/>
        <v>1.5094339622641511</v>
      </c>
      <c r="N69" s="282">
        <f t="shared" si="20"/>
        <v>204900</v>
      </c>
      <c r="O69" s="58">
        <f t="shared" si="31"/>
        <v>302100</v>
      </c>
      <c r="P69" s="59">
        <f t="shared" si="21"/>
        <v>0.67825223435948356</v>
      </c>
      <c r="Q69" s="59"/>
      <c r="R69" s="2">
        <v>12.4</v>
      </c>
      <c r="S69" s="287">
        <f t="shared" si="22"/>
        <v>18.282284040995609</v>
      </c>
      <c r="T69" s="60">
        <v>23.4</v>
      </c>
      <c r="U69" s="293">
        <v>3</v>
      </c>
      <c r="V69" s="293">
        <v>10</v>
      </c>
      <c r="W69" s="389"/>
      <c r="X69" s="389"/>
      <c r="Y69" s="2">
        <v>0</v>
      </c>
      <c r="Z69" s="289">
        <v>0</v>
      </c>
      <c r="AA69" s="2">
        <v>0</v>
      </c>
      <c r="AB69" s="293">
        <f t="shared" si="32"/>
        <v>0</v>
      </c>
      <c r="AC69" s="2">
        <v>0</v>
      </c>
      <c r="AD69" s="2">
        <v>0</v>
      </c>
      <c r="AE69" s="2">
        <v>0</v>
      </c>
      <c r="AF69" s="58">
        <f t="shared" si="28"/>
        <v>226.20000000000005</v>
      </c>
      <c r="AG69" s="282">
        <f t="shared" si="29"/>
        <v>226.20000000000005</v>
      </c>
      <c r="AH69" s="58">
        <f t="shared" si="23"/>
        <v>9.9210526315789485E-4</v>
      </c>
      <c r="AI69" s="2">
        <v>560</v>
      </c>
      <c r="AJ69" s="58">
        <f t="shared" si="33"/>
        <v>0.55557894736842117</v>
      </c>
      <c r="AK69" s="272">
        <v>37.700000000000003</v>
      </c>
      <c r="AL69" s="2">
        <v>200</v>
      </c>
      <c r="AM69" s="2">
        <v>628</v>
      </c>
      <c r="AN69" s="59">
        <f t="shared" si="24"/>
        <v>2.0787818603111554</v>
      </c>
      <c r="AO69" s="59">
        <f t="shared" si="25"/>
        <v>3.0649097120546607</v>
      </c>
      <c r="AP69" s="272">
        <v>349.7</v>
      </c>
      <c r="AQ69" s="59">
        <f t="shared" si="26"/>
        <v>1.1575637206223104</v>
      </c>
      <c r="AR69" s="59">
        <f t="shared" si="27"/>
        <v>1.7066861883845776</v>
      </c>
    </row>
    <row r="70" spans="1:44" x14ac:dyDescent="0.25">
      <c r="A70" s="2">
        <v>62</v>
      </c>
      <c r="B70" s="2" t="s">
        <v>13</v>
      </c>
      <c r="C70" s="2">
        <v>33</v>
      </c>
      <c r="D70" s="369" t="s">
        <v>625</v>
      </c>
      <c r="E70" s="2" t="s">
        <v>489</v>
      </c>
      <c r="F70" s="2">
        <v>1200</v>
      </c>
      <c r="G70" s="2">
        <f t="shared" si="12"/>
        <v>2400</v>
      </c>
      <c r="H70" s="2">
        <v>1590</v>
      </c>
      <c r="I70" s="58">
        <f t="shared" si="30"/>
        <v>1908000</v>
      </c>
      <c r="J70" s="2">
        <v>190</v>
      </c>
      <c r="K70" s="2">
        <v>1272</v>
      </c>
      <c r="L70" s="59">
        <f t="shared" si="13"/>
        <v>0.75471698113207553</v>
      </c>
      <c r="M70" s="59">
        <f t="shared" si="14"/>
        <v>1.5094339622641511</v>
      </c>
      <c r="N70" s="282">
        <f t="shared" ref="N70:N103" si="34">(4*390/2*J70)+(H70-4*390/2)*(35)*2</f>
        <v>204900</v>
      </c>
      <c r="O70" s="58">
        <f t="shared" si="31"/>
        <v>302100</v>
      </c>
      <c r="P70" s="59">
        <f t="shared" ref="P70:P101" si="35">N70/O70</f>
        <v>0.67825223435948356</v>
      </c>
      <c r="Q70" s="59"/>
      <c r="R70" s="2">
        <v>12.4</v>
      </c>
      <c r="S70" s="287">
        <f t="shared" si="22"/>
        <v>18.282284040995609</v>
      </c>
      <c r="T70" s="60">
        <v>23.4</v>
      </c>
      <c r="U70" s="293">
        <v>3</v>
      </c>
      <c r="V70" s="293">
        <v>10</v>
      </c>
      <c r="W70" s="389"/>
      <c r="X70" s="389"/>
      <c r="Y70" s="2">
        <v>0</v>
      </c>
      <c r="Z70" s="289">
        <v>0</v>
      </c>
      <c r="AA70" s="2">
        <v>0</v>
      </c>
      <c r="AB70" s="293">
        <f t="shared" si="32"/>
        <v>0</v>
      </c>
      <c r="AC70" s="2">
        <v>0</v>
      </c>
      <c r="AD70" s="2">
        <v>0</v>
      </c>
      <c r="AE70" s="2">
        <v>0</v>
      </c>
      <c r="AF70" s="58">
        <f t="shared" si="28"/>
        <v>226.20000000000005</v>
      </c>
      <c r="AG70" s="282">
        <f t="shared" si="29"/>
        <v>226.20000000000005</v>
      </c>
      <c r="AH70" s="58">
        <f t="shared" ref="AH70:AH103" si="36">IF(AK70=0,0,AK70/(AL70*J70))</f>
        <v>9.9210526315789485E-4</v>
      </c>
      <c r="AI70" s="2">
        <v>560</v>
      </c>
      <c r="AJ70" s="58">
        <f t="shared" si="33"/>
        <v>0.55557894736842117</v>
      </c>
      <c r="AK70" s="272">
        <v>37.700000000000003</v>
      </c>
      <c r="AL70" s="2">
        <v>200</v>
      </c>
      <c r="AM70" s="2">
        <v>628</v>
      </c>
      <c r="AN70" s="59">
        <f t="shared" ref="AN70:AN101" si="37">AM70/O70*1000</f>
        <v>2.0787818603111554</v>
      </c>
      <c r="AO70" s="59">
        <f t="shared" ref="AO70:AO101" si="38">AM70/N70*1000</f>
        <v>3.0649097120546607</v>
      </c>
      <c r="AP70" s="272">
        <v>377.8</v>
      </c>
      <c r="AQ70" s="59">
        <f t="shared" ref="AQ70:AQ101" si="39">AP70/(J70*H70)*1000</f>
        <v>1.2505792783846408</v>
      </c>
      <c r="AR70" s="59">
        <f t="shared" ref="AR70:AR101" si="40">AP70/N70*1000</f>
        <v>1.8438262567105905</v>
      </c>
    </row>
    <row r="71" spans="1:44" x14ac:dyDescent="0.25">
      <c r="A71" s="2">
        <v>63</v>
      </c>
      <c r="B71" s="2" t="s">
        <v>13</v>
      </c>
      <c r="C71" s="2">
        <v>34</v>
      </c>
      <c r="D71" s="369" t="s">
        <v>625</v>
      </c>
      <c r="E71" s="2" t="s">
        <v>489</v>
      </c>
      <c r="F71" s="2">
        <v>1200</v>
      </c>
      <c r="G71" s="2">
        <f t="shared" si="12"/>
        <v>2400</v>
      </c>
      <c r="H71" s="2">
        <v>1590</v>
      </c>
      <c r="I71" s="58">
        <f t="shared" si="30"/>
        <v>1908000</v>
      </c>
      <c r="J71" s="2">
        <v>190</v>
      </c>
      <c r="K71" s="2">
        <v>1272</v>
      </c>
      <c r="L71" s="59">
        <f t="shared" si="13"/>
        <v>0.75471698113207553</v>
      </c>
      <c r="M71" s="59">
        <f t="shared" si="14"/>
        <v>1.5094339622641511</v>
      </c>
      <c r="N71" s="282">
        <f t="shared" si="34"/>
        <v>204900</v>
      </c>
      <c r="O71" s="58">
        <f t="shared" si="31"/>
        <v>302100</v>
      </c>
      <c r="P71" s="59">
        <f t="shared" si="35"/>
        <v>0.67825223435948356</v>
      </c>
      <c r="Q71" s="59"/>
      <c r="R71" s="2">
        <v>16.2</v>
      </c>
      <c r="S71" s="287">
        <f t="shared" si="22"/>
        <v>23.884919472913616</v>
      </c>
      <c r="T71" s="60">
        <v>23.4</v>
      </c>
      <c r="U71" s="293">
        <v>3</v>
      </c>
      <c r="V71" s="293">
        <v>10</v>
      </c>
      <c r="W71" s="389"/>
      <c r="X71" s="389"/>
      <c r="Y71" s="2">
        <v>0</v>
      </c>
      <c r="Z71" s="289">
        <v>0</v>
      </c>
      <c r="AA71" s="2">
        <v>0</v>
      </c>
      <c r="AB71" s="293">
        <f t="shared" si="32"/>
        <v>0</v>
      </c>
      <c r="AC71" s="2">
        <v>0</v>
      </c>
      <c r="AD71" s="2">
        <v>0</v>
      </c>
      <c r="AE71" s="2">
        <v>0</v>
      </c>
      <c r="AF71" s="58">
        <f t="shared" si="28"/>
        <v>0</v>
      </c>
      <c r="AG71" s="282">
        <f t="shared" si="29"/>
        <v>0</v>
      </c>
      <c r="AH71" s="58">
        <f t="shared" si="36"/>
        <v>0</v>
      </c>
      <c r="AI71" s="2">
        <v>0</v>
      </c>
      <c r="AJ71" s="58">
        <f t="shared" si="33"/>
        <v>0</v>
      </c>
      <c r="AK71" s="272">
        <v>0</v>
      </c>
      <c r="AL71" s="2">
        <v>0</v>
      </c>
      <c r="AM71" s="2">
        <v>353</v>
      </c>
      <c r="AN71" s="59">
        <f t="shared" si="37"/>
        <v>1.1684872558755379</v>
      </c>
      <c r="AO71" s="59">
        <f t="shared" si="38"/>
        <v>1.7227916056612982</v>
      </c>
      <c r="AP71" s="272">
        <v>186.4</v>
      </c>
      <c r="AQ71" s="59">
        <f t="shared" si="39"/>
        <v>0.61701423369745123</v>
      </c>
      <c r="AR71" s="59">
        <f t="shared" si="40"/>
        <v>0.90971205466081018</v>
      </c>
    </row>
    <row r="72" spans="1:44" x14ac:dyDescent="0.25">
      <c r="A72" s="2">
        <v>64</v>
      </c>
      <c r="B72" s="2" t="s">
        <v>13</v>
      </c>
      <c r="C72" s="2">
        <v>35</v>
      </c>
      <c r="D72" s="369" t="s">
        <v>625</v>
      </c>
      <c r="E72" s="2" t="s">
        <v>489</v>
      </c>
      <c r="F72" s="2">
        <v>1200</v>
      </c>
      <c r="G72" s="2">
        <f t="shared" si="12"/>
        <v>2400</v>
      </c>
      <c r="H72" s="2">
        <v>1590</v>
      </c>
      <c r="I72" s="58">
        <f t="shared" si="30"/>
        <v>1908000</v>
      </c>
      <c r="J72" s="2">
        <v>190</v>
      </c>
      <c r="K72" s="2">
        <v>1272</v>
      </c>
      <c r="L72" s="59">
        <f t="shared" si="13"/>
        <v>0.75471698113207553</v>
      </c>
      <c r="M72" s="59">
        <f t="shared" si="14"/>
        <v>1.5094339622641511</v>
      </c>
      <c r="N72" s="282">
        <f t="shared" si="34"/>
        <v>204900</v>
      </c>
      <c r="O72" s="58">
        <f t="shared" si="31"/>
        <v>302100</v>
      </c>
      <c r="P72" s="59">
        <f t="shared" si="35"/>
        <v>0.67825223435948356</v>
      </c>
      <c r="Q72" s="59"/>
      <c r="R72" s="2">
        <v>16.2</v>
      </c>
      <c r="S72" s="287">
        <f t="shared" si="22"/>
        <v>23.884919472913616</v>
      </c>
      <c r="T72" s="60">
        <v>23.4</v>
      </c>
      <c r="U72" s="293">
        <v>3</v>
      </c>
      <c r="V72" s="293">
        <v>10</v>
      </c>
      <c r="W72" s="389"/>
      <c r="X72" s="389"/>
      <c r="Y72" s="2">
        <v>0</v>
      </c>
      <c r="Z72" s="289">
        <v>0</v>
      </c>
      <c r="AA72" s="2">
        <v>0</v>
      </c>
      <c r="AB72" s="293">
        <f t="shared" si="32"/>
        <v>0</v>
      </c>
      <c r="AC72" s="2">
        <v>0</v>
      </c>
      <c r="AD72" s="2">
        <v>0</v>
      </c>
      <c r="AE72" s="2">
        <v>0</v>
      </c>
      <c r="AF72" s="58">
        <f t="shared" si="28"/>
        <v>0</v>
      </c>
      <c r="AG72" s="282">
        <f t="shared" si="29"/>
        <v>0</v>
      </c>
      <c r="AH72" s="58">
        <f t="shared" si="36"/>
        <v>0</v>
      </c>
      <c r="AI72" s="2">
        <v>0</v>
      </c>
      <c r="AJ72" s="58">
        <f t="shared" si="33"/>
        <v>0</v>
      </c>
      <c r="AK72" s="272">
        <v>0</v>
      </c>
      <c r="AL72" s="2">
        <v>0</v>
      </c>
      <c r="AM72" s="2">
        <v>353</v>
      </c>
      <c r="AN72" s="59">
        <f t="shared" si="37"/>
        <v>1.1684872558755379</v>
      </c>
      <c r="AO72" s="59">
        <f t="shared" si="38"/>
        <v>1.7227916056612982</v>
      </c>
      <c r="AP72" s="272">
        <v>199.8</v>
      </c>
      <c r="AQ72" s="59">
        <f t="shared" si="39"/>
        <v>0.66137040714995032</v>
      </c>
      <c r="AR72" s="59">
        <f t="shared" si="40"/>
        <v>0.97510980966325045</v>
      </c>
    </row>
    <row r="73" spans="1:44" x14ac:dyDescent="0.25">
      <c r="A73" s="2">
        <v>65</v>
      </c>
      <c r="B73" s="2" t="s">
        <v>13</v>
      </c>
      <c r="C73" s="2">
        <v>36</v>
      </c>
      <c r="D73" s="369" t="s">
        <v>625</v>
      </c>
      <c r="E73" s="2" t="s">
        <v>489</v>
      </c>
      <c r="F73" s="2">
        <v>1200</v>
      </c>
      <c r="G73" s="2">
        <f t="shared" si="12"/>
        <v>2400</v>
      </c>
      <c r="H73" s="2">
        <v>1590</v>
      </c>
      <c r="I73" s="58">
        <f t="shared" ref="I73:I104" si="41">H73*F73</f>
        <v>1908000</v>
      </c>
      <c r="J73" s="2">
        <v>190</v>
      </c>
      <c r="K73" s="2">
        <v>1272</v>
      </c>
      <c r="L73" s="59">
        <f t="shared" si="13"/>
        <v>0.75471698113207553</v>
      </c>
      <c r="M73" s="59">
        <f t="shared" si="14"/>
        <v>1.5094339622641511</v>
      </c>
      <c r="N73" s="282">
        <f t="shared" si="34"/>
        <v>204900</v>
      </c>
      <c r="O73" s="58">
        <f t="shared" ref="O73:O104" si="42">J73*H73</f>
        <v>302100</v>
      </c>
      <c r="P73" s="59">
        <f t="shared" si="35"/>
        <v>0.67825223435948356</v>
      </c>
      <c r="Q73" s="59"/>
      <c r="R73" s="2">
        <v>16.2</v>
      </c>
      <c r="S73" s="287">
        <f t="shared" si="22"/>
        <v>23.884919472913616</v>
      </c>
      <c r="T73" s="60">
        <v>23.4</v>
      </c>
      <c r="U73" s="293">
        <v>3</v>
      </c>
      <c r="V73" s="293">
        <v>10</v>
      </c>
      <c r="W73" s="389"/>
      <c r="X73" s="389"/>
      <c r="Y73" s="2">
        <v>0</v>
      </c>
      <c r="Z73" s="289">
        <v>0</v>
      </c>
      <c r="AA73" s="2">
        <v>0</v>
      </c>
      <c r="AB73" s="293">
        <f t="shared" ref="AB73:AB104" si="43">Z73*AA73</f>
        <v>0</v>
      </c>
      <c r="AC73" s="2">
        <v>0</v>
      </c>
      <c r="AD73" s="2">
        <v>0</v>
      </c>
      <c r="AE73" s="2">
        <v>0</v>
      </c>
      <c r="AF73" s="58">
        <f t="shared" si="28"/>
        <v>0</v>
      </c>
      <c r="AG73" s="282">
        <f t="shared" si="29"/>
        <v>0</v>
      </c>
      <c r="AH73" s="58">
        <f t="shared" si="36"/>
        <v>0</v>
      </c>
      <c r="AI73" s="2">
        <v>0</v>
      </c>
      <c r="AJ73" s="58">
        <f t="shared" ref="AJ73:AJ104" si="44">AH73*AI73</f>
        <v>0</v>
      </c>
      <c r="AK73" s="272">
        <v>0</v>
      </c>
      <c r="AL73" s="2">
        <v>0</v>
      </c>
      <c r="AM73" s="2">
        <v>353</v>
      </c>
      <c r="AN73" s="59">
        <f t="shared" si="37"/>
        <v>1.1684872558755379</v>
      </c>
      <c r="AO73" s="59">
        <f t="shared" si="38"/>
        <v>1.7227916056612982</v>
      </c>
      <c r="AP73" s="272">
        <v>215.5</v>
      </c>
      <c r="AQ73" s="59">
        <f t="shared" si="39"/>
        <v>0.71333995365772918</v>
      </c>
      <c r="AR73" s="59">
        <f t="shared" si="40"/>
        <v>1.0517325524646168</v>
      </c>
    </row>
    <row r="74" spans="1:44" x14ac:dyDescent="0.25">
      <c r="A74" s="2">
        <v>66</v>
      </c>
      <c r="B74" s="2" t="s">
        <v>13</v>
      </c>
      <c r="C74" s="2">
        <v>37</v>
      </c>
      <c r="D74" s="369" t="s">
        <v>625</v>
      </c>
      <c r="E74" s="2" t="s">
        <v>489</v>
      </c>
      <c r="F74" s="2">
        <v>1200</v>
      </c>
      <c r="G74" s="2">
        <f t="shared" ref="G74:G137" si="45">IF(E74="Cantilever",2*F74,1*F74)</f>
        <v>2400</v>
      </c>
      <c r="H74" s="2">
        <v>1590</v>
      </c>
      <c r="I74" s="58">
        <f t="shared" si="41"/>
        <v>1908000</v>
      </c>
      <c r="J74" s="2">
        <v>190</v>
      </c>
      <c r="K74" s="2">
        <v>1272</v>
      </c>
      <c r="L74" s="59">
        <f t="shared" ref="L74:L137" si="46">F74/H74</f>
        <v>0.75471698113207553</v>
      </c>
      <c r="M74" s="59">
        <f t="shared" ref="M74:M137" si="47">G74/H74</f>
        <v>1.5094339622641511</v>
      </c>
      <c r="N74" s="282">
        <f t="shared" si="34"/>
        <v>204900</v>
      </c>
      <c r="O74" s="58">
        <f t="shared" si="42"/>
        <v>302100</v>
      </c>
      <c r="P74" s="59">
        <f t="shared" si="35"/>
        <v>0.67825223435948356</v>
      </c>
      <c r="Q74" s="59"/>
      <c r="R74" s="2">
        <v>12.4</v>
      </c>
      <c r="S74" s="287">
        <f t="shared" si="22"/>
        <v>18.282284040995609</v>
      </c>
      <c r="T74" s="60">
        <v>23.4</v>
      </c>
      <c r="U74" s="293">
        <v>3</v>
      </c>
      <c r="V74" s="293">
        <v>10</v>
      </c>
      <c r="W74" s="389"/>
      <c r="X74" s="389"/>
      <c r="Y74" s="2">
        <v>0</v>
      </c>
      <c r="Z74" s="289">
        <v>0</v>
      </c>
      <c r="AA74" s="2">
        <v>0</v>
      </c>
      <c r="AB74" s="293">
        <f t="shared" si="43"/>
        <v>0</v>
      </c>
      <c r="AC74" s="2">
        <v>0</v>
      </c>
      <c r="AD74" s="2">
        <v>0</v>
      </c>
      <c r="AE74" s="2">
        <v>0</v>
      </c>
      <c r="AF74" s="58">
        <f t="shared" si="28"/>
        <v>0</v>
      </c>
      <c r="AG74" s="282">
        <f t="shared" si="29"/>
        <v>0</v>
      </c>
      <c r="AH74" s="58">
        <f t="shared" si="36"/>
        <v>0</v>
      </c>
      <c r="AI74" s="2">
        <v>0</v>
      </c>
      <c r="AJ74" s="58">
        <f t="shared" si="44"/>
        <v>0</v>
      </c>
      <c r="AK74" s="272">
        <v>0</v>
      </c>
      <c r="AL74" s="2">
        <v>0</v>
      </c>
      <c r="AM74" s="2">
        <v>839</v>
      </c>
      <c r="AN74" s="59">
        <f t="shared" si="37"/>
        <v>2.7772260840781198</v>
      </c>
      <c r="AO74" s="59">
        <f t="shared" si="38"/>
        <v>4.0946803318692044</v>
      </c>
      <c r="AP74" s="272">
        <v>459.5</v>
      </c>
      <c r="AQ74" s="59">
        <f t="shared" si="39"/>
        <v>1.5210195299569678</v>
      </c>
      <c r="AR74" s="59">
        <f t="shared" si="40"/>
        <v>2.2425573450463641</v>
      </c>
    </row>
    <row r="75" spans="1:44" x14ac:dyDescent="0.25">
      <c r="A75" s="2">
        <v>67</v>
      </c>
      <c r="B75" s="2" t="s">
        <v>13</v>
      </c>
      <c r="C75" s="2">
        <v>38</v>
      </c>
      <c r="D75" s="369" t="s">
        <v>625</v>
      </c>
      <c r="E75" s="2" t="s">
        <v>489</v>
      </c>
      <c r="F75" s="2">
        <v>1200</v>
      </c>
      <c r="G75" s="2">
        <f t="shared" si="45"/>
        <v>2400</v>
      </c>
      <c r="H75" s="2">
        <v>1590</v>
      </c>
      <c r="I75" s="58">
        <f t="shared" si="41"/>
        <v>1908000</v>
      </c>
      <c r="J75" s="2">
        <v>190</v>
      </c>
      <c r="K75" s="2">
        <v>1272</v>
      </c>
      <c r="L75" s="59">
        <f t="shared" si="46"/>
        <v>0.75471698113207553</v>
      </c>
      <c r="M75" s="59">
        <f t="shared" si="47"/>
        <v>1.5094339622641511</v>
      </c>
      <c r="N75" s="282">
        <f t="shared" si="34"/>
        <v>204900</v>
      </c>
      <c r="O75" s="58">
        <f t="shared" si="42"/>
        <v>302100</v>
      </c>
      <c r="P75" s="59">
        <f t="shared" si="35"/>
        <v>0.67825223435948356</v>
      </c>
      <c r="Q75" s="59"/>
      <c r="R75" s="2">
        <v>12.4</v>
      </c>
      <c r="S75" s="287">
        <f t="shared" si="22"/>
        <v>18.282284040995609</v>
      </c>
      <c r="T75" s="60">
        <v>23.4</v>
      </c>
      <c r="U75" s="293">
        <v>3</v>
      </c>
      <c r="V75" s="293">
        <v>10</v>
      </c>
      <c r="W75" s="389"/>
      <c r="X75" s="389"/>
      <c r="Y75" s="2">
        <v>0</v>
      </c>
      <c r="Z75" s="289">
        <v>0</v>
      </c>
      <c r="AA75" s="2">
        <v>0</v>
      </c>
      <c r="AB75" s="293">
        <f t="shared" si="43"/>
        <v>0</v>
      </c>
      <c r="AC75" s="2">
        <v>0</v>
      </c>
      <c r="AD75" s="2">
        <v>0</v>
      </c>
      <c r="AE75" s="2">
        <v>0</v>
      </c>
      <c r="AF75" s="58">
        <f t="shared" si="28"/>
        <v>0</v>
      </c>
      <c r="AG75" s="282">
        <f t="shared" si="29"/>
        <v>0</v>
      </c>
      <c r="AH75" s="58">
        <f t="shared" si="36"/>
        <v>0</v>
      </c>
      <c r="AI75" s="2">
        <v>0</v>
      </c>
      <c r="AJ75" s="58">
        <f t="shared" si="44"/>
        <v>0</v>
      </c>
      <c r="AK75" s="272">
        <v>0</v>
      </c>
      <c r="AL75" s="2">
        <v>0</v>
      </c>
      <c r="AM75" s="2">
        <v>839</v>
      </c>
      <c r="AN75" s="59">
        <f t="shared" si="37"/>
        <v>2.7772260840781198</v>
      </c>
      <c r="AO75" s="59">
        <f t="shared" si="38"/>
        <v>4.0946803318692044</v>
      </c>
      <c r="AP75" s="272">
        <v>403.5</v>
      </c>
      <c r="AQ75" s="59">
        <f t="shared" si="39"/>
        <v>1.3356504468718968</v>
      </c>
      <c r="AR75" s="59">
        <f t="shared" si="40"/>
        <v>1.9692532942898975</v>
      </c>
    </row>
    <row r="76" spans="1:44" x14ac:dyDescent="0.25">
      <c r="A76" s="2">
        <v>68</v>
      </c>
      <c r="B76" s="2" t="s">
        <v>13</v>
      </c>
      <c r="C76" s="2">
        <v>39</v>
      </c>
      <c r="D76" s="369" t="s">
        <v>625</v>
      </c>
      <c r="E76" s="2" t="s">
        <v>489</v>
      </c>
      <c r="F76" s="2">
        <v>1200</v>
      </c>
      <c r="G76" s="2">
        <f t="shared" si="45"/>
        <v>2400</v>
      </c>
      <c r="H76" s="2">
        <v>1590</v>
      </c>
      <c r="I76" s="58">
        <f t="shared" si="41"/>
        <v>1908000</v>
      </c>
      <c r="J76" s="2">
        <v>190</v>
      </c>
      <c r="K76" s="2">
        <v>1272</v>
      </c>
      <c r="L76" s="59">
        <f t="shared" si="46"/>
        <v>0.75471698113207553</v>
      </c>
      <c r="M76" s="59">
        <f t="shared" si="47"/>
        <v>1.5094339622641511</v>
      </c>
      <c r="N76" s="282">
        <f t="shared" si="34"/>
        <v>204900</v>
      </c>
      <c r="O76" s="58">
        <f t="shared" si="42"/>
        <v>302100</v>
      </c>
      <c r="P76" s="59">
        <f t="shared" si="35"/>
        <v>0.67825223435948356</v>
      </c>
      <c r="Q76" s="59"/>
      <c r="R76" s="2">
        <v>12.4</v>
      </c>
      <c r="S76" s="287">
        <f t="shared" si="22"/>
        <v>18.282284040995609</v>
      </c>
      <c r="T76" s="60">
        <v>23.4</v>
      </c>
      <c r="U76" s="293">
        <v>3</v>
      </c>
      <c r="V76" s="293">
        <v>10</v>
      </c>
      <c r="W76" s="389"/>
      <c r="X76" s="389"/>
      <c r="Y76" s="2">
        <v>0</v>
      </c>
      <c r="Z76" s="289">
        <v>0</v>
      </c>
      <c r="AA76" s="2">
        <v>0</v>
      </c>
      <c r="AB76" s="293">
        <f t="shared" si="43"/>
        <v>0</v>
      </c>
      <c r="AC76" s="2">
        <v>0</v>
      </c>
      <c r="AD76" s="2">
        <v>0</v>
      </c>
      <c r="AE76" s="2">
        <v>0</v>
      </c>
      <c r="AF76" s="58">
        <f t="shared" si="28"/>
        <v>0</v>
      </c>
      <c r="AG76" s="282">
        <f t="shared" si="29"/>
        <v>0</v>
      </c>
      <c r="AH76" s="58">
        <f t="shared" si="36"/>
        <v>0</v>
      </c>
      <c r="AI76" s="2">
        <v>0</v>
      </c>
      <c r="AJ76" s="58">
        <f t="shared" si="44"/>
        <v>0</v>
      </c>
      <c r="AK76" s="272">
        <v>0</v>
      </c>
      <c r="AL76" s="2">
        <v>0</v>
      </c>
      <c r="AM76" s="2">
        <v>839</v>
      </c>
      <c r="AN76" s="59">
        <f t="shared" si="37"/>
        <v>2.7772260840781198</v>
      </c>
      <c r="AO76" s="59">
        <f t="shared" si="38"/>
        <v>4.0946803318692044</v>
      </c>
      <c r="AP76" s="272">
        <v>433.6</v>
      </c>
      <c r="AQ76" s="59">
        <f t="shared" si="39"/>
        <v>1.4352863290301225</v>
      </c>
      <c r="AR76" s="59">
        <f t="shared" si="40"/>
        <v>2.1161542215714984</v>
      </c>
    </row>
    <row r="77" spans="1:44" x14ac:dyDescent="0.25">
      <c r="A77" s="2">
        <v>69</v>
      </c>
      <c r="B77" s="2" t="s">
        <v>13</v>
      </c>
      <c r="C77" s="2">
        <v>40</v>
      </c>
      <c r="D77" s="369" t="s">
        <v>625</v>
      </c>
      <c r="E77" s="2" t="s">
        <v>489</v>
      </c>
      <c r="F77" s="2">
        <v>1200</v>
      </c>
      <c r="G77" s="2">
        <f t="shared" si="45"/>
        <v>2400</v>
      </c>
      <c r="H77" s="2">
        <v>1590</v>
      </c>
      <c r="I77" s="58">
        <f t="shared" si="41"/>
        <v>1908000</v>
      </c>
      <c r="J77" s="2">
        <v>190</v>
      </c>
      <c r="K77" s="2">
        <v>1272</v>
      </c>
      <c r="L77" s="59">
        <f t="shared" si="46"/>
        <v>0.75471698113207553</v>
      </c>
      <c r="M77" s="59">
        <f t="shared" si="47"/>
        <v>1.5094339622641511</v>
      </c>
      <c r="N77" s="282">
        <f t="shared" si="34"/>
        <v>204900</v>
      </c>
      <c r="O77" s="58">
        <f t="shared" si="42"/>
        <v>302100</v>
      </c>
      <c r="P77" s="59">
        <f t="shared" si="35"/>
        <v>0.67825223435948356</v>
      </c>
      <c r="Q77" s="59"/>
      <c r="R77" s="2">
        <v>12.4</v>
      </c>
      <c r="S77" s="287">
        <f t="shared" si="22"/>
        <v>18.282284040995609</v>
      </c>
      <c r="T77" s="60">
        <v>23.4</v>
      </c>
      <c r="U77" s="293">
        <v>3</v>
      </c>
      <c r="V77" s="293">
        <v>10</v>
      </c>
      <c r="W77" s="389"/>
      <c r="X77" s="389"/>
      <c r="Y77" s="2">
        <v>0</v>
      </c>
      <c r="Z77" s="289">
        <v>0</v>
      </c>
      <c r="AA77" s="2">
        <v>0</v>
      </c>
      <c r="AB77" s="293">
        <f t="shared" si="43"/>
        <v>0</v>
      </c>
      <c r="AC77" s="2">
        <v>0</v>
      </c>
      <c r="AD77" s="2">
        <v>0</v>
      </c>
      <c r="AE77" s="2">
        <v>0</v>
      </c>
      <c r="AF77" s="58">
        <f t="shared" si="28"/>
        <v>128.99999999999997</v>
      </c>
      <c r="AG77" s="282">
        <f t="shared" si="29"/>
        <v>128.99999999999997</v>
      </c>
      <c r="AH77" s="58">
        <f t="shared" si="36"/>
        <v>5.6578947368421048E-4</v>
      </c>
      <c r="AI77" s="2">
        <v>530</v>
      </c>
      <c r="AJ77" s="58">
        <f t="shared" si="44"/>
        <v>0.29986842105263156</v>
      </c>
      <c r="AK77" s="272">
        <v>21.5</v>
      </c>
      <c r="AL77" s="2">
        <v>200</v>
      </c>
      <c r="AM77" s="2">
        <v>839</v>
      </c>
      <c r="AN77" s="59">
        <f t="shared" si="37"/>
        <v>2.7772260840781198</v>
      </c>
      <c r="AO77" s="59">
        <f t="shared" si="38"/>
        <v>4.0946803318692044</v>
      </c>
      <c r="AP77" s="272">
        <v>414.6</v>
      </c>
      <c r="AQ77" s="59">
        <f t="shared" si="39"/>
        <v>1.3723932472691163</v>
      </c>
      <c r="AR77" s="59">
        <f t="shared" si="40"/>
        <v>2.0234260614934114</v>
      </c>
    </row>
    <row r="78" spans="1:44" x14ac:dyDescent="0.25">
      <c r="A78" s="2">
        <v>70</v>
      </c>
      <c r="B78" s="2" t="s">
        <v>13</v>
      </c>
      <c r="C78" s="2">
        <v>41</v>
      </c>
      <c r="D78" s="369" t="s">
        <v>625</v>
      </c>
      <c r="E78" s="2" t="s">
        <v>489</v>
      </c>
      <c r="F78" s="2">
        <v>1200</v>
      </c>
      <c r="G78" s="2">
        <f t="shared" si="45"/>
        <v>2400</v>
      </c>
      <c r="H78" s="2">
        <v>1590</v>
      </c>
      <c r="I78" s="58">
        <f t="shared" si="41"/>
        <v>1908000</v>
      </c>
      <c r="J78" s="2">
        <v>190</v>
      </c>
      <c r="K78" s="2">
        <v>1272</v>
      </c>
      <c r="L78" s="59">
        <f t="shared" si="46"/>
        <v>0.75471698113207553</v>
      </c>
      <c r="M78" s="59">
        <f t="shared" si="47"/>
        <v>1.5094339622641511</v>
      </c>
      <c r="N78" s="282">
        <f t="shared" si="34"/>
        <v>204900</v>
      </c>
      <c r="O78" s="58">
        <f t="shared" si="42"/>
        <v>302100</v>
      </c>
      <c r="P78" s="59">
        <f t="shared" si="35"/>
        <v>0.67825223435948356</v>
      </c>
      <c r="Q78" s="59"/>
      <c r="R78" s="2">
        <v>12.4</v>
      </c>
      <c r="S78" s="287">
        <f t="shared" si="22"/>
        <v>18.282284040995609</v>
      </c>
      <c r="T78" s="60">
        <v>23.4</v>
      </c>
      <c r="U78" s="293">
        <v>3</v>
      </c>
      <c r="V78" s="293">
        <v>10</v>
      </c>
      <c r="W78" s="389"/>
      <c r="X78" s="389"/>
      <c r="Y78" s="2">
        <v>0</v>
      </c>
      <c r="Z78" s="289">
        <v>0</v>
      </c>
      <c r="AA78" s="2">
        <v>0</v>
      </c>
      <c r="AB78" s="293">
        <f t="shared" si="43"/>
        <v>0</v>
      </c>
      <c r="AC78" s="2">
        <v>0</v>
      </c>
      <c r="AD78" s="2">
        <v>0</v>
      </c>
      <c r="AE78" s="2">
        <v>0</v>
      </c>
      <c r="AF78" s="58">
        <f t="shared" si="28"/>
        <v>128.99999999999997</v>
      </c>
      <c r="AG78" s="282">
        <f t="shared" si="29"/>
        <v>128.99999999999997</v>
      </c>
      <c r="AH78" s="58">
        <f t="shared" si="36"/>
        <v>5.6578947368421048E-4</v>
      </c>
      <c r="AI78" s="2">
        <v>530</v>
      </c>
      <c r="AJ78" s="58">
        <f t="shared" si="44"/>
        <v>0.29986842105263156</v>
      </c>
      <c r="AK78" s="272">
        <v>21.5</v>
      </c>
      <c r="AL78" s="2">
        <v>200</v>
      </c>
      <c r="AM78" s="2">
        <v>839</v>
      </c>
      <c r="AN78" s="59">
        <f t="shared" si="37"/>
        <v>2.7772260840781198</v>
      </c>
      <c r="AO78" s="59">
        <f t="shared" si="38"/>
        <v>4.0946803318692044</v>
      </c>
      <c r="AP78" s="272">
        <v>393.8</v>
      </c>
      <c r="AQ78" s="59">
        <f t="shared" si="39"/>
        <v>1.3035418735518041</v>
      </c>
      <c r="AR78" s="59">
        <f t="shared" si="40"/>
        <v>1.9219131283552953</v>
      </c>
    </row>
    <row r="79" spans="1:44" x14ac:dyDescent="0.25">
      <c r="A79" s="2">
        <v>71</v>
      </c>
      <c r="B79" s="2" t="s">
        <v>13</v>
      </c>
      <c r="C79" s="2">
        <v>42</v>
      </c>
      <c r="D79" s="369" t="s">
        <v>625</v>
      </c>
      <c r="E79" s="2" t="s">
        <v>489</v>
      </c>
      <c r="F79" s="2">
        <v>1200</v>
      </c>
      <c r="G79" s="2">
        <f t="shared" si="45"/>
        <v>2400</v>
      </c>
      <c r="H79" s="2">
        <v>1590</v>
      </c>
      <c r="I79" s="58">
        <f t="shared" si="41"/>
        <v>1908000</v>
      </c>
      <c r="J79" s="2">
        <v>190</v>
      </c>
      <c r="K79" s="2">
        <v>1272</v>
      </c>
      <c r="L79" s="59">
        <f t="shared" si="46"/>
        <v>0.75471698113207553</v>
      </c>
      <c r="M79" s="59">
        <f t="shared" si="47"/>
        <v>1.5094339622641511</v>
      </c>
      <c r="N79" s="282">
        <f t="shared" si="34"/>
        <v>204900</v>
      </c>
      <c r="O79" s="58">
        <f t="shared" si="42"/>
        <v>302100</v>
      </c>
      <c r="P79" s="59">
        <f t="shared" si="35"/>
        <v>0.67825223435948356</v>
      </c>
      <c r="Q79" s="59"/>
      <c r="R79" s="2">
        <v>12.4</v>
      </c>
      <c r="S79" s="287">
        <f t="shared" si="22"/>
        <v>18.282284040995609</v>
      </c>
      <c r="T79" s="60">
        <v>23.4</v>
      </c>
      <c r="U79" s="293">
        <v>3</v>
      </c>
      <c r="V79" s="293">
        <v>10</v>
      </c>
      <c r="W79" s="389"/>
      <c r="X79" s="389"/>
      <c r="Y79" s="2">
        <v>0</v>
      </c>
      <c r="Z79" s="289">
        <v>0</v>
      </c>
      <c r="AA79" s="2">
        <v>0</v>
      </c>
      <c r="AB79" s="293">
        <f t="shared" si="43"/>
        <v>0</v>
      </c>
      <c r="AC79" s="2">
        <v>0</v>
      </c>
      <c r="AD79" s="2">
        <v>0</v>
      </c>
      <c r="AE79" s="2">
        <v>0</v>
      </c>
      <c r="AF79" s="58">
        <f t="shared" si="28"/>
        <v>128.99999999999997</v>
      </c>
      <c r="AG79" s="282">
        <f t="shared" si="29"/>
        <v>128.99999999999997</v>
      </c>
      <c r="AH79" s="58">
        <f t="shared" si="36"/>
        <v>5.6578947368421048E-4</v>
      </c>
      <c r="AI79" s="2">
        <v>530</v>
      </c>
      <c r="AJ79" s="58">
        <f t="shared" si="44"/>
        <v>0.29986842105263156</v>
      </c>
      <c r="AK79" s="272">
        <v>21.5</v>
      </c>
      <c r="AL79" s="2">
        <v>200</v>
      </c>
      <c r="AM79" s="2">
        <v>839</v>
      </c>
      <c r="AN79" s="59">
        <f t="shared" si="37"/>
        <v>2.7772260840781198</v>
      </c>
      <c r="AO79" s="59">
        <f t="shared" si="38"/>
        <v>4.0946803318692044</v>
      </c>
      <c r="AP79" s="272">
        <v>402</v>
      </c>
      <c r="AQ79" s="59">
        <f t="shared" si="39"/>
        <v>1.330685203574975</v>
      </c>
      <c r="AR79" s="59">
        <f t="shared" si="40"/>
        <v>1.9619326500732066</v>
      </c>
    </row>
    <row r="80" spans="1:44" x14ac:dyDescent="0.25">
      <c r="A80" s="2">
        <v>72</v>
      </c>
      <c r="B80" s="2" t="s">
        <v>13</v>
      </c>
      <c r="C80" s="2">
        <v>43</v>
      </c>
      <c r="D80" s="369" t="s">
        <v>625</v>
      </c>
      <c r="E80" s="2" t="s">
        <v>489</v>
      </c>
      <c r="F80" s="2">
        <v>1200</v>
      </c>
      <c r="G80" s="2">
        <f t="shared" si="45"/>
        <v>2400</v>
      </c>
      <c r="H80" s="2">
        <v>1590</v>
      </c>
      <c r="I80" s="58">
        <f t="shared" si="41"/>
        <v>1908000</v>
      </c>
      <c r="J80" s="2">
        <v>190</v>
      </c>
      <c r="K80" s="2">
        <v>1272</v>
      </c>
      <c r="L80" s="59">
        <f t="shared" si="46"/>
        <v>0.75471698113207553</v>
      </c>
      <c r="M80" s="59">
        <f t="shared" si="47"/>
        <v>1.5094339622641511</v>
      </c>
      <c r="N80" s="282">
        <f t="shared" si="34"/>
        <v>204900</v>
      </c>
      <c r="O80" s="58">
        <f t="shared" si="42"/>
        <v>302100</v>
      </c>
      <c r="P80" s="59">
        <f t="shared" si="35"/>
        <v>0.67825223435948356</v>
      </c>
      <c r="Q80" s="59"/>
      <c r="R80" s="2">
        <v>12.4</v>
      </c>
      <c r="S80" s="287">
        <f t="shared" si="22"/>
        <v>18.282284040995609</v>
      </c>
      <c r="T80" s="60">
        <v>23.4</v>
      </c>
      <c r="U80" s="293">
        <v>3</v>
      </c>
      <c r="V80" s="293">
        <v>10</v>
      </c>
      <c r="W80" s="389"/>
      <c r="X80" s="389"/>
      <c r="Y80" s="2">
        <v>0</v>
      </c>
      <c r="Z80" s="289">
        <v>0</v>
      </c>
      <c r="AA80" s="2">
        <v>0</v>
      </c>
      <c r="AB80" s="293">
        <f t="shared" si="43"/>
        <v>0</v>
      </c>
      <c r="AC80" s="2">
        <v>0</v>
      </c>
      <c r="AD80" s="2">
        <v>0</v>
      </c>
      <c r="AE80" s="2">
        <v>0</v>
      </c>
      <c r="AF80" s="58">
        <f t="shared" si="28"/>
        <v>226.20000000000005</v>
      </c>
      <c r="AG80" s="282">
        <f t="shared" si="29"/>
        <v>226.20000000000005</v>
      </c>
      <c r="AH80" s="58">
        <f t="shared" si="36"/>
        <v>9.9210526315789485E-4</v>
      </c>
      <c r="AI80" s="2">
        <v>560</v>
      </c>
      <c r="AJ80" s="58">
        <f t="shared" si="44"/>
        <v>0.55557894736842117</v>
      </c>
      <c r="AK80" s="272">
        <v>37.700000000000003</v>
      </c>
      <c r="AL80" s="2">
        <v>200</v>
      </c>
      <c r="AM80" s="2">
        <v>839</v>
      </c>
      <c r="AN80" s="59">
        <f t="shared" si="37"/>
        <v>2.7772260840781198</v>
      </c>
      <c r="AO80" s="59">
        <f t="shared" si="38"/>
        <v>4.0946803318692044</v>
      </c>
      <c r="AP80" s="272">
        <v>437</v>
      </c>
      <c r="AQ80" s="59">
        <f t="shared" si="39"/>
        <v>1.4465408805031446</v>
      </c>
      <c r="AR80" s="59">
        <f t="shared" si="40"/>
        <v>2.1327476817959981</v>
      </c>
    </row>
    <row r="81" spans="1:44" x14ac:dyDescent="0.25">
      <c r="A81" s="2">
        <v>73</v>
      </c>
      <c r="B81" s="2" t="s">
        <v>13</v>
      </c>
      <c r="C81" s="2">
        <v>44</v>
      </c>
      <c r="D81" s="369" t="s">
        <v>625</v>
      </c>
      <c r="E81" s="2" t="s">
        <v>489</v>
      </c>
      <c r="F81" s="2">
        <v>1200</v>
      </c>
      <c r="G81" s="2">
        <f t="shared" si="45"/>
        <v>2400</v>
      </c>
      <c r="H81" s="2">
        <v>1590</v>
      </c>
      <c r="I81" s="58">
        <f t="shared" si="41"/>
        <v>1908000</v>
      </c>
      <c r="J81" s="2">
        <v>190</v>
      </c>
      <c r="K81" s="2">
        <v>1272</v>
      </c>
      <c r="L81" s="59">
        <f t="shared" si="46"/>
        <v>0.75471698113207553</v>
      </c>
      <c r="M81" s="59">
        <f t="shared" si="47"/>
        <v>1.5094339622641511</v>
      </c>
      <c r="N81" s="282">
        <f t="shared" si="34"/>
        <v>204900</v>
      </c>
      <c r="O81" s="58">
        <f t="shared" si="42"/>
        <v>302100</v>
      </c>
      <c r="P81" s="59">
        <f t="shared" si="35"/>
        <v>0.67825223435948356</v>
      </c>
      <c r="Q81" s="59"/>
      <c r="R81" s="2">
        <v>12.4</v>
      </c>
      <c r="S81" s="287">
        <f t="shared" si="22"/>
        <v>18.282284040995609</v>
      </c>
      <c r="T81" s="60">
        <v>23.4</v>
      </c>
      <c r="U81" s="293">
        <v>3</v>
      </c>
      <c r="V81" s="293">
        <v>10</v>
      </c>
      <c r="W81" s="389"/>
      <c r="X81" s="389"/>
      <c r="Y81" s="2">
        <v>0</v>
      </c>
      <c r="Z81" s="289">
        <v>0</v>
      </c>
      <c r="AA81" s="2">
        <v>0</v>
      </c>
      <c r="AB81" s="293">
        <f t="shared" si="43"/>
        <v>0</v>
      </c>
      <c r="AC81" s="2">
        <v>0</v>
      </c>
      <c r="AD81" s="2">
        <v>0</v>
      </c>
      <c r="AE81" s="2">
        <v>0</v>
      </c>
      <c r="AF81" s="58">
        <f t="shared" si="28"/>
        <v>226.20000000000005</v>
      </c>
      <c r="AG81" s="282">
        <f t="shared" si="29"/>
        <v>226.20000000000005</v>
      </c>
      <c r="AH81" s="58">
        <f t="shared" si="36"/>
        <v>9.9210526315789485E-4</v>
      </c>
      <c r="AI81" s="2">
        <v>560</v>
      </c>
      <c r="AJ81" s="58">
        <f t="shared" si="44"/>
        <v>0.55557894736842117</v>
      </c>
      <c r="AK81" s="272">
        <v>37.700000000000003</v>
      </c>
      <c r="AL81" s="2">
        <v>200</v>
      </c>
      <c r="AM81" s="2">
        <v>839</v>
      </c>
      <c r="AN81" s="59">
        <f t="shared" si="37"/>
        <v>2.7772260840781198</v>
      </c>
      <c r="AO81" s="59">
        <f t="shared" si="38"/>
        <v>4.0946803318692044</v>
      </c>
      <c r="AP81" s="272">
        <v>393.3</v>
      </c>
      <c r="AQ81" s="59">
        <f t="shared" si="39"/>
        <v>1.3018867924528303</v>
      </c>
      <c r="AR81" s="59">
        <f t="shared" si="40"/>
        <v>1.9194729136163982</v>
      </c>
    </row>
    <row r="82" spans="1:44" x14ac:dyDescent="0.25">
      <c r="A82" s="2">
        <v>74</v>
      </c>
      <c r="B82" s="2" t="s">
        <v>13</v>
      </c>
      <c r="C82" s="2">
        <v>45</v>
      </c>
      <c r="D82" s="369" t="s">
        <v>625</v>
      </c>
      <c r="E82" s="2" t="s">
        <v>489</v>
      </c>
      <c r="F82" s="2">
        <v>1200</v>
      </c>
      <c r="G82" s="2">
        <f t="shared" si="45"/>
        <v>2400</v>
      </c>
      <c r="H82" s="2">
        <v>1590</v>
      </c>
      <c r="I82" s="58">
        <f t="shared" si="41"/>
        <v>1908000</v>
      </c>
      <c r="J82" s="2">
        <v>190</v>
      </c>
      <c r="K82" s="2">
        <v>1272</v>
      </c>
      <c r="L82" s="59">
        <f t="shared" si="46"/>
        <v>0.75471698113207553</v>
      </c>
      <c r="M82" s="59">
        <f t="shared" si="47"/>
        <v>1.5094339622641511</v>
      </c>
      <c r="N82" s="282">
        <f t="shared" si="34"/>
        <v>204900</v>
      </c>
      <c r="O82" s="58">
        <f t="shared" si="42"/>
        <v>302100</v>
      </c>
      <c r="P82" s="59">
        <f t="shared" si="35"/>
        <v>0.67825223435948356</v>
      </c>
      <c r="Q82" s="59"/>
      <c r="R82" s="2">
        <v>12.4</v>
      </c>
      <c r="S82" s="287">
        <f t="shared" si="22"/>
        <v>18.282284040995609</v>
      </c>
      <c r="T82" s="60">
        <v>23.4</v>
      </c>
      <c r="U82" s="293">
        <v>3</v>
      </c>
      <c r="V82" s="293">
        <v>10</v>
      </c>
      <c r="W82" s="389"/>
      <c r="X82" s="389"/>
      <c r="Y82" s="2">
        <v>0</v>
      </c>
      <c r="Z82" s="289">
        <v>0</v>
      </c>
      <c r="AA82" s="2">
        <v>0</v>
      </c>
      <c r="AB82" s="293">
        <f t="shared" si="43"/>
        <v>0</v>
      </c>
      <c r="AC82" s="2">
        <v>0</v>
      </c>
      <c r="AD82" s="2">
        <v>0</v>
      </c>
      <c r="AE82" s="2">
        <v>0</v>
      </c>
      <c r="AF82" s="58">
        <f t="shared" si="28"/>
        <v>226.20000000000005</v>
      </c>
      <c r="AG82" s="282">
        <f t="shared" si="29"/>
        <v>226.20000000000005</v>
      </c>
      <c r="AH82" s="58">
        <f t="shared" si="36"/>
        <v>9.9210526315789485E-4</v>
      </c>
      <c r="AI82" s="2">
        <v>560</v>
      </c>
      <c r="AJ82" s="58">
        <f t="shared" si="44"/>
        <v>0.55557894736842117</v>
      </c>
      <c r="AK82" s="272">
        <v>37.700000000000003</v>
      </c>
      <c r="AL82" s="2">
        <v>200</v>
      </c>
      <c r="AM82" s="2">
        <v>839</v>
      </c>
      <c r="AN82" s="59">
        <f t="shared" si="37"/>
        <v>2.7772260840781198</v>
      </c>
      <c r="AO82" s="59">
        <f t="shared" si="38"/>
        <v>4.0946803318692044</v>
      </c>
      <c r="AP82" s="272">
        <v>425.7</v>
      </c>
      <c r="AQ82" s="59">
        <f t="shared" si="39"/>
        <v>1.4091360476663355</v>
      </c>
      <c r="AR82" s="59">
        <f t="shared" si="40"/>
        <v>2.0775988286969254</v>
      </c>
    </row>
    <row r="83" spans="1:44" x14ac:dyDescent="0.25">
      <c r="A83" s="2">
        <v>75</v>
      </c>
      <c r="B83" s="2" t="s">
        <v>13</v>
      </c>
      <c r="C83" s="2">
        <v>46</v>
      </c>
      <c r="D83" s="369" t="s">
        <v>625</v>
      </c>
      <c r="E83" s="2" t="s">
        <v>489</v>
      </c>
      <c r="F83" s="2">
        <v>1200</v>
      </c>
      <c r="G83" s="2">
        <f t="shared" si="45"/>
        <v>2400</v>
      </c>
      <c r="H83" s="2">
        <v>1590</v>
      </c>
      <c r="I83" s="58">
        <f t="shared" si="41"/>
        <v>1908000</v>
      </c>
      <c r="J83" s="2">
        <v>190</v>
      </c>
      <c r="K83" s="2">
        <v>1272</v>
      </c>
      <c r="L83" s="59">
        <f t="shared" si="46"/>
        <v>0.75471698113207553</v>
      </c>
      <c r="M83" s="59">
        <f t="shared" si="47"/>
        <v>1.5094339622641511</v>
      </c>
      <c r="N83" s="282">
        <f t="shared" si="34"/>
        <v>204900</v>
      </c>
      <c r="O83" s="58">
        <f t="shared" si="42"/>
        <v>302100</v>
      </c>
      <c r="P83" s="59">
        <f t="shared" si="35"/>
        <v>0.67825223435948356</v>
      </c>
      <c r="Q83" s="59"/>
      <c r="R83" s="2">
        <v>12.4</v>
      </c>
      <c r="S83" s="287">
        <f t="shared" si="22"/>
        <v>18.282284040995609</v>
      </c>
      <c r="T83" s="60">
        <v>23.4</v>
      </c>
      <c r="U83" s="293">
        <v>3</v>
      </c>
      <c r="V83" s="293">
        <v>10</v>
      </c>
      <c r="W83" s="389"/>
      <c r="X83" s="389"/>
      <c r="Y83" s="2">
        <v>0</v>
      </c>
      <c r="Z83" s="289">
        <v>0</v>
      </c>
      <c r="AA83" s="2">
        <v>0</v>
      </c>
      <c r="AB83" s="293">
        <f t="shared" si="43"/>
        <v>0</v>
      </c>
      <c r="AC83" s="2">
        <v>0</v>
      </c>
      <c r="AD83" s="2">
        <v>0</v>
      </c>
      <c r="AE83" s="2">
        <v>0</v>
      </c>
      <c r="AF83" s="58">
        <f t="shared" si="28"/>
        <v>0</v>
      </c>
      <c r="AG83" s="282">
        <f t="shared" si="29"/>
        <v>0</v>
      </c>
      <c r="AH83" s="58">
        <f t="shared" si="36"/>
        <v>0</v>
      </c>
      <c r="AI83" s="2">
        <v>0</v>
      </c>
      <c r="AJ83" s="58">
        <f t="shared" si="44"/>
        <v>0</v>
      </c>
      <c r="AK83" s="272">
        <v>0</v>
      </c>
      <c r="AL83" s="2">
        <v>0</v>
      </c>
      <c r="AM83" s="2">
        <v>839</v>
      </c>
      <c r="AN83" s="59">
        <f t="shared" si="37"/>
        <v>2.7772260840781198</v>
      </c>
      <c r="AO83" s="59">
        <f t="shared" si="38"/>
        <v>4.0946803318692044</v>
      </c>
      <c r="AP83" s="272">
        <v>423.6</v>
      </c>
      <c r="AQ83" s="59">
        <f t="shared" si="39"/>
        <v>1.4021847070506457</v>
      </c>
      <c r="AR83" s="59">
        <f t="shared" si="40"/>
        <v>2.067349926793558</v>
      </c>
    </row>
    <row r="84" spans="1:44" x14ac:dyDescent="0.25">
      <c r="A84" s="2">
        <v>76</v>
      </c>
      <c r="B84" s="2" t="s">
        <v>13</v>
      </c>
      <c r="C84" s="2">
        <v>47</v>
      </c>
      <c r="D84" s="369" t="s">
        <v>625</v>
      </c>
      <c r="E84" s="2" t="s">
        <v>489</v>
      </c>
      <c r="F84" s="2">
        <v>1200</v>
      </c>
      <c r="G84" s="2">
        <f t="shared" si="45"/>
        <v>2400</v>
      </c>
      <c r="H84" s="2">
        <v>1590</v>
      </c>
      <c r="I84" s="58">
        <f t="shared" si="41"/>
        <v>1908000</v>
      </c>
      <c r="J84" s="2">
        <v>190</v>
      </c>
      <c r="K84" s="2">
        <v>1272</v>
      </c>
      <c r="L84" s="59">
        <f t="shared" si="46"/>
        <v>0.75471698113207553</v>
      </c>
      <c r="M84" s="59">
        <f t="shared" si="47"/>
        <v>1.5094339622641511</v>
      </c>
      <c r="N84" s="282">
        <f t="shared" si="34"/>
        <v>204900</v>
      </c>
      <c r="O84" s="58">
        <f t="shared" si="42"/>
        <v>302100</v>
      </c>
      <c r="P84" s="59">
        <f t="shared" si="35"/>
        <v>0.67825223435948356</v>
      </c>
      <c r="Q84" s="59"/>
      <c r="R84" s="2">
        <v>12.4</v>
      </c>
      <c r="S84" s="287">
        <f t="shared" si="22"/>
        <v>18.282284040995609</v>
      </c>
      <c r="T84" s="60">
        <v>23.4</v>
      </c>
      <c r="U84" s="293">
        <v>3</v>
      </c>
      <c r="V84" s="293">
        <v>10</v>
      </c>
      <c r="W84" s="389"/>
      <c r="X84" s="389"/>
      <c r="Y84" s="2">
        <v>0</v>
      </c>
      <c r="Z84" s="289">
        <v>0</v>
      </c>
      <c r="AA84" s="2">
        <v>0</v>
      </c>
      <c r="AB84" s="293">
        <f t="shared" si="43"/>
        <v>0</v>
      </c>
      <c r="AC84" s="2">
        <v>0</v>
      </c>
      <c r="AD84" s="2">
        <v>0</v>
      </c>
      <c r="AE84" s="2">
        <v>0</v>
      </c>
      <c r="AF84" s="58">
        <f t="shared" si="28"/>
        <v>0</v>
      </c>
      <c r="AG84" s="282">
        <f t="shared" si="29"/>
        <v>0</v>
      </c>
      <c r="AH84" s="58">
        <f t="shared" si="36"/>
        <v>0</v>
      </c>
      <c r="AI84" s="2">
        <v>0</v>
      </c>
      <c r="AJ84" s="58">
        <f t="shared" si="44"/>
        <v>0</v>
      </c>
      <c r="AK84" s="272">
        <v>0</v>
      </c>
      <c r="AL84" s="2">
        <v>0</v>
      </c>
      <c r="AM84" s="2">
        <v>839</v>
      </c>
      <c r="AN84" s="59">
        <f t="shared" si="37"/>
        <v>2.7772260840781198</v>
      </c>
      <c r="AO84" s="59">
        <f t="shared" si="38"/>
        <v>4.0946803318692044</v>
      </c>
      <c r="AP84" s="272">
        <v>400.9</v>
      </c>
      <c r="AQ84" s="59">
        <f t="shared" si="39"/>
        <v>1.3270440251572326</v>
      </c>
      <c r="AR84" s="59">
        <f t="shared" si="40"/>
        <v>1.9565641776476328</v>
      </c>
    </row>
    <row r="85" spans="1:44" x14ac:dyDescent="0.25">
      <c r="A85" s="2">
        <v>77</v>
      </c>
      <c r="B85" s="2" t="s">
        <v>13</v>
      </c>
      <c r="C85" s="2">
        <v>48</v>
      </c>
      <c r="D85" s="369" t="s">
        <v>625</v>
      </c>
      <c r="E85" s="2" t="s">
        <v>489</v>
      </c>
      <c r="F85" s="2">
        <v>1200</v>
      </c>
      <c r="G85" s="2">
        <f t="shared" si="45"/>
        <v>2400</v>
      </c>
      <c r="H85" s="2">
        <v>1590</v>
      </c>
      <c r="I85" s="58">
        <f t="shared" si="41"/>
        <v>1908000</v>
      </c>
      <c r="J85" s="2">
        <v>190</v>
      </c>
      <c r="K85" s="2">
        <v>1272</v>
      </c>
      <c r="L85" s="59">
        <f t="shared" si="46"/>
        <v>0.75471698113207553</v>
      </c>
      <c r="M85" s="59">
        <f t="shared" si="47"/>
        <v>1.5094339622641511</v>
      </c>
      <c r="N85" s="282">
        <f t="shared" si="34"/>
        <v>204900</v>
      </c>
      <c r="O85" s="58">
        <f t="shared" si="42"/>
        <v>302100</v>
      </c>
      <c r="P85" s="59">
        <f t="shared" si="35"/>
        <v>0.67825223435948356</v>
      </c>
      <c r="Q85" s="59"/>
      <c r="R85" s="2">
        <v>12.4</v>
      </c>
      <c r="S85" s="287">
        <f t="shared" si="22"/>
        <v>18.282284040995609</v>
      </c>
      <c r="T85" s="60">
        <v>23.4</v>
      </c>
      <c r="U85" s="293">
        <v>3</v>
      </c>
      <c r="V85" s="293">
        <v>10</v>
      </c>
      <c r="W85" s="389"/>
      <c r="X85" s="389"/>
      <c r="Y85" s="2">
        <v>0</v>
      </c>
      <c r="Z85" s="289">
        <v>0</v>
      </c>
      <c r="AA85" s="2">
        <v>0</v>
      </c>
      <c r="AB85" s="293">
        <f t="shared" si="43"/>
        <v>0</v>
      </c>
      <c r="AC85" s="2">
        <v>0</v>
      </c>
      <c r="AD85" s="2">
        <v>0</v>
      </c>
      <c r="AE85" s="2">
        <v>0</v>
      </c>
      <c r="AF85" s="58">
        <f t="shared" si="28"/>
        <v>0</v>
      </c>
      <c r="AG85" s="282">
        <f t="shared" si="29"/>
        <v>0</v>
      </c>
      <c r="AH85" s="58">
        <f t="shared" si="36"/>
        <v>0</v>
      </c>
      <c r="AI85" s="2">
        <v>0</v>
      </c>
      <c r="AJ85" s="58">
        <f t="shared" si="44"/>
        <v>0</v>
      </c>
      <c r="AK85" s="272">
        <v>0</v>
      </c>
      <c r="AL85" s="2">
        <v>0</v>
      </c>
      <c r="AM85" s="2">
        <v>839</v>
      </c>
      <c r="AN85" s="59">
        <f t="shared" si="37"/>
        <v>2.7772260840781198</v>
      </c>
      <c r="AO85" s="59">
        <f t="shared" si="38"/>
        <v>4.0946803318692044</v>
      </c>
      <c r="AP85" s="272">
        <v>405.9</v>
      </c>
      <c r="AQ85" s="59">
        <f t="shared" si="39"/>
        <v>1.3435948361469712</v>
      </c>
      <c r="AR85" s="59">
        <f t="shared" si="40"/>
        <v>1.980966325036603</v>
      </c>
    </row>
    <row r="86" spans="1:44" x14ac:dyDescent="0.25">
      <c r="A86" s="2">
        <v>78</v>
      </c>
      <c r="B86" s="2" t="s">
        <v>13</v>
      </c>
      <c r="C86" s="2">
        <v>49</v>
      </c>
      <c r="D86" s="369" t="s">
        <v>625</v>
      </c>
      <c r="E86" s="2" t="s">
        <v>489</v>
      </c>
      <c r="F86" s="2">
        <v>1200</v>
      </c>
      <c r="G86" s="2">
        <f t="shared" si="45"/>
        <v>2400</v>
      </c>
      <c r="H86" s="2">
        <v>1590</v>
      </c>
      <c r="I86" s="58">
        <f t="shared" si="41"/>
        <v>1908000</v>
      </c>
      <c r="J86" s="2">
        <v>190</v>
      </c>
      <c r="K86" s="2">
        <v>1272</v>
      </c>
      <c r="L86" s="59">
        <f t="shared" si="46"/>
        <v>0.75471698113207553</v>
      </c>
      <c r="M86" s="59">
        <f t="shared" si="47"/>
        <v>1.5094339622641511</v>
      </c>
      <c r="N86" s="282">
        <f t="shared" si="34"/>
        <v>204900</v>
      </c>
      <c r="O86" s="58">
        <f t="shared" si="42"/>
        <v>302100</v>
      </c>
      <c r="P86" s="59">
        <f t="shared" si="35"/>
        <v>0.67825223435948356</v>
      </c>
      <c r="Q86" s="59"/>
      <c r="R86" s="2">
        <v>12.4</v>
      </c>
      <c r="S86" s="287">
        <f t="shared" si="22"/>
        <v>18.282284040995609</v>
      </c>
      <c r="T86" s="60">
        <v>23.4</v>
      </c>
      <c r="U86" s="293">
        <v>3</v>
      </c>
      <c r="V86" s="293">
        <v>10</v>
      </c>
      <c r="W86" s="389"/>
      <c r="X86" s="389"/>
      <c r="Y86" s="2">
        <v>0</v>
      </c>
      <c r="Z86" s="289">
        <v>0</v>
      </c>
      <c r="AA86" s="2">
        <v>0</v>
      </c>
      <c r="AB86" s="293">
        <f t="shared" si="43"/>
        <v>0</v>
      </c>
      <c r="AC86" s="2">
        <v>0</v>
      </c>
      <c r="AD86" s="2">
        <v>0</v>
      </c>
      <c r="AE86" s="2">
        <v>0</v>
      </c>
      <c r="AF86" s="58">
        <f t="shared" si="28"/>
        <v>226.20000000000005</v>
      </c>
      <c r="AG86" s="282">
        <f t="shared" si="29"/>
        <v>226.20000000000005</v>
      </c>
      <c r="AH86" s="58">
        <f t="shared" si="36"/>
        <v>9.9210526315789485E-4</v>
      </c>
      <c r="AI86" s="2">
        <v>560</v>
      </c>
      <c r="AJ86" s="58">
        <f t="shared" si="44"/>
        <v>0.55557894736842117</v>
      </c>
      <c r="AK86" s="272">
        <v>37.700000000000003</v>
      </c>
      <c r="AL86" s="2">
        <v>200</v>
      </c>
      <c r="AM86" s="2">
        <v>839</v>
      </c>
      <c r="AN86" s="59">
        <f t="shared" si="37"/>
        <v>2.7772260840781198</v>
      </c>
      <c r="AO86" s="59">
        <f t="shared" si="38"/>
        <v>4.0946803318692044</v>
      </c>
      <c r="AP86" s="272">
        <v>410.3</v>
      </c>
      <c r="AQ86" s="59">
        <f t="shared" si="39"/>
        <v>1.3581595498179411</v>
      </c>
      <c r="AR86" s="59">
        <f t="shared" si="40"/>
        <v>2.0024402147388969</v>
      </c>
    </row>
    <row r="87" spans="1:44" x14ac:dyDescent="0.25">
      <c r="A87" s="2">
        <v>79</v>
      </c>
      <c r="B87" s="2" t="s">
        <v>13</v>
      </c>
      <c r="C87" s="2">
        <v>50</v>
      </c>
      <c r="D87" s="369" t="s">
        <v>625</v>
      </c>
      <c r="E87" s="2" t="s">
        <v>489</v>
      </c>
      <c r="F87" s="2">
        <v>1200</v>
      </c>
      <c r="G87" s="2">
        <f t="shared" si="45"/>
        <v>2400</v>
      </c>
      <c r="H87" s="2">
        <v>1590</v>
      </c>
      <c r="I87" s="58">
        <f t="shared" si="41"/>
        <v>1908000</v>
      </c>
      <c r="J87" s="2">
        <v>190</v>
      </c>
      <c r="K87" s="2">
        <v>1272</v>
      </c>
      <c r="L87" s="59">
        <f t="shared" si="46"/>
        <v>0.75471698113207553</v>
      </c>
      <c r="M87" s="59">
        <f t="shared" si="47"/>
        <v>1.5094339622641511</v>
      </c>
      <c r="N87" s="282">
        <f t="shared" si="34"/>
        <v>204900</v>
      </c>
      <c r="O87" s="58">
        <f t="shared" si="42"/>
        <v>302100</v>
      </c>
      <c r="P87" s="59">
        <f t="shared" si="35"/>
        <v>0.67825223435948356</v>
      </c>
      <c r="Q87" s="59"/>
      <c r="R87" s="2">
        <v>12.4</v>
      </c>
      <c r="S87" s="287">
        <f t="shared" si="22"/>
        <v>18.282284040995609</v>
      </c>
      <c r="T87" s="60">
        <v>23.4</v>
      </c>
      <c r="U87" s="293">
        <v>3</v>
      </c>
      <c r="V87" s="293">
        <v>10</v>
      </c>
      <c r="W87" s="389"/>
      <c r="X87" s="389"/>
      <c r="Y87" s="2">
        <v>0</v>
      </c>
      <c r="Z87" s="289">
        <v>0</v>
      </c>
      <c r="AA87" s="2">
        <v>0</v>
      </c>
      <c r="AB87" s="293">
        <f t="shared" si="43"/>
        <v>0</v>
      </c>
      <c r="AC87" s="2">
        <v>0</v>
      </c>
      <c r="AD87" s="2">
        <v>0</v>
      </c>
      <c r="AE87" s="2">
        <v>0</v>
      </c>
      <c r="AF87" s="58">
        <f t="shared" si="28"/>
        <v>226.20000000000005</v>
      </c>
      <c r="AG87" s="282">
        <f t="shared" si="29"/>
        <v>226.20000000000005</v>
      </c>
      <c r="AH87" s="58">
        <f t="shared" si="36"/>
        <v>9.9210526315789485E-4</v>
      </c>
      <c r="AI87" s="2">
        <v>560</v>
      </c>
      <c r="AJ87" s="58">
        <f t="shared" si="44"/>
        <v>0.55557894736842117</v>
      </c>
      <c r="AK87" s="272">
        <v>37.700000000000003</v>
      </c>
      <c r="AL87" s="2">
        <v>200</v>
      </c>
      <c r="AM87" s="2">
        <v>839</v>
      </c>
      <c r="AN87" s="59">
        <f t="shared" si="37"/>
        <v>2.7772260840781198</v>
      </c>
      <c r="AO87" s="59">
        <f t="shared" si="38"/>
        <v>4.0946803318692044</v>
      </c>
      <c r="AP87" s="272">
        <v>436.8</v>
      </c>
      <c r="AQ87" s="59">
        <f t="shared" si="39"/>
        <v>1.4458788480635552</v>
      </c>
      <c r="AR87" s="59">
        <f t="shared" si="40"/>
        <v>2.1317715959004393</v>
      </c>
    </row>
    <row r="88" spans="1:44" x14ac:dyDescent="0.25">
      <c r="A88" s="2">
        <v>80</v>
      </c>
      <c r="B88" s="2" t="s">
        <v>13</v>
      </c>
      <c r="C88" s="2">
        <v>51</v>
      </c>
      <c r="D88" s="369" t="s">
        <v>625</v>
      </c>
      <c r="E88" s="2" t="s">
        <v>489</v>
      </c>
      <c r="F88" s="2">
        <v>1200</v>
      </c>
      <c r="G88" s="2">
        <f t="shared" si="45"/>
        <v>2400</v>
      </c>
      <c r="H88" s="2">
        <v>1590</v>
      </c>
      <c r="I88" s="58">
        <f t="shared" si="41"/>
        <v>1908000</v>
      </c>
      <c r="J88" s="2">
        <v>190</v>
      </c>
      <c r="K88" s="2">
        <v>1272</v>
      </c>
      <c r="L88" s="59">
        <f t="shared" si="46"/>
        <v>0.75471698113207553</v>
      </c>
      <c r="M88" s="59">
        <f t="shared" si="47"/>
        <v>1.5094339622641511</v>
      </c>
      <c r="N88" s="282">
        <f t="shared" si="34"/>
        <v>204900</v>
      </c>
      <c r="O88" s="58">
        <f t="shared" si="42"/>
        <v>302100</v>
      </c>
      <c r="P88" s="59">
        <f t="shared" si="35"/>
        <v>0.67825223435948356</v>
      </c>
      <c r="Q88" s="59"/>
      <c r="R88" s="2">
        <v>16.2</v>
      </c>
      <c r="S88" s="287">
        <f t="shared" si="22"/>
        <v>23.884919472913616</v>
      </c>
      <c r="T88" s="60">
        <v>23.4</v>
      </c>
      <c r="U88" s="293">
        <v>3</v>
      </c>
      <c r="V88" s="293">
        <v>10</v>
      </c>
      <c r="W88" s="389"/>
      <c r="X88" s="389"/>
      <c r="Y88" s="2">
        <v>0</v>
      </c>
      <c r="Z88" s="289">
        <v>0</v>
      </c>
      <c r="AA88" s="2">
        <v>0</v>
      </c>
      <c r="AB88" s="293">
        <f t="shared" si="43"/>
        <v>0</v>
      </c>
      <c r="AC88" s="2">
        <v>0</v>
      </c>
      <c r="AD88" s="2">
        <v>0</v>
      </c>
      <c r="AE88" s="2">
        <v>0</v>
      </c>
      <c r="AF88" s="58">
        <f t="shared" si="28"/>
        <v>226.20000000000005</v>
      </c>
      <c r="AG88" s="282">
        <f t="shared" si="29"/>
        <v>226.20000000000005</v>
      </c>
      <c r="AH88" s="58">
        <f t="shared" si="36"/>
        <v>9.9210526315789485E-4</v>
      </c>
      <c r="AI88" s="2">
        <v>560</v>
      </c>
      <c r="AJ88" s="58">
        <f t="shared" si="44"/>
        <v>0.55557894736842117</v>
      </c>
      <c r="AK88" s="272">
        <v>37.700000000000003</v>
      </c>
      <c r="AL88" s="2">
        <v>200</v>
      </c>
      <c r="AM88" s="2">
        <v>839</v>
      </c>
      <c r="AN88" s="59">
        <f t="shared" si="37"/>
        <v>2.7772260840781198</v>
      </c>
      <c r="AO88" s="59">
        <f t="shared" si="38"/>
        <v>4.0946803318692044</v>
      </c>
      <c r="AP88" s="272">
        <v>443.4</v>
      </c>
      <c r="AQ88" s="59">
        <f t="shared" si="39"/>
        <v>1.4677259185700098</v>
      </c>
      <c r="AR88" s="59">
        <f t="shared" si="40"/>
        <v>2.1639824304538795</v>
      </c>
    </row>
    <row r="89" spans="1:44" x14ac:dyDescent="0.25">
      <c r="A89" s="2">
        <v>81</v>
      </c>
      <c r="B89" s="2" t="s">
        <v>13</v>
      </c>
      <c r="C89" s="2">
        <v>52</v>
      </c>
      <c r="D89" s="369" t="s">
        <v>625</v>
      </c>
      <c r="E89" s="2" t="s">
        <v>489</v>
      </c>
      <c r="F89" s="2">
        <v>1200</v>
      </c>
      <c r="G89" s="2">
        <f t="shared" si="45"/>
        <v>2400</v>
      </c>
      <c r="H89" s="2">
        <v>1590</v>
      </c>
      <c r="I89" s="58">
        <f t="shared" si="41"/>
        <v>1908000</v>
      </c>
      <c r="J89" s="2">
        <v>190</v>
      </c>
      <c r="K89" s="2">
        <v>1272</v>
      </c>
      <c r="L89" s="59">
        <f t="shared" si="46"/>
        <v>0.75471698113207553</v>
      </c>
      <c r="M89" s="59">
        <f t="shared" si="47"/>
        <v>1.5094339622641511</v>
      </c>
      <c r="N89" s="282">
        <f t="shared" si="34"/>
        <v>204900</v>
      </c>
      <c r="O89" s="58">
        <f t="shared" si="42"/>
        <v>302100</v>
      </c>
      <c r="P89" s="59">
        <f t="shared" si="35"/>
        <v>0.67825223435948356</v>
      </c>
      <c r="Q89" s="59"/>
      <c r="R89" s="2">
        <v>16.2</v>
      </c>
      <c r="S89" s="287">
        <f t="shared" si="22"/>
        <v>23.884919472913616</v>
      </c>
      <c r="T89" s="60">
        <v>23.4</v>
      </c>
      <c r="U89" s="293">
        <v>3</v>
      </c>
      <c r="V89" s="293">
        <v>10</v>
      </c>
      <c r="W89" s="389"/>
      <c r="X89" s="389"/>
      <c r="Y89" s="2">
        <v>0</v>
      </c>
      <c r="Z89" s="289">
        <v>0</v>
      </c>
      <c r="AA89" s="2">
        <v>0</v>
      </c>
      <c r="AB89" s="293">
        <f t="shared" si="43"/>
        <v>0</v>
      </c>
      <c r="AC89" s="2">
        <v>0</v>
      </c>
      <c r="AD89" s="2">
        <v>0</v>
      </c>
      <c r="AE89" s="2">
        <v>0</v>
      </c>
      <c r="AF89" s="58">
        <f t="shared" si="28"/>
        <v>0</v>
      </c>
      <c r="AG89" s="282">
        <f t="shared" si="29"/>
        <v>0</v>
      </c>
      <c r="AH89" s="58">
        <f t="shared" si="36"/>
        <v>0</v>
      </c>
      <c r="AI89" s="2">
        <v>0</v>
      </c>
      <c r="AJ89" s="58">
        <f t="shared" si="44"/>
        <v>0</v>
      </c>
      <c r="AK89" s="272">
        <v>0</v>
      </c>
      <c r="AL89" s="2">
        <v>0</v>
      </c>
      <c r="AM89" s="2">
        <v>471</v>
      </c>
      <c r="AN89" s="59">
        <f t="shared" si="37"/>
        <v>1.5590863952333665</v>
      </c>
      <c r="AO89" s="59">
        <f t="shared" si="38"/>
        <v>2.2986822840409955</v>
      </c>
      <c r="AP89" s="272">
        <v>231.1</v>
      </c>
      <c r="AQ89" s="59">
        <f t="shared" si="39"/>
        <v>0.76497848394571333</v>
      </c>
      <c r="AR89" s="59">
        <f t="shared" si="40"/>
        <v>1.1278672523182038</v>
      </c>
    </row>
    <row r="90" spans="1:44" x14ac:dyDescent="0.25">
      <c r="A90" s="2">
        <v>82</v>
      </c>
      <c r="B90" s="2" t="s">
        <v>13</v>
      </c>
      <c r="C90" s="2">
        <v>53</v>
      </c>
      <c r="D90" s="369" t="s">
        <v>625</v>
      </c>
      <c r="E90" s="2" t="s">
        <v>489</v>
      </c>
      <c r="F90" s="2">
        <v>1200</v>
      </c>
      <c r="G90" s="2">
        <f t="shared" si="45"/>
        <v>2400</v>
      </c>
      <c r="H90" s="2">
        <v>1590</v>
      </c>
      <c r="I90" s="58">
        <f t="shared" si="41"/>
        <v>1908000</v>
      </c>
      <c r="J90" s="2">
        <v>190</v>
      </c>
      <c r="K90" s="2">
        <v>1272</v>
      </c>
      <c r="L90" s="59">
        <f t="shared" si="46"/>
        <v>0.75471698113207553</v>
      </c>
      <c r="M90" s="59">
        <f t="shared" si="47"/>
        <v>1.5094339622641511</v>
      </c>
      <c r="N90" s="282">
        <f t="shared" si="34"/>
        <v>204900</v>
      </c>
      <c r="O90" s="58">
        <f t="shared" si="42"/>
        <v>302100</v>
      </c>
      <c r="P90" s="59">
        <f t="shared" si="35"/>
        <v>0.67825223435948356</v>
      </c>
      <c r="Q90" s="59"/>
      <c r="R90" s="2">
        <v>16.2</v>
      </c>
      <c r="S90" s="287">
        <f t="shared" si="22"/>
        <v>23.884919472913616</v>
      </c>
      <c r="T90" s="60">
        <v>23.4</v>
      </c>
      <c r="U90" s="293">
        <v>3</v>
      </c>
      <c r="V90" s="293">
        <v>10</v>
      </c>
      <c r="W90" s="389"/>
      <c r="X90" s="389"/>
      <c r="Y90" s="2">
        <v>0</v>
      </c>
      <c r="Z90" s="289">
        <v>0</v>
      </c>
      <c r="AA90" s="2">
        <v>0</v>
      </c>
      <c r="AB90" s="293">
        <f t="shared" si="43"/>
        <v>0</v>
      </c>
      <c r="AC90" s="2">
        <v>0</v>
      </c>
      <c r="AD90" s="2">
        <v>0</v>
      </c>
      <c r="AE90" s="2">
        <v>0</v>
      </c>
      <c r="AF90" s="58">
        <f t="shared" si="28"/>
        <v>0</v>
      </c>
      <c r="AG90" s="282">
        <f t="shared" si="29"/>
        <v>0</v>
      </c>
      <c r="AH90" s="58">
        <f t="shared" si="36"/>
        <v>0</v>
      </c>
      <c r="AI90" s="2">
        <v>0</v>
      </c>
      <c r="AJ90" s="58">
        <f t="shared" si="44"/>
        <v>0</v>
      </c>
      <c r="AK90" s="272">
        <v>0</v>
      </c>
      <c r="AL90" s="2">
        <v>0</v>
      </c>
      <c r="AM90" s="2">
        <v>471</v>
      </c>
      <c r="AN90" s="59">
        <f t="shared" si="37"/>
        <v>1.5590863952333665</v>
      </c>
      <c r="AO90" s="59">
        <f t="shared" si="38"/>
        <v>2.2986822840409955</v>
      </c>
      <c r="AP90" s="272">
        <v>250.8</v>
      </c>
      <c r="AQ90" s="59">
        <f t="shared" si="39"/>
        <v>0.83018867924528306</v>
      </c>
      <c r="AR90" s="59">
        <f t="shared" si="40"/>
        <v>1.2240117130307469</v>
      </c>
    </row>
    <row r="91" spans="1:44" x14ac:dyDescent="0.25">
      <c r="A91" s="2">
        <v>83</v>
      </c>
      <c r="B91" s="2" t="s">
        <v>13</v>
      </c>
      <c r="C91" s="2">
        <v>54</v>
      </c>
      <c r="D91" s="369" t="s">
        <v>625</v>
      </c>
      <c r="E91" s="2" t="s">
        <v>489</v>
      </c>
      <c r="F91" s="2">
        <v>1200</v>
      </c>
      <c r="G91" s="2">
        <f t="shared" si="45"/>
        <v>2400</v>
      </c>
      <c r="H91" s="2">
        <v>1590</v>
      </c>
      <c r="I91" s="58">
        <f t="shared" si="41"/>
        <v>1908000</v>
      </c>
      <c r="J91" s="2">
        <v>190</v>
      </c>
      <c r="K91" s="2">
        <v>1272</v>
      </c>
      <c r="L91" s="59">
        <f t="shared" si="46"/>
        <v>0.75471698113207553</v>
      </c>
      <c r="M91" s="59">
        <f t="shared" si="47"/>
        <v>1.5094339622641511</v>
      </c>
      <c r="N91" s="282">
        <f t="shared" si="34"/>
        <v>204900</v>
      </c>
      <c r="O91" s="58">
        <f t="shared" si="42"/>
        <v>302100</v>
      </c>
      <c r="P91" s="59">
        <f t="shared" si="35"/>
        <v>0.67825223435948356</v>
      </c>
      <c r="Q91" s="59"/>
      <c r="R91" s="2">
        <v>19.5</v>
      </c>
      <c r="S91" s="287">
        <f t="shared" si="22"/>
        <v>28.750366032210838</v>
      </c>
      <c r="T91" s="60">
        <v>23.4</v>
      </c>
      <c r="U91" s="293">
        <v>3</v>
      </c>
      <c r="V91" s="293">
        <v>10</v>
      </c>
      <c r="W91" s="389"/>
      <c r="X91" s="389"/>
      <c r="Y91" s="2">
        <v>0</v>
      </c>
      <c r="Z91" s="289">
        <v>0</v>
      </c>
      <c r="AA91" s="2">
        <v>0</v>
      </c>
      <c r="AB91" s="293">
        <f t="shared" si="43"/>
        <v>0</v>
      </c>
      <c r="AC91" s="2">
        <v>0</v>
      </c>
      <c r="AD91" s="2">
        <v>0</v>
      </c>
      <c r="AE91" s="2">
        <v>0</v>
      </c>
      <c r="AF91" s="58">
        <f t="shared" si="28"/>
        <v>0</v>
      </c>
      <c r="AG91" s="282">
        <f t="shared" si="29"/>
        <v>0</v>
      </c>
      <c r="AH91" s="58">
        <f t="shared" si="36"/>
        <v>0</v>
      </c>
      <c r="AI91" s="2">
        <v>0</v>
      </c>
      <c r="AJ91" s="58">
        <f t="shared" si="44"/>
        <v>0</v>
      </c>
      <c r="AK91" s="272">
        <v>0</v>
      </c>
      <c r="AL91" s="2">
        <v>0</v>
      </c>
      <c r="AM91" s="2">
        <v>471</v>
      </c>
      <c r="AN91" s="59">
        <f t="shared" si="37"/>
        <v>1.5590863952333665</v>
      </c>
      <c r="AO91" s="59">
        <f t="shared" si="38"/>
        <v>2.2986822840409955</v>
      </c>
      <c r="AP91" s="272">
        <v>237.2</v>
      </c>
      <c r="AQ91" s="59">
        <f t="shared" si="39"/>
        <v>0.78517047335319423</v>
      </c>
      <c r="AR91" s="59">
        <f t="shared" si="40"/>
        <v>1.1576378721327476</v>
      </c>
    </row>
    <row r="92" spans="1:44" x14ac:dyDescent="0.25">
      <c r="A92" s="2">
        <v>84</v>
      </c>
      <c r="B92" s="2" t="s">
        <v>13</v>
      </c>
      <c r="C92" s="2">
        <v>55</v>
      </c>
      <c r="D92" s="369" t="s">
        <v>625</v>
      </c>
      <c r="E92" s="2" t="s">
        <v>489</v>
      </c>
      <c r="F92" s="2">
        <v>1200</v>
      </c>
      <c r="G92" s="2">
        <f t="shared" si="45"/>
        <v>2400</v>
      </c>
      <c r="H92" s="2">
        <v>1590</v>
      </c>
      <c r="I92" s="58">
        <f t="shared" si="41"/>
        <v>1908000</v>
      </c>
      <c r="J92" s="2">
        <v>190</v>
      </c>
      <c r="K92" s="2">
        <v>1272</v>
      </c>
      <c r="L92" s="59">
        <f t="shared" si="46"/>
        <v>0.75471698113207553</v>
      </c>
      <c r="M92" s="59">
        <f t="shared" si="47"/>
        <v>1.5094339622641511</v>
      </c>
      <c r="N92" s="282">
        <f t="shared" si="34"/>
        <v>204900</v>
      </c>
      <c r="O92" s="58">
        <f t="shared" si="42"/>
        <v>302100</v>
      </c>
      <c r="P92" s="59">
        <f t="shared" si="35"/>
        <v>0.67825223435948356</v>
      </c>
      <c r="Q92" s="59"/>
      <c r="R92" s="2">
        <v>19.5</v>
      </c>
      <c r="S92" s="287">
        <f t="shared" si="22"/>
        <v>28.750366032210838</v>
      </c>
      <c r="T92" s="60">
        <v>23.4</v>
      </c>
      <c r="U92" s="293">
        <v>3</v>
      </c>
      <c r="V92" s="293">
        <v>10</v>
      </c>
      <c r="W92" s="389"/>
      <c r="X92" s="389"/>
      <c r="Y92" s="2">
        <v>0</v>
      </c>
      <c r="Z92" s="289">
        <v>0</v>
      </c>
      <c r="AA92" s="2">
        <v>0</v>
      </c>
      <c r="AB92" s="293">
        <f t="shared" si="43"/>
        <v>0</v>
      </c>
      <c r="AC92" s="2">
        <v>0</v>
      </c>
      <c r="AD92" s="2">
        <v>0</v>
      </c>
      <c r="AE92" s="2">
        <v>0</v>
      </c>
      <c r="AF92" s="58">
        <f t="shared" si="28"/>
        <v>128.99999999999997</v>
      </c>
      <c r="AG92" s="282">
        <f t="shared" si="29"/>
        <v>128.99999999999997</v>
      </c>
      <c r="AH92" s="58">
        <f t="shared" si="36"/>
        <v>5.6578947368421048E-4</v>
      </c>
      <c r="AI92" s="2">
        <v>530</v>
      </c>
      <c r="AJ92" s="58">
        <f t="shared" si="44"/>
        <v>0.29986842105263156</v>
      </c>
      <c r="AK92" s="272">
        <v>21.5</v>
      </c>
      <c r="AL92" s="2">
        <v>200</v>
      </c>
      <c r="AM92" s="2">
        <v>315</v>
      </c>
      <c r="AN92" s="59">
        <f t="shared" si="37"/>
        <v>1.0427010923535254</v>
      </c>
      <c r="AO92" s="59">
        <f t="shared" si="38"/>
        <v>1.5373352855051245</v>
      </c>
      <c r="AP92" s="272">
        <v>186.4</v>
      </c>
      <c r="AQ92" s="59">
        <f t="shared" si="39"/>
        <v>0.61701423369745123</v>
      </c>
      <c r="AR92" s="59">
        <f t="shared" si="40"/>
        <v>0.90971205466081018</v>
      </c>
    </row>
    <row r="93" spans="1:44" x14ac:dyDescent="0.25">
      <c r="A93" s="2">
        <v>85</v>
      </c>
      <c r="B93" s="2" t="s">
        <v>13</v>
      </c>
      <c r="C93" s="2">
        <v>56</v>
      </c>
      <c r="D93" s="369" t="s">
        <v>625</v>
      </c>
      <c r="E93" s="2" t="s">
        <v>489</v>
      </c>
      <c r="F93" s="2">
        <v>1200</v>
      </c>
      <c r="G93" s="2">
        <f t="shared" si="45"/>
        <v>2400</v>
      </c>
      <c r="H93" s="2">
        <v>1590</v>
      </c>
      <c r="I93" s="58">
        <f t="shared" si="41"/>
        <v>1908000</v>
      </c>
      <c r="J93" s="2">
        <v>190</v>
      </c>
      <c r="K93" s="2">
        <v>1272</v>
      </c>
      <c r="L93" s="59">
        <f t="shared" si="46"/>
        <v>0.75471698113207553</v>
      </c>
      <c r="M93" s="59">
        <f t="shared" si="47"/>
        <v>1.5094339622641511</v>
      </c>
      <c r="N93" s="282">
        <f t="shared" si="34"/>
        <v>204900</v>
      </c>
      <c r="O93" s="58">
        <f t="shared" si="42"/>
        <v>302100</v>
      </c>
      <c r="P93" s="59">
        <f t="shared" si="35"/>
        <v>0.67825223435948356</v>
      </c>
      <c r="Q93" s="59"/>
      <c r="R93" s="2">
        <v>19.5</v>
      </c>
      <c r="S93" s="287">
        <f t="shared" si="22"/>
        <v>28.750366032210838</v>
      </c>
      <c r="T93" s="60">
        <v>23.4</v>
      </c>
      <c r="U93" s="293">
        <v>3</v>
      </c>
      <c r="V93" s="293">
        <v>10</v>
      </c>
      <c r="W93" s="389"/>
      <c r="X93" s="389"/>
      <c r="Y93" s="2">
        <v>0</v>
      </c>
      <c r="Z93" s="289">
        <v>0</v>
      </c>
      <c r="AA93" s="2">
        <v>0</v>
      </c>
      <c r="AB93" s="293">
        <f t="shared" si="43"/>
        <v>0</v>
      </c>
      <c r="AC93" s="2">
        <v>0</v>
      </c>
      <c r="AD93" s="2">
        <v>0</v>
      </c>
      <c r="AE93" s="2">
        <v>0</v>
      </c>
      <c r="AF93" s="58">
        <f t="shared" si="28"/>
        <v>128.99999999999997</v>
      </c>
      <c r="AG93" s="282">
        <f t="shared" si="29"/>
        <v>128.99999999999997</v>
      </c>
      <c r="AH93" s="58">
        <f t="shared" si="36"/>
        <v>5.6578947368421048E-4</v>
      </c>
      <c r="AI93" s="2">
        <v>530</v>
      </c>
      <c r="AJ93" s="58">
        <f t="shared" si="44"/>
        <v>0.29986842105263156</v>
      </c>
      <c r="AK93" s="272">
        <v>21.5</v>
      </c>
      <c r="AL93" s="2">
        <v>200</v>
      </c>
      <c r="AM93" s="2">
        <v>315</v>
      </c>
      <c r="AN93" s="59">
        <f t="shared" si="37"/>
        <v>1.0427010923535254</v>
      </c>
      <c r="AO93" s="59">
        <f t="shared" si="38"/>
        <v>1.5373352855051245</v>
      </c>
      <c r="AP93" s="272">
        <v>217.3</v>
      </c>
      <c r="AQ93" s="59">
        <f t="shared" si="39"/>
        <v>0.7192982456140351</v>
      </c>
      <c r="AR93" s="59">
        <f t="shared" si="40"/>
        <v>1.0605173255246463</v>
      </c>
    </row>
    <row r="94" spans="1:44" x14ac:dyDescent="0.25">
      <c r="A94" s="2">
        <v>86</v>
      </c>
      <c r="B94" s="2" t="s">
        <v>13</v>
      </c>
      <c r="C94" s="2">
        <v>57</v>
      </c>
      <c r="D94" s="369" t="s">
        <v>625</v>
      </c>
      <c r="E94" s="2" t="s">
        <v>489</v>
      </c>
      <c r="F94" s="2">
        <v>1200</v>
      </c>
      <c r="G94" s="2">
        <f t="shared" si="45"/>
        <v>2400</v>
      </c>
      <c r="H94" s="2">
        <v>1590</v>
      </c>
      <c r="I94" s="58">
        <f t="shared" si="41"/>
        <v>1908000</v>
      </c>
      <c r="J94" s="2">
        <v>190</v>
      </c>
      <c r="K94" s="2">
        <v>1272</v>
      </c>
      <c r="L94" s="59">
        <f t="shared" si="46"/>
        <v>0.75471698113207553</v>
      </c>
      <c r="M94" s="59">
        <f t="shared" si="47"/>
        <v>1.5094339622641511</v>
      </c>
      <c r="N94" s="282">
        <f t="shared" si="34"/>
        <v>204900</v>
      </c>
      <c r="O94" s="58">
        <f t="shared" si="42"/>
        <v>302100</v>
      </c>
      <c r="P94" s="59">
        <f t="shared" si="35"/>
        <v>0.67825223435948356</v>
      </c>
      <c r="Q94" s="59"/>
      <c r="R94" s="2">
        <v>19.5</v>
      </c>
      <c r="S94" s="287">
        <f t="shared" si="22"/>
        <v>28.750366032210838</v>
      </c>
      <c r="T94" s="60">
        <v>23.4</v>
      </c>
      <c r="U94" s="293">
        <v>3</v>
      </c>
      <c r="V94" s="293">
        <v>10</v>
      </c>
      <c r="W94" s="389"/>
      <c r="X94" s="389"/>
      <c r="Y94" s="2">
        <v>0</v>
      </c>
      <c r="Z94" s="289">
        <v>0</v>
      </c>
      <c r="AA94" s="2">
        <v>0</v>
      </c>
      <c r="AB94" s="293">
        <f t="shared" si="43"/>
        <v>0</v>
      </c>
      <c r="AC94" s="2">
        <v>0</v>
      </c>
      <c r="AD94" s="2">
        <v>0</v>
      </c>
      <c r="AE94" s="2">
        <v>0</v>
      </c>
      <c r="AF94" s="58">
        <f t="shared" si="28"/>
        <v>128.99999999999997</v>
      </c>
      <c r="AG94" s="282">
        <f t="shared" si="29"/>
        <v>128.99999999999997</v>
      </c>
      <c r="AH94" s="58">
        <f t="shared" si="36"/>
        <v>5.6578947368421048E-4</v>
      </c>
      <c r="AI94" s="2">
        <v>530</v>
      </c>
      <c r="AJ94" s="58">
        <f t="shared" si="44"/>
        <v>0.29986842105263156</v>
      </c>
      <c r="AK94" s="272">
        <v>21.5</v>
      </c>
      <c r="AL94" s="2">
        <v>200</v>
      </c>
      <c r="AM94" s="2">
        <v>315</v>
      </c>
      <c r="AN94" s="59">
        <f t="shared" si="37"/>
        <v>1.0427010923535254</v>
      </c>
      <c r="AO94" s="59">
        <f t="shared" si="38"/>
        <v>1.5373352855051245</v>
      </c>
      <c r="AP94" s="272">
        <v>208</v>
      </c>
      <c r="AQ94" s="59">
        <f t="shared" si="39"/>
        <v>0.68851373717312148</v>
      </c>
      <c r="AR94" s="59">
        <f t="shared" si="40"/>
        <v>1.0151293313811616</v>
      </c>
    </row>
    <row r="95" spans="1:44" x14ac:dyDescent="0.25">
      <c r="A95" s="2">
        <v>87</v>
      </c>
      <c r="B95" s="2" t="s">
        <v>13</v>
      </c>
      <c r="C95" s="2">
        <v>58</v>
      </c>
      <c r="D95" s="369" t="s">
        <v>625</v>
      </c>
      <c r="E95" s="2" t="s">
        <v>489</v>
      </c>
      <c r="F95" s="2">
        <v>1200</v>
      </c>
      <c r="G95" s="2">
        <f t="shared" si="45"/>
        <v>2400</v>
      </c>
      <c r="H95" s="2">
        <v>1590</v>
      </c>
      <c r="I95" s="58">
        <f t="shared" si="41"/>
        <v>1908000</v>
      </c>
      <c r="J95" s="2">
        <v>190</v>
      </c>
      <c r="K95" s="2">
        <v>1272</v>
      </c>
      <c r="L95" s="59">
        <f t="shared" si="46"/>
        <v>0.75471698113207553</v>
      </c>
      <c r="M95" s="59">
        <f t="shared" si="47"/>
        <v>1.5094339622641511</v>
      </c>
      <c r="N95" s="282">
        <f t="shared" si="34"/>
        <v>204900</v>
      </c>
      <c r="O95" s="58">
        <f t="shared" si="42"/>
        <v>302100</v>
      </c>
      <c r="P95" s="59">
        <f t="shared" si="35"/>
        <v>0.67825223435948356</v>
      </c>
      <c r="Q95" s="59"/>
      <c r="R95" s="2">
        <v>19.5</v>
      </c>
      <c r="S95" s="287">
        <f t="shared" si="22"/>
        <v>28.750366032210838</v>
      </c>
      <c r="T95" s="60">
        <v>23.4</v>
      </c>
      <c r="U95" s="293">
        <v>3</v>
      </c>
      <c r="V95" s="293">
        <v>10</v>
      </c>
      <c r="W95" s="389"/>
      <c r="X95" s="389"/>
      <c r="Y95" s="2">
        <v>0</v>
      </c>
      <c r="Z95" s="289">
        <v>0</v>
      </c>
      <c r="AA95" s="2">
        <v>0</v>
      </c>
      <c r="AB95" s="293">
        <f t="shared" si="43"/>
        <v>0</v>
      </c>
      <c r="AC95" s="2">
        <v>0</v>
      </c>
      <c r="AD95" s="2">
        <v>0</v>
      </c>
      <c r="AE95" s="2">
        <v>0</v>
      </c>
      <c r="AF95" s="58">
        <f t="shared" si="28"/>
        <v>128.99999999999997</v>
      </c>
      <c r="AG95" s="282">
        <f t="shared" si="29"/>
        <v>128.99999999999997</v>
      </c>
      <c r="AH95" s="58">
        <f t="shared" si="36"/>
        <v>5.6578947368421048E-4</v>
      </c>
      <c r="AI95" s="2">
        <v>530</v>
      </c>
      <c r="AJ95" s="58">
        <f t="shared" si="44"/>
        <v>0.29986842105263156</v>
      </c>
      <c r="AK95" s="272">
        <v>21.5</v>
      </c>
      <c r="AL95" s="2">
        <v>200</v>
      </c>
      <c r="AM95" s="2">
        <v>315</v>
      </c>
      <c r="AN95" s="59">
        <f t="shared" si="37"/>
        <v>1.0427010923535254</v>
      </c>
      <c r="AO95" s="59">
        <f t="shared" si="38"/>
        <v>1.5373352855051245</v>
      </c>
      <c r="AP95" s="272">
        <v>210.1</v>
      </c>
      <c r="AQ95" s="59">
        <f t="shared" si="39"/>
        <v>0.69546507778881173</v>
      </c>
      <c r="AR95" s="59">
        <f t="shared" si="40"/>
        <v>1.0253782332845289</v>
      </c>
    </row>
    <row r="96" spans="1:44" x14ac:dyDescent="0.25">
      <c r="A96" s="2">
        <v>88</v>
      </c>
      <c r="B96" s="2" t="s">
        <v>13</v>
      </c>
      <c r="C96" s="2">
        <v>59</v>
      </c>
      <c r="D96" s="369" t="s">
        <v>625</v>
      </c>
      <c r="E96" s="2" t="s">
        <v>489</v>
      </c>
      <c r="F96" s="2">
        <v>1200</v>
      </c>
      <c r="G96" s="2">
        <f t="shared" si="45"/>
        <v>2400</v>
      </c>
      <c r="H96" s="2">
        <v>1590</v>
      </c>
      <c r="I96" s="58">
        <f t="shared" si="41"/>
        <v>1908000</v>
      </c>
      <c r="J96" s="2">
        <v>190</v>
      </c>
      <c r="K96" s="2">
        <v>1272</v>
      </c>
      <c r="L96" s="59">
        <f t="shared" si="46"/>
        <v>0.75471698113207553</v>
      </c>
      <c r="M96" s="59">
        <f t="shared" si="47"/>
        <v>1.5094339622641511</v>
      </c>
      <c r="N96" s="282">
        <f t="shared" si="34"/>
        <v>204900</v>
      </c>
      <c r="O96" s="58">
        <f t="shared" si="42"/>
        <v>302100</v>
      </c>
      <c r="P96" s="59">
        <f t="shared" si="35"/>
        <v>0.67825223435948356</v>
      </c>
      <c r="Q96" s="59"/>
      <c r="R96" s="2">
        <v>19.5</v>
      </c>
      <c r="S96" s="287">
        <f t="shared" si="22"/>
        <v>28.750366032210838</v>
      </c>
      <c r="T96" s="60">
        <v>23.4</v>
      </c>
      <c r="U96" s="293">
        <v>3</v>
      </c>
      <c r="V96" s="293">
        <v>10</v>
      </c>
      <c r="W96" s="389"/>
      <c r="X96" s="389"/>
      <c r="Y96" s="2">
        <v>0</v>
      </c>
      <c r="Z96" s="289">
        <v>0</v>
      </c>
      <c r="AA96" s="2">
        <v>0</v>
      </c>
      <c r="AB96" s="293">
        <f t="shared" si="43"/>
        <v>0</v>
      </c>
      <c r="AC96" s="2">
        <v>0</v>
      </c>
      <c r="AD96" s="2">
        <v>0</v>
      </c>
      <c r="AE96" s="2">
        <v>0</v>
      </c>
      <c r="AF96" s="58">
        <f t="shared" si="28"/>
        <v>128.99999999999997</v>
      </c>
      <c r="AG96" s="282">
        <f t="shared" si="29"/>
        <v>128.99999999999997</v>
      </c>
      <c r="AH96" s="58">
        <f t="shared" si="36"/>
        <v>5.6578947368421048E-4</v>
      </c>
      <c r="AI96" s="2">
        <v>530</v>
      </c>
      <c r="AJ96" s="58">
        <f t="shared" si="44"/>
        <v>0.29986842105263156</v>
      </c>
      <c r="AK96" s="272">
        <v>21.5</v>
      </c>
      <c r="AL96" s="2">
        <v>200</v>
      </c>
      <c r="AM96" s="2">
        <v>315</v>
      </c>
      <c r="AN96" s="59">
        <f t="shared" si="37"/>
        <v>1.0427010923535254</v>
      </c>
      <c r="AO96" s="59">
        <f t="shared" si="38"/>
        <v>1.5373352855051245</v>
      </c>
      <c r="AP96" s="272">
        <v>206.7</v>
      </c>
      <c r="AQ96" s="59">
        <f t="shared" si="39"/>
        <v>0.68421052631578949</v>
      </c>
      <c r="AR96" s="59">
        <f t="shared" si="40"/>
        <v>1.0087847730600292</v>
      </c>
    </row>
    <row r="97" spans="1:45" x14ac:dyDescent="0.25">
      <c r="A97" s="2">
        <v>89</v>
      </c>
      <c r="B97" s="2" t="s">
        <v>13</v>
      </c>
      <c r="C97" s="2">
        <v>60</v>
      </c>
      <c r="D97" s="369" t="s">
        <v>625</v>
      </c>
      <c r="E97" s="2" t="s">
        <v>489</v>
      </c>
      <c r="F97" s="2">
        <v>1200</v>
      </c>
      <c r="G97" s="2">
        <f t="shared" si="45"/>
        <v>2400</v>
      </c>
      <c r="H97" s="2">
        <v>1590</v>
      </c>
      <c r="I97" s="58">
        <f t="shared" si="41"/>
        <v>1908000</v>
      </c>
      <c r="J97" s="2">
        <v>190</v>
      </c>
      <c r="K97" s="2">
        <v>1280</v>
      </c>
      <c r="L97" s="59">
        <f t="shared" si="46"/>
        <v>0.75471698113207553</v>
      </c>
      <c r="M97" s="59">
        <f t="shared" si="47"/>
        <v>1.5094339622641511</v>
      </c>
      <c r="N97" s="282">
        <f t="shared" si="34"/>
        <v>204900</v>
      </c>
      <c r="O97" s="58">
        <f t="shared" si="42"/>
        <v>302100</v>
      </c>
      <c r="P97" s="59">
        <f t="shared" si="35"/>
        <v>0.67825223435948356</v>
      </c>
      <c r="Q97" s="59"/>
      <c r="R97" s="2">
        <v>12.4</v>
      </c>
      <c r="S97" s="287">
        <f t="shared" si="22"/>
        <v>18.282284040995609</v>
      </c>
      <c r="T97" s="60">
        <v>23.4</v>
      </c>
      <c r="U97" s="293">
        <v>3</v>
      </c>
      <c r="V97" s="293">
        <v>10</v>
      </c>
      <c r="W97" s="389"/>
      <c r="X97" s="389"/>
      <c r="Y97" s="2">
        <v>0</v>
      </c>
      <c r="Z97" s="289">
        <v>0</v>
      </c>
      <c r="AA97" s="2">
        <v>0</v>
      </c>
      <c r="AB97" s="293">
        <f t="shared" si="43"/>
        <v>0</v>
      </c>
      <c r="AC97" s="2">
        <v>0</v>
      </c>
      <c r="AD97" s="2">
        <v>0</v>
      </c>
      <c r="AE97" s="2">
        <v>0</v>
      </c>
      <c r="AF97" s="58">
        <f t="shared" si="28"/>
        <v>128.99999999999997</v>
      </c>
      <c r="AG97" s="282">
        <f t="shared" si="29"/>
        <v>128.99999999999997</v>
      </c>
      <c r="AH97" s="58">
        <f t="shared" si="36"/>
        <v>5.6578947368421048E-4</v>
      </c>
      <c r="AI97" s="2">
        <v>530</v>
      </c>
      <c r="AJ97" s="58">
        <f t="shared" si="44"/>
        <v>0.29986842105263156</v>
      </c>
      <c r="AK97" s="272">
        <v>21.5</v>
      </c>
      <c r="AL97" s="2">
        <v>200</v>
      </c>
      <c r="AM97" s="2">
        <v>315</v>
      </c>
      <c r="AN97" s="59">
        <f t="shared" si="37"/>
        <v>1.0427010923535254</v>
      </c>
      <c r="AO97" s="59">
        <f t="shared" si="38"/>
        <v>1.5373352855051245</v>
      </c>
      <c r="AP97" s="272">
        <v>212</v>
      </c>
      <c r="AQ97" s="59">
        <f t="shared" si="39"/>
        <v>0.70175438596491224</v>
      </c>
      <c r="AR97" s="59">
        <f t="shared" si="40"/>
        <v>1.0346510492923378</v>
      </c>
    </row>
    <row r="98" spans="1:45" x14ac:dyDescent="0.25">
      <c r="A98" s="2">
        <v>90</v>
      </c>
      <c r="B98" s="2" t="s">
        <v>13</v>
      </c>
      <c r="C98" s="2">
        <v>61</v>
      </c>
      <c r="D98" s="369" t="s">
        <v>625</v>
      </c>
      <c r="E98" s="2" t="s">
        <v>489</v>
      </c>
      <c r="F98" s="2">
        <v>1200</v>
      </c>
      <c r="G98" s="2">
        <f t="shared" si="45"/>
        <v>2400</v>
      </c>
      <c r="H98" s="2">
        <v>1590</v>
      </c>
      <c r="I98" s="58">
        <f t="shared" si="41"/>
        <v>1908000</v>
      </c>
      <c r="J98" s="2">
        <v>190</v>
      </c>
      <c r="K98" s="2">
        <v>1272</v>
      </c>
      <c r="L98" s="59">
        <f t="shared" si="46"/>
        <v>0.75471698113207553</v>
      </c>
      <c r="M98" s="59">
        <f t="shared" si="47"/>
        <v>1.5094339622641511</v>
      </c>
      <c r="N98" s="282">
        <f t="shared" si="34"/>
        <v>204900</v>
      </c>
      <c r="O98" s="58">
        <f t="shared" si="42"/>
        <v>302100</v>
      </c>
      <c r="P98" s="59">
        <f t="shared" si="35"/>
        <v>0.67825223435948356</v>
      </c>
      <c r="Q98" s="59"/>
      <c r="R98" s="2">
        <v>14.2</v>
      </c>
      <c r="S98" s="287">
        <f t="shared" si="22"/>
        <v>20.936163982430454</v>
      </c>
      <c r="T98" s="60">
        <v>23.4</v>
      </c>
      <c r="U98" s="293">
        <v>3</v>
      </c>
      <c r="V98" s="293">
        <v>10</v>
      </c>
      <c r="W98" s="389"/>
      <c r="X98" s="389"/>
      <c r="Y98" s="2">
        <v>0</v>
      </c>
      <c r="Z98" s="289">
        <v>0</v>
      </c>
      <c r="AA98" s="2">
        <v>0</v>
      </c>
      <c r="AB98" s="293">
        <f t="shared" si="43"/>
        <v>0</v>
      </c>
      <c r="AC98" s="2">
        <v>0</v>
      </c>
      <c r="AD98" s="2">
        <v>0</v>
      </c>
      <c r="AE98" s="2">
        <v>0</v>
      </c>
      <c r="AF98" s="58">
        <f t="shared" si="28"/>
        <v>128.99999999999997</v>
      </c>
      <c r="AG98" s="282">
        <f t="shared" si="29"/>
        <v>128.99999999999997</v>
      </c>
      <c r="AH98" s="58">
        <f t="shared" si="36"/>
        <v>5.6578947368421048E-4</v>
      </c>
      <c r="AI98" s="2">
        <v>530</v>
      </c>
      <c r="AJ98" s="58">
        <f t="shared" si="44"/>
        <v>0.29986842105263156</v>
      </c>
      <c r="AK98" s="272">
        <v>21.5</v>
      </c>
      <c r="AL98" s="2">
        <v>200</v>
      </c>
      <c r="AM98" s="2">
        <v>608</v>
      </c>
      <c r="AN98" s="59">
        <f t="shared" si="37"/>
        <v>2.0125786163522013</v>
      </c>
      <c r="AO98" s="59">
        <f t="shared" si="38"/>
        <v>2.96730112249878</v>
      </c>
      <c r="AP98" s="272">
        <v>350.7</v>
      </c>
      <c r="AQ98" s="59">
        <f t="shared" si="39"/>
        <v>1.1608738828202581</v>
      </c>
      <c r="AR98" s="59">
        <f t="shared" si="40"/>
        <v>1.7115666178623719</v>
      </c>
    </row>
    <row r="99" spans="1:45" x14ac:dyDescent="0.25">
      <c r="A99" s="2">
        <v>91</v>
      </c>
      <c r="B99" s="2" t="s">
        <v>13</v>
      </c>
      <c r="C99" s="2">
        <v>62</v>
      </c>
      <c r="D99" s="369" t="s">
        <v>625</v>
      </c>
      <c r="E99" s="2" t="s">
        <v>489</v>
      </c>
      <c r="F99" s="2">
        <v>1200</v>
      </c>
      <c r="G99" s="2">
        <f t="shared" si="45"/>
        <v>2400</v>
      </c>
      <c r="H99" s="2">
        <v>1590</v>
      </c>
      <c r="I99" s="58">
        <f t="shared" si="41"/>
        <v>1908000</v>
      </c>
      <c r="J99" s="2">
        <v>190</v>
      </c>
      <c r="K99" s="2">
        <v>1272</v>
      </c>
      <c r="L99" s="59">
        <f t="shared" si="46"/>
        <v>0.75471698113207553</v>
      </c>
      <c r="M99" s="59">
        <f t="shared" si="47"/>
        <v>1.5094339622641511</v>
      </c>
      <c r="N99" s="282">
        <f t="shared" si="34"/>
        <v>204900</v>
      </c>
      <c r="O99" s="58">
        <f t="shared" si="42"/>
        <v>302100</v>
      </c>
      <c r="P99" s="59">
        <f t="shared" si="35"/>
        <v>0.67825223435948356</v>
      </c>
      <c r="Q99" s="59"/>
      <c r="R99" s="2">
        <v>14.2</v>
      </c>
      <c r="S99" s="287">
        <f t="shared" si="22"/>
        <v>20.936163982430454</v>
      </c>
      <c r="T99" s="60">
        <v>23.4</v>
      </c>
      <c r="U99" s="293">
        <v>3</v>
      </c>
      <c r="V99" s="293">
        <v>10</v>
      </c>
      <c r="W99" s="389"/>
      <c r="X99" s="389"/>
      <c r="Y99" s="2">
        <v>0</v>
      </c>
      <c r="Z99" s="289">
        <v>0</v>
      </c>
      <c r="AA99" s="2">
        <v>0</v>
      </c>
      <c r="AB99" s="293">
        <f t="shared" si="43"/>
        <v>0</v>
      </c>
      <c r="AC99" s="2">
        <v>0</v>
      </c>
      <c r="AD99" s="2">
        <v>0</v>
      </c>
      <c r="AE99" s="2">
        <v>0</v>
      </c>
      <c r="AF99" s="58">
        <f t="shared" si="28"/>
        <v>128.99999999999997</v>
      </c>
      <c r="AG99" s="282">
        <f t="shared" si="29"/>
        <v>128.99999999999997</v>
      </c>
      <c r="AH99" s="58">
        <f t="shared" si="36"/>
        <v>5.6578947368421048E-4</v>
      </c>
      <c r="AI99" s="2">
        <v>530</v>
      </c>
      <c r="AJ99" s="58">
        <f t="shared" si="44"/>
        <v>0.29986842105263156</v>
      </c>
      <c r="AK99" s="272">
        <v>21.5</v>
      </c>
      <c r="AL99" s="2">
        <v>200</v>
      </c>
      <c r="AM99" s="2">
        <v>608</v>
      </c>
      <c r="AN99" s="59">
        <f t="shared" si="37"/>
        <v>2.0125786163522013</v>
      </c>
      <c r="AO99" s="59">
        <f t="shared" si="38"/>
        <v>2.96730112249878</v>
      </c>
      <c r="AP99" s="272">
        <v>323.10000000000002</v>
      </c>
      <c r="AQ99" s="59">
        <f t="shared" si="39"/>
        <v>1.0695134061569018</v>
      </c>
      <c r="AR99" s="59">
        <f t="shared" si="40"/>
        <v>1.5768667642752563</v>
      </c>
    </row>
    <row r="100" spans="1:45" x14ac:dyDescent="0.25">
      <c r="A100" s="2">
        <v>92</v>
      </c>
      <c r="B100" s="2" t="s">
        <v>13</v>
      </c>
      <c r="C100" s="2">
        <v>63</v>
      </c>
      <c r="D100" s="369" t="s">
        <v>625</v>
      </c>
      <c r="E100" s="2" t="s">
        <v>489</v>
      </c>
      <c r="F100" s="2">
        <v>1200</v>
      </c>
      <c r="G100" s="2">
        <f t="shared" si="45"/>
        <v>2400</v>
      </c>
      <c r="H100" s="2">
        <v>1590</v>
      </c>
      <c r="I100" s="58">
        <f t="shared" si="41"/>
        <v>1908000</v>
      </c>
      <c r="J100" s="2">
        <v>190</v>
      </c>
      <c r="K100" s="2">
        <v>1272</v>
      </c>
      <c r="L100" s="59">
        <f t="shared" si="46"/>
        <v>0.75471698113207553</v>
      </c>
      <c r="M100" s="59">
        <f t="shared" si="47"/>
        <v>1.5094339622641511</v>
      </c>
      <c r="N100" s="282">
        <f t="shared" si="34"/>
        <v>204900</v>
      </c>
      <c r="O100" s="58">
        <f t="shared" si="42"/>
        <v>302100</v>
      </c>
      <c r="P100" s="59">
        <f t="shared" si="35"/>
        <v>0.67825223435948356</v>
      </c>
      <c r="Q100" s="59"/>
      <c r="R100" s="2">
        <v>14.2</v>
      </c>
      <c r="S100" s="287">
        <f t="shared" si="22"/>
        <v>20.936163982430454</v>
      </c>
      <c r="T100" s="60">
        <v>23.4</v>
      </c>
      <c r="U100" s="293">
        <v>3</v>
      </c>
      <c r="V100" s="293">
        <v>10</v>
      </c>
      <c r="W100" s="389"/>
      <c r="X100" s="389"/>
      <c r="Y100" s="2">
        <v>0</v>
      </c>
      <c r="Z100" s="289">
        <v>0</v>
      </c>
      <c r="AA100" s="2">
        <v>0</v>
      </c>
      <c r="AB100" s="293">
        <f t="shared" si="43"/>
        <v>0</v>
      </c>
      <c r="AC100" s="2">
        <v>0</v>
      </c>
      <c r="AD100" s="2">
        <v>0</v>
      </c>
      <c r="AE100" s="2">
        <v>0</v>
      </c>
      <c r="AF100" s="58">
        <f t="shared" si="28"/>
        <v>128.99999999999997</v>
      </c>
      <c r="AG100" s="282">
        <f t="shared" si="29"/>
        <v>128.99999999999997</v>
      </c>
      <c r="AH100" s="58">
        <f t="shared" si="36"/>
        <v>5.6578947368421048E-4</v>
      </c>
      <c r="AI100" s="2">
        <v>530</v>
      </c>
      <c r="AJ100" s="58">
        <f t="shared" si="44"/>
        <v>0.29986842105263156</v>
      </c>
      <c r="AK100" s="272">
        <v>21.5</v>
      </c>
      <c r="AL100" s="2">
        <v>200</v>
      </c>
      <c r="AM100" s="2">
        <v>608</v>
      </c>
      <c r="AN100" s="59">
        <f t="shared" si="37"/>
        <v>2.0125786163522013</v>
      </c>
      <c r="AO100" s="59">
        <f t="shared" si="38"/>
        <v>2.96730112249878</v>
      </c>
      <c r="AP100" s="272">
        <v>339.2</v>
      </c>
      <c r="AQ100" s="59">
        <f t="shared" si="39"/>
        <v>1.1228070175438596</v>
      </c>
      <c r="AR100" s="59">
        <f t="shared" si="40"/>
        <v>1.6554416788677404</v>
      </c>
    </row>
    <row r="101" spans="1:45" x14ac:dyDescent="0.25">
      <c r="A101" s="2">
        <v>93</v>
      </c>
      <c r="B101" s="2" t="s">
        <v>13</v>
      </c>
      <c r="C101" s="2">
        <v>64</v>
      </c>
      <c r="D101" s="369" t="s">
        <v>625</v>
      </c>
      <c r="E101" s="2" t="s">
        <v>489</v>
      </c>
      <c r="F101" s="2">
        <v>1200</v>
      </c>
      <c r="G101" s="2">
        <f t="shared" si="45"/>
        <v>2400</v>
      </c>
      <c r="H101" s="2">
        <v>1590</v>
      </c>
      <c r="I101" s="58">
        <f t="shared" si="41"/>
        <v>1908000</v>
      </c>
      <c r="J101" s="2">
        <v>190</v>
      </c>
      <c r="K101" s="2">
        <v>1272</v>
      </c>
      <c r="L101" s="59">
        <f t="shared" si="46"/>
        <v>0.75471698113207553</v>
      </c>
      <c r="M101" s="59">
        <f t="shared" si="47"/>
        <v>1.5094339622641511</v>
      </c>
      <c r="N101" s="282">
        <f t="shared" si="34"/>
        <v>204900</v>
      </c>
      <c r="O101" s="58">
        <f t="shared" si="42"/>
        <v>302100</v>
      </c>
      <c r="P101" s="59">
        <f t="shared" si="35"/>
        <v>0.67825223435948356</v>
      </c>
      <c r="Q101" s="59"/>
      <c r="R101" s="2">
        <v>14.2</v>
      </c>
      <c r="S101" s="287">
        <f t="shared" si="22"/>
        <v>20.936163982430454</v>
      </c>
      <c r="T101" s="60">
        <v>23.4</v>
      </c>
      <c r="U101" s="293">
        <v>3</v>
      </c>
      <c r="V101" s="293">
        <v>10</v>
      </c>
      <c r="W101" s="389"/>
      <c r="X101" s="389"/>
      <c r="Y101" s="2">
        <v>0</v>
      </c>
      <c r="Z101" s="289">
        <v>0</v>
      </c>
      <c r="AA101" s="2">
        <v>0</v>
      </c>
      <c r="AB101" s="293">
        <f t="shared" si="43"/>
        <v>0</v>
      </c>
      <c r="AC101" s="2">
        <v>0</v>
      </c>
      <c r="AD101" s="2">
        <v>0</v>
      </c>
      <c r="AE101" s="2">
        <v>0</v>
      </c>
      <c r="AF101" s="58">
        <f t="shared" si="28"/>
        <v>128.99999999999997</v>
      </c>
      <c r="AG101" s="282">
        <f t="shared" si="29"/>
        <v>128.99999999999997</v>
      </c>
      <c r="AH101" s="58">
        <f t="shared" si="36"/>
        <v>5.6578947368421048E-4</v>
      </c>
      <c r="AI101" s="2">
        <v>530</v>
      </c>
      <c r="AJ101" s="58">
        <f t="shared" si="44"/>
        <v>0.29986842105263156</v>
      </c>
      <c r="AK101" s="272">
        <v>21.5</v>
      </c>
      <c r="AL101" s="2">
        <v>200</v>
      </c>
      <c r="AM101" s="2">
        <v>608</v>
      </c>
      <c r="AN101" s="59">
        <f t="shared" si="37"/>
        <v>2.0125786163522013</v>
      </c>
      <c r="AO101" s="59">
        <f t="shared" si="38"/>
        <v>2.96730112249878</v>
      </c>
      <c r="AP101" s="272">
        <v>320.39999999999998</v>
      </c>
      <c r="AQ101" s="59">
        <f t="shared" si="39"/>
        <v>1.0605759682224427</v>
      </c>
      <c r="AR101" s="59">
        <f t="shared" si="40"/>
        <v>1.563689604685212</v>
      </c>
    </row>
    <row r="102" spans="1:45" x14ac:dyDescent="0.25">
      <c r="A102" s="2">
        <v>94</v>
      </c>
      <c r="B102" s="2" t="s">
        <v>13</v>
      </c>
      <c r="C102" s="2">
        <v>65</v>
      </c>
      <c r="D102" s="369" t="s">
        <v>625</v>
      </c>
      <c r="E102" s="2" t="s">
        <v>489</v>
      </c>
      <c r="F102" s="2">
        <v>1200</v>
      </c>
      <c r="G102" s="2">
        <f t="shared" si="45"/>
        <v>2400</v>
      </c>
      <c r="H102" s="2">
        <v>1590</v>
      </c>
      <c r="I102" s="58">
        <f t="shared" si="41"/>
        <v>1908000</v>
      </c>
      <c r="J102" s="2">
        <v>190</v>
      </c>
      <c r="K102" s="2">
        <v>1272</v>
      </c>
      <c r="L102" s="59">
        <f t="shared" si="46"/>
        <v>0.75471698113207553</v>
      </c>
      <c r="M102" s="59">
        <f t="shared" si="47"/>
        <v>1.5094339622641511</v>
      </c>
      <c r="N102" s="282">
        <f t="shared" si="34"/>
        <v>204900</v>
      </c>
      <c r="O102" s="58">
        <f t="shared" si="42"/>
        <v>302100</v>
      </c>
      <c r="P102" s="59">
        <f t="shared" ref="P102:P118" si="48">N102/O102</f>
        <v>0.67825223435948356</v>
      </c>
      <c r="Q102" s="59"/>
      <c r="R102" s="2">
        <v>14.2</v>
      </c>
      <c r="S102" s="287">
        <f t="shared" ref="S102:S108" si="49">R102/P102</f>
        <v>20.936163982430454</v>
      </c>
      <c r="T102" s="60">
        <v>23.4</v>
      </c>
      <c r="U102" s="293">
        <v>3</v>
      </c>
      <c r="V102" s="293">
        <v>10</v>
      </c>
      <c r="W102" s="389"/>
      <c r="X102" s="389"/>
      <c r="Y102" s="2">
        <v>0</v>
      </c>
      <c r="Z102" s="289">
        <v>0</v>
      </c>
      <c r="AA102" s="2">
        <v>0</v>
      </c>
      <c r="AB102" s="293">
        <f t="shared" si="43"/>
        <v>0</v>
      </c>
      <c r="AC102" s="2">
        <v>0</v>
      </c>
      <c r="AD102" s="2">
        <v>0</v>
      </c>
      <c r="AE102" s="2">
        <v>0</v>
      </c>
      <c r="AF102" s="58">
        <f t="shared" si="28"/>
        <v>128.99999999999997</v>
      </c>
      <c r="AG102" s="282">
        <f t="shared" si="29"/>
        <v>128.99999999999997</v>
      </c>
      <c r="AH102" s="58">
        <f t="shared" si="36"/>
        <v>5.6578947368421048E-4</v>
      </c>
      <c r="AI102" s="2">
        <v>530</v>
      </c>
      <c r="AJ102" s="58">
        <f t="shared" si="44"/>
        <v>0.29986842105263156</v>
      </c>
      <c r="AK102" s="272">
        <v>21.5</v>
      </c>
      <c r="AL102" s="2">
        <v>200</v>
      </c>
      <c r="AM102" s="2">
        <v>608</v>
      </c>
      <c r="AN102" s="59">
        <f t="shared" ref="AN102:AN130" si="50">AM102/O102*1000</f>
        <v>2.0125786163522013</v>
      </c>
      <c r="AO102" s="59">
        <f t="shared" ref="AO102:AO108" si="51">AM102/N102*1000</f>
        <v>2.96730112249878</v>
      </c>
      <c r="AP102" s="272">
        <v>334.6</v>
      </c>
      <c r="AQ102" s="59">
        <f t="shared" ref="AQ102:AQ108" si="52">AP102/(J102*H102)*1000</f>
        <v>1.1075802714333003</v>
      </c>
      <c r="AR102" s="59">
        <f t="shared" ref="AR102:AR108" si="53">AP102/N102*1000</f>
        <v>1.632991703269888</v>
      </c>
    </row>
    <row r="103" spans="1:45" s="296" customFormat="1" x14ac:dyDescent="0.25">
      <c r="A103" s="296">
        <v>95</v>
      </c>
      <c r="B103" s="296" t="s">
        <v>13</v>
      </c>
      <c r="C103" s="296">
        <v>66</v>
      </c>
      <c r="D103" s="373" t="s">
        <v>625</v>
      </c>
      <c r="E103" s="296" t="s">
        <v>489</v>
      </c>
      <c r="F103" s="296">
        <v>1200</v>
      </c>
      <c r="G103" s="296">
        <f t="shared" si="45"/>
        <v>2400</v>
      </c>
      <c r="H103" s="296">
        <v>1590</v>
      </c>
      <c r="I103" s="298">
        <f t="shared" si="41"/>
        <v>1908000</v>
      </c>
      <c r="J103" s="296">
        <v>190</v>
      </c>
      <c r="K103" s="296">
        <v>1272</v>
      </c>
      <c r="L103" s="300">
        <f t="shared" si="46"/>
        <v>0.75471698113207553</v>
      </c>
      <c r="M103" s="300">
        <f t="shared" si="47"/>
        <v>1.5094339622641511</v>
      </c>
      <c r="N103" s="304">
        <f t="shared" si="34"/>
        <v>204900</v>
      </c>
      <c r="O103" s="298">
        <f t="shared" si="42"/>
        <v>302100</v>
      </c>
      <c r="P103" s="300">
        <f t="shared" si="48"/>
        <v>0.67825223435948356</v>
      </c>
      <c r="Q103" s="300"/>
      <c r="R103" s="296">
        <v>14.2</v>
      </c>
      <c r="S103" s="302">
        <f t="shared" si="49"/>
        <v>20.936163982430454</v>
      </c>
      <c r="T103" s="307">
        <v>23.4</v>
      </c>
      <c r="U103" s="297">
        <v>3</v>
      </c>
      <c r="V103" s="297">
        <v>10</v>
      </c>
      <c r="W103" s="390"/>
      <c r="X103" s="390"/>
      <c r="Y103" s="296">
        <v>0</v>
      </c>
      <c r="Z103" s="303">
        <v>0</v>
      </c>
      <c r="AA103" s="296">
        <v>0</v>
      </c>
      <c r="AB103" s="297">
        <f t="shared" si="43"/>
        <v>0</v>
      </c>
      <c r="AC103" s="296">
        <v>0</v>
      </c>
      <c r="AD103" s="296">
        <v>0</v>
      </c>
      <c r="AE103" s="296">
        <v>0</v>
      </c>
      <c r="AF103" s="298">
        <f t="shared" si="28"/>
        <v>128.99999999999997</v>
      </c>
      <c r="AG103" s="304">
        <f t="shared" si="29"/>
        <v>128.99999999999997</v>
      </c>
      <c r="AH103" s="298">
        <f t="shared" si="36"/>
        <v>5.6578947368421048E-4</v>
      </c>
      <c r="AI103" s="296">
        <v>530</v>
      </c>
      <c r="AJ103" s="298">
        <f t="shared" si="44"/>
        <v>0.29986842105263156</v>
      </c>
      <c r="AK103" s="299">
        <v>21.5</v>
      </c>
      <c r="AL103" s="296">
        <v>200</v>
      </c>
      <c r="AM103" s="296">
        <v>608</v>
      </c>
      <c r="AN103" s="300">
        <f t="shared" si="50"/>
        <v>2.0125786163522013</v>
      </c>
      <c r="AO103" s="300">
        <f t="shared" si="51"/>
        <v>2.96730112249878</v>
      </c>
      <c r="AP103" s="299">
        <v>333.2</v>
      </c>
      <c r="AQ103" s="300">
        <f t="shared" si="52"/>
        <v>1.1029460443561736</v>
      </c>
      <c r="AR103" s="300">
        <f t="shared" si="53"/>
        <v>1.626159102000976</v>
      </c>
      <c r="AS103" s="361"/>
    </row>
    <row r="104" spans="1:45" x14ac:dyDescent="0.25">
      <c r="A104" s="2">
        <v>96</v>
      </c>
      <c r="B104" s="2" t="s">
        <v>63</v>
      </c>
      <c r="C104" s="2" t="s">
        <v>506</v>
      </c>
      <c r="D104" s="2" t="s">
        <v>615</v>
      </c>
      <c r="E104" s="2" t="s">
        <v>489</v>
      </c>
      <c r="F104" s="2">
        <v>2337</v>
      </c>
      <c r="G104" s="2">
        <f t="shared" si="45"/>
        <v>4674</v>
      </c>
      <c r="H104" s="2">
        <v>2631</v>
      </c>
      <c r="I104" s="58">
        <f t="shared" si="41"/>
        <v>6148647</v>
      </c>
      <c r="J104" s="2">
        <v>194</v>
      </c>
      <c r="K104" s="2">
        <v>2631</v>
      </c>
      <c r="L104" s="59">
        <f t="shared" si="46"/>
        <v>0.88825541619156212</v>
      </c>
      <c r="M104" s="59">
        <f t="shared" si="47"/>
        <v>1.7765108323831242</v>
      </c>
      <c r="N104" s="2">
        <v>229677</v>
      </c>
      <c r="O104" s="58">
        <f t="shared" si="42"/>
        <v>510414</v>
      </c>
      <c r="P104" s="59">
        <f t="shared" si="48"/>
        <v>0.44998177949664392</v>
      </c>
      <c r="Q104" s="2">
        <v>18.100000000000001</v>
      </c>
      <c r="R104" s="351">
        <v>11.3</v>
      </c>
      <c r="S104" s="287">
        <f t="shared" si="49"/>
        <v>25.112127901357123</v>
      </c>
      <c r="T104" s="2">
        <v>29.2</v>
      </c>
      <c r="U104" s="2">
        <v>3</v>
      </c>
      <c r="V104" s="2">
        <v>4</v>
      </c>
      <c r="Y104" s="2">
        <v>200</v>
      </c>
      <c r="Z104" s="2">
        <v>4.5599999999999998E-3</v>
      </c>
      <c r="AA104" s="2">
        <v>438</v>
      </c>
      <c r="AB104" s="58">
        <f t="shared" si="43"/>
        <v>1.9972799999999999</v>
      </c>
      <c r="AC104" s="2">
        <v>200</v>
      </c>
      <c r="AD104" s="2">
        <v>1219</v>
      </c>
      <c r="AE104" s="294">
        <v>200</v>
      </c>
      <c r="AF104" s="2">
        <v>0</v>
      </c>
      <c r="AG104" s="294">
        <f>AE104+AF104</f>
        <v>200</v>
      </c>
      <c r="AH104" s="284">
        <v>8.4999999999999995E-4</v>
      </c>
      <c r="AI104" s="2">
        <v>438</v>
      </c>
      <c r="AJ104" s="288">
        <f t="shared" si="44"/>
        <v>0.37229999999999996</v>
      </c>
      <c r="AK104" s="272">
        <v>200</v>
      </c>
      <c r="AL104" s="2">
        <v>1219</v>
      </c>
      <c r="AM104" s="2">
        <v>49.286000000000001</v>
      </c>
      <c r="AN104" s="59">
        <f t="shared" si="50"/>
        <v>9.6560831011688553E-2</v>
      </c>
      <c r="AO104" s="59">
        <f t="shared" si="51"/>
        <v>0.21458831315281895</v>
      </c>
      <c r="AP104" s="272">
        <v>221.8</v>
      </c>
      <c r="AQ104" s="59">
        <f t="shared" si="52"/>
        <v>0.43454920907341882</v>
      </c>
      <c r="AR104" s="59">
        <f t="shared" si="53"/>
        <v>0.96570401041462584</v>
      </c>
    </row>
    <row r="105" spans="1:45" x14ac:dyDescent="0.25">
      <c r="A105" s="2">
        <v>97</v>
      </c>
      <c r="B105" s="2" t="s">
        <v>63</v>
      </c>
      <c r="C105" s="2" t="s">
        <v>507</v>
      </c>
      <c r="D105" s="2" t="s">
        <v>615</v>
      </c>
      <c r="E105" s="2" t="s">
        <v>489</v>
      </c>
      <c r="F105" s="2">
        <v>2337</v>
      </c>
      <c r="G105" s="2">
        <f t="shared" si="45"/>
        <v>4674</v>
      </c>
      <c r="H105" s="2">
        <v>2631</v>
      </c>
      <c r="I105" s="58">
        <f t="shared" ref="I105:I119" si="54">H105*F105</f>
        <v>6148647</v>
      </c>
      <c r="J105" s="2">
        <v>194</v>
      </c>
      <c r="K105" s="2">
        <v>2631</v>
      </c>
      <c r="L105" s="59">
        <f t="shared" si="46"/>
        <v>0.88825541619156212</v>
      </c>
      <c r="M105" s="59">
        <f t="shared" si="47"/>
        <v>1.7765108323831242</v>
      </c>
      <c r="N105" s="2">
        <v>229677</v>
      </c>
      <c r="O105" s="58">
        <f t="shared" ref="O105:O119" si="55">J105*H105</f>
        <v>510414</v>
      </c>
      <c r="P105" s="59">
        <f t="shared" si="48"/>
        <v>0.44998177949664392</v>
      </c>
      <c r="Q105" s="2">
        <v>18.100000000000001</v>
      </c>
      <c r="R105" s="351">
        <v>11.3</v>
      </c>
      <c r="S105" s="287">
        <f t="shared" si="49"/>
        <v>25.112127901357123</v>
      </c>
      <c r="T105" s="2">
        <v>29.2</v>
      </c>
      <c r="U105" s="2">
        <v>3</v>
      </c>
      <c r="V105" s="2">
        <v>4</v>
      </c>
      <c r="Y105" s="2">
        <v>284</v>
      </c>
      <c r="Z105" s="2">
        <v>4.5599999999999998E-3</v>
      </c>
      <c r="AA105" s="2">
        <v>438</v>
      </c>
      <c r="AB105" s="58">
        <f t="shared" ref="AB105:AB145" si="56">Z105*AA105</f>
        <v>1.9972799999999999</v>
      </c>
      <c r="AC105" s="2">
        <v>284</v>
      </c>
      <c r="AD105" s="2">
        <v>1219</v>
      </c>
      <c r="AE105" s="294">
        <v>284</v>
      </c>
      <c r="AF105" s="2">
        <v>0</v>
      </c>
      <c r="AG105" s="294">
        <f t="shared" ref="AG105:AG108" si="57">AE105+AF105</f>
        <v>284</v>
      </c>
      <c r="AH105" s="2">
        <v>1.1999999999999999E-3</v>
      </c>
      <c r="AI105" s="2">
        <v>438</v>
      </c>
      <c r="AJ105" s="288">
        <f t="shared" ref="AJ105:AJ168" si="58">AH105*AI105</f>
        <v>0.52559999999999996</v>
      </c>
      <c r="AK105" s="272">
        <v>284</v>
      </c>
      <c r="AL105" s="2">
        <v>1219</v>
      </c>
      <c r="AM105" s="2">
        <v>49.286000000000001</v>
      </c>
      <c r="AN105" s="59">
        <f t="shared" si="50"/>
        <v>9.6560831011688553E-2</v>
      </c>
      <c r="AO105" s="59">
        <f t="shared" si="51"/>
        <v>0.21458831315281895</v>
      </c>
      <c r="AP105" s="272">
        <v>227.7</v>
      </c>
      <c r="AQ105" s="59">
        <f t="shared" si="52"/>
        <v>0.44610845313804082</v>
      </c>
      <c r="AR105" s="59">
        <f t="shared" si="53"/>
        <v>0.99139225956451871</v>
      </c>
    </row>
    <row r="106" spans="1:45" x14ac:dyDescent="0.25">
      <c r="A106" s="2">
        <v>98</v>
      </c>
      <c r="B106" s="2" t="s">
        <v>63</v>
      </c>
      <c r="C106" s="2" t="s">
        <v>508</v>
      </c>
      <c r="D106" s="2" t="s">
        <v>615</v>
      </c>
      <c r="E106" s="2" t="s">
        <v>489</v>
      </c>
      <c r="F106" s="2">
        <v>2337</v>
      </c>
      <c r="G106" s="2">
        <f t="shared" si="45"/>
        <v>4674</v>
      </c>
      <c r="H106" s="2">
        <v>2631</v>
      </c>
      <c r="I106" s="58">
        <f t="shared" si="54"/>
        <v>6148647</v>
      </c>
      <c r="J106" s="2">
        <v>194</v>
      </c>
      <c r="K106" s="2">
        <v>2631</v>
      </c>
      <c r="L106" s="59">
        <f t="shared" si="46"/>
        <v>0.88825541619156212</v>
      </c>
      <c r="M106" s="59">
        <f t="shared" si="47"/>
        <v>1.7765108323831242</v>
      </c>
      <c r="N106" s="2">
        <v>229677</v>
      </c>
      <c r="O106" s="58">
        <f t="shared" si="55"/>
        <v>510414</v>
      </c>
      <c r="P106" s="59">
        <f t="shared" si="48"/>
        <v>0.44998177949664392</v>
      </c>
      <c r="Q106" s="2">
        <v>18.100000000000001</v>
      </c>
      <c r="R106" s="351">
        <v>11.3</v>
      </c>
      <c r="S106" s="287">
        <f t="shared" si="49"/>
        <v>25.112127901357123</v>
      </c>
      <c r="T106" s="2">
        <v>29.2</v>
      </c>
      <c r="U106" s="2">
        <v>3</v>
      </c>
      <c r="V106" s="2">
        <v>4</v>
      </c>
      <c r="Y106" s="2">
        <v>400</v>
      </c>
      <c r="Z106" s="2">
        <v>4.5599999999999998E-3</v>
      </c>
      <c r="AA106" s="2">
        <v>438</v>
      </c>
      <c r="AB106" s="58">
        <f t="shared" si="56"/>
        <v>1.9972799999999999</v>
      </c>
      <c r="AC106" s="2">
        <v>400</v>
      </c>
      <c r="AD106" s="2">
        <v>1219</v>
      </c>
      <c r="AE106" s="294">
        <v>400</v>
      </c>
      <c r="AF106" s="2">
        <v>0</v>
      </c>
      <c r="AG106" s="294">
        <f t="shared" si="57"/>
        <v>400</v>
      </c>
      <c r="AH106" s="2">
        <v>1.6900000000000001E-3</v>
      </c>
      <c r="AI106" s="2">
        <v>438</v>
      </c>
      <c r="AJ106" s="288">
        <f t="shared" si="58"/>
        <v>0.74021999999999999</v>
      </c>
      <c r="AK106" s="272">
        <v>400</v>
      </c>
      <c r="AL106" s="2">
        <v>1219</v>
      </c>
      <c r="AM106" s="2">
        <v>49.286000000000001</v>
      </c>
      <c r="AN106" s="59">
        <f t="shared" si="50"/>
        <v>9.6560831011688553E-2</v>
      </c>
      <c r="AO106" s="59">
        <f t="shared" si="51"/>
        <v>0.21458831315281895</v>
      </c>
      <c r="AP106" s="272">
        <v>202.9</v>
      </c>
      <c r="AQ106" s="59">
        <f t="shared" si="52"/>
        <v>0.39752044418844312</v>
      </c>
      <c r="AR106" s="59">
        <f t="shared" si="53"/>
        <v>0.88341453432429018</v>
      </c>
    </row>
    <row r="107" spans="1:45" x14ac:dyDescent="0.25">
      <c r="A107" s="2">
        <v>99</v>
      </c>
      <c r="B107" s="2" t="s">
        <v>63</v>
      </c>
      <c r="C107" s="2" t="s">
        <v>509</v>
      </c>
      <c r="D107" s="2" t="s">
        <v>615</v>
      </c>
      <c r="E107" s="2" t="s">
        <v>489</v>
      </c>
      <c r="F107" s="2">
        <v>2337</v>
      </c>
      <c r="G107" s="2">
        <f t="shared" si="45"/>
        <v>4674</v>
      </c>
      <c r="H107" s="2">
        <v>2631</v>
      </c>
      <c r="I107" s="58">
        <f t="shared" si="54"/>
        <v>6148647</v>
      </c>
      <c r="J107" s="2">
        <v>194</v>
      </c>
      <c r="K107" s="2">
        <v>2631</v>
      </c>
      <c r="L107" s="59">
        <f t="shared" si="46"/>
        <v>0.88825541619156212</v>
      </c>
      <c r="M107" s="59">
        <f t="shared" si="47"/>
        <v>1.7765108323831242</v>
      </c>
      <c r="N107" s="2">
        <v>250322</v>
      </c>
      <c r="O107" s="58">
        <f t="shared" si="55"/>
        <v>510414</v>
      </c>
      <c r="P107" s="59">
        <f t="shared" si="48"/>
        <v>0.4904293377532748</v>
      </c>
      <c r="Q107" s="2">
        <v>18.100000000000001</v>
      </c>
      <c r="R107" s="351">
        <v>11.3</v>
      </c>
      <c r="S107" s="287">
        <f t="shared" si="49"/>
        <v>23.041035945701939</v>
      </c>
      <c r="T107" s="2">
        <v>29.2</v>
      </c>
      <c r="U107" s="2">
        <v>3</v>
      </c>
      <c r="V107" s="2">
        <v>4</v>
      </c>
      <c r="Y107" s="2">
        <v>200</v>
      </c>
      <c r="Z107" s="2">
        <v>4.4600000000000004E-3</v>
      </c>
      <c r="AA107" s="2">
        <v>438</v>
      </c>
      <c r="AB107" s="58">
        <f t="shared" si="56"/>
        <v>1.9534800000000001</v>
      </c>
      <c r="AC107" s="2">
        <v>200</v>
      </c>
      <c r="AD107" s="2">
        <v>813</v>
      </c>
      <c r="AE107" s="294">
        <v>200</v>
      </c>
      <c r="AF107" s="2">
        <v>0</v>
      </c>
      <c r="AG107" s="294">
        <f t="shared" si="57"/>
        <v>200</v>
      </c>
      <c r="AH107" s="2">
        <v>8.4999999999999995E-4</v>
      </c>
      <c r="AI107" s="2">
        <v>438</v>
      </c>
      <c r="AJ107" s="288">
        <f t="shared" si="58"/>
        <v>0.37229999999999996</v>
      </c>
      <c r="AK107" s="272">
        <v>200</v>
      </c>
      <c r="AL107" s="2">
        <v>1219</v>
      </c>
      <c r="AM107" s="2">
        <v>49.286000000000001</v>
      </c>
      <c r="AN107" s="59">
        <f t="shared" si="50"/>
        <v>9.6560831011688553E-2</v>
      </c>
      <c r="AO107" s="59">
        <f t="shared" si="51"/>
        <v>0.19689040515815631</v>
      </c>
      <c r="AP107" s="272">
        <v>260</v>
      </c>
      <c r="AQ107" s="59">
        <f t="shared" si="52"/>
        <v>0.5093904164070735</v>
      </c>
      <c r="AR107" s="59">
        <f t="shared" si="53"/>
        <v>1.03866220308243</v>
      </c>
    </row>
    <row r="108" spans="1:45" s="296" customFormat="1" x14ac:dyDescent="0.25">
      <c r="A108" s="296">
        <v>100</v>
      </c>
      <c r="B108" s="296" t="s">
        <v>63</v>
      </c>
      <c r="C108" s="296" t="s">
        <v>510</v>
      </c>
      <c r="D108" s="296" t="s">
        <v>615</v>
      </c>
      <c r="E108" s="296" t="s">
        <v>489</v>
      </c>
      <c r="F108" s="296">
        <v>2337</v>
      </c>
      <c r="G108" s="296">
        <f t="shared" si="45"/>
        <v>4674</v>
      </c>
      <c r="H108" s="296">
        <v>2631</v>
      </c>
      <c r="I108" s="298">
        <f t="shared" si="54"/>
        <v>6148647</v>
      </c>
      <c r="J108" s="296">
        <v>194</v>
      </c>
      <c r="K108" s="296">
        <v>2631</v>
      </c>
      <c r="L108" s="300">
        <f t="shared" si="46"/>
        <v>0.88825541619156212</v>
      </c>
      <c r="M108" s="300">
        <f t="shared" si="47"/>
        <v>1.7765108323831242</v>
      </c>
      <c r="N108" s="296">
        <v>271612</v>
      </c>
      <c r="O108" s="298">
        <f t="shared" si="55"/>
        <v>510414</v>
      </c>
      <c r="P108" s="300">
        <f t="shared" si="48"/>
        <v>0.5321405760813771</v>
      </c>
      <c r="Q108" s="296">
        <v>18.100000000000001</v>
      </c>
      <c r="R108" s="353">
        <v>11.3</v>
      </c>
      <c r="S108" s="302">
        <f t="shared" si="49"/>
        <v>21.234990353887163</v>
      </c>
      <c r="T108" s="296">
        <v>29.2</v>
      </c>
      <c r="U108" s="296">
        <v>3</v>
      </c>
      <c r="V108" s="296">
        <v>4</v>
      </c>
      <c r="W108" s="391"/>
      <c r="X108" s="391"/>
      <c r="Y108" s="296">
        <v>200</v>
      </c>
      <c r="Z108" s="296">
        <v>4.5799999999999999E-3</v>
      </c>
      <c r="AA108" s="296">
        <v>438</v>
      </c>
      <c r="AB108" s="298">
        <f t="shared" si="56"/>
        <v>2.00604</v>
      </c>
      <c r="AC108" s="296">
        <v>200</v>
      </c>
      <c r="AD108" s="296">
        <v>610</v>
      </c>
      <c r="AE108" s="301">
        <v>200</v>
      </c>
      <c r="AF108" s="296">
        <v>0</v>
      </c>
      <c r="AG108" s="301">
        <f t="shared" si="57"/>
        <v>200</v>
      </c>
      <c r="AH108" s="296">
        <v>8.4999999999999995E-4</v>
      </c>
      <c r="AI108" s="296">
        <v>438</v>
      </c>
      <c r="AJ108" s="306">
        <f t="shared" si="58"/>
        <v>0.37229999999999996</v>
      </c>
      <c r="AK108" s="299">
        <v>200</v>
      </c>
      <c r="AL108" s="296">
        <v>1219</v>
      </c>
      <c r="AM108" s="296">
        <v>49.286000000000001</v>
      </c>
      <c r="AN108" s="300">
        <f t="shared" si="50"/>
        <v>9.6560831011688553E-2</v>
      </c>
      <c r="AO108" s="300">
        <f t="shared" si="51"/>
        <v>0.18145737301739245</v>
      </c>
      <c r="AP108" s="299">
        <v>295</v>
      </c>
      <c r="AQ108" s="300">
        <f t="shared" si="52"/>
        <v>0.57796220323110259</v>
      </c>
      <c r="AR108" s="300">
        <f t="shared" si="53"/>
        <v>1.0861081248251183</v>
      </c>
      <c r="AS108" s="361"/>
    </row>
    <row r="109" spans="1:45" x14ac:dyDescent="0.25">
      <c r="A109" s="2">
        <v>101</v>
      </c>
      <c r="B109" s="2" t="s">
        <v>49</v>
      </c>
      <c r="C109" s="2" t="s">
        <v>515</v>
      </c>
      <c r="D109" s="2" t="s">
        <v>615</v>
      </c>
      <c r="E109" s="293" t="s">
        <v>490</v>
      </c>
      <c r="F109" s="2">
        <f t="shared" ref="F109:F118" si="59">56*$M$3</f>
        <v>1422.3999999999999</v>
      </c>
      <c r="G109" s="2">
        <f t="shared" si="45"/>
        <v>1422.3999999999999</v>
      </c>
      <c r="H109" s="2">
        <f t="shared" ref="H109:H118" si="60">48*$M$3</f>
        <v>1219.1999999999998</v>
      </c>
      <c r="I109" s="58">
        <f t="shared" si="54"/>
        <v>1734190.0799999996</v>
      </c>
      <c r="J109" s="272">
        <f t="shared" ref="J109:J118" si="61">(7+5/8)*$M$3</f>
        <v>193.67499999999998</v>
      </c>
      <c r="K109" s="2">
        <f t="shared" ref="K109:K116" si="62">48*$M$3</f>
        <v>1219.1999999999998</v>
      </c>
      <c r="L109" s="59">
        <f t="shared" si="46"/>
        <v>1.1666666666666667</v>
      </c>
      <c r="M109" s="59">
        <f t="shared" si="47"/>
        <v>1.1666666666666667</v>
      </c>
      <c r="N109" s="282">
        <f t="shared" ref="N109:N118" si="63">196.5*$M$3^2</f>
        <v>126773.93999999999</v>
      </c>
      <c r="O109" s="58">
        <f t="shared" si="55"/>
        <v>236128.55999999994</v>
      </c>
      <c r="P109" s="59">
        <f t="shared" si="48"/>
        <v>0.53688524590163944</v>
      </c>
      <c r="R109" s="272">
        <f t="shared" ref="R109:R118" si="64">1800*$I$3</f>
        <v>12.410568</v>
      </c>
      <c r="S109" s="287">
        <f t="shared" ref="S109:S174" si="65">R109/P109</f>
        <v>23.115867114503811</v>
      </c>
      <c r="T109" s="272">
        <f t="shared" ref="T109:T118" si="66">1550*$I$3</f>
        <v>10.686878</v>
      </c>
      <c r="U109" s="374"/>
      <c r="V109" s="374"/>
      <c r="W109" s="392"/>
      <c r="X109" s="392"/>
      <c r="Y109" s="2">
        <v>0</v>
      </c>
      <c r="Z109" s="2">
        <v>0</v>
      </c>
      <c r="AA109" s="2">
        <v>0</v>
      </c>
      <c r="AB109" s="2">
        <f t="shared" si="56"/>
        <v>0</v>
      </c>
      <c r="AC109" s="2">
        <v>0</v>
      </c>
      <c r="AD109" s="2">
        <v>0</v>
      </c>
      <c r="AE109" s="2">
        <v>0</v>
      </c>
      <c r="AF109" s="2">
        <v>0</v>
      </c>
      <c r="AG109" s="338">
        <f>AF109+AE109</f>
        <v>0</v>
      </c>
      <c r="AH109" s="289">
        <v>0</v>
      </c>
      <c r="AI109" s="58">
        <v>0</v>
      </c>
      <c r="AJ109" s="58">
        <f t="shared" si="58"/>
        <v>0</v>
      </c>
      <c r="AK109" s="272">
        <v>0</v>
      </c>
      <c r="AL109" s="2">
        <v>0</v>
      </c>
      <c r="AM109" s="2">
        <f t="shared" ref="AM109:AM118" si="67">39300*$P$3</f>
        <v>174.815046</v>
      </c>
      <c r="AN109" s="59">
        <f t="shared" si="50"/>
        <v>0.74033842411947126</v>
      </c>
      <c r="AO109" s="271">
        <f t="shared" ref="AO109:AO118" si="68">200*$I$3</f>
        <v>1.378952</v>
      </c>
      <c r="AP109" s="272">
        <f>27.5*1000*P3</f>
        <v>122.32605000000001</v>
      </c>
      <c r="AQ109" s="59">
        <f t="shared" ref="AQ109:AQ118" si="69">AP109/O109*1000</f>
        <v>0.51804851560522813</v>
      </c>
      <c r="AR109" s="59">
        <f>140*$I$3</f>
        <v>0.96526639999999997</v>
      </c>
    </row>
    <row r="110" spans="1:45" x14ac:dyDescent="0.25">
      <c r="A110" s="2">
        <v>102</v>
      </c>
      <c r="B110" s="2" t="s">
        <v>49</v>
      </c>
      <c r="C110" s="2" t="s">
        <v>516</v>
      </c>
      <c r="D110" s="2" t="s">
        <v>615</v>
      </c>
      <c r="E110" s="293" t="s">
        <v>490</v>
      </c>
      <c r="F110" s="2">
        <f t="shared" si="59"/>
        <v>1422.3999999999999</v>
      </c>
      <c r="G110" s="2">
        <f t="shared" si="45"/>
        <v>1422.3999999999999</v>
      </c>
      <c r="H110" s="2">
        <f t="shared" si="60"/>
        <v>1219.1999999999998</v>
      </c>
      <c r="I110" s="58">
        <f t="shared" si="54"/>
        <v>1734190.0799999996</v>
      </c>
      <c r="J110" s="272">
        <f t="shared" si="61"/>
        <v>193.67499999999998</v>
      </c>
      <c r="K110" s="2">
        <f t="shared" si="62"/>
        <v>1219.1999999999998</v>
      </c>
      <c r="L110" s="59">
        <f t="shared" si="46"/>
        <v>1.1666666666666667</v>
      </c>
      <c r="M110" s="59">
        <f t="shared" si="47"/>
        <v>1.1666666666666667</v>
      </c>
      <c r="N110" s="282">
        <f>196.5*$M$3^2</f>
        <v>126773.93999999999</v>
      </c>
      <c r="O110" s="58">
        <f t="shared" si="55"/>
        <v>236128.55999999994</v>
      </c>
      <c r="P110" s="59">
        <f t="shared" si="48"/>
        <v>0.53688524590163944</v>
      </c>
      <c r="R110" s="272">
        <f t="shared" si="64"/>
        <v>12.410568</v>
      </c>
      <c r="S110" s="287">
        <f t="shared" si="65"/>
        <v>23.115867114503811</v>
      </c>
      <c r="T110" s="272">
        <f t="shared" si="66"/>
        <v>10.686878</v>
      </c>
      <c r="U110" s="374"/>
      <c r="V110" s="374"/>
      <c r="W110" s="392"/>
      <c r="X110" s="392"/>
      <c r="Y110" s="2">
        <v>0</v>
      </c>
      <c r="Z110" s="2">
        <v>0</v>
      </c>
      <c r="AA110" s="2">
        <v>0</v>
      </c>
      <c r="AB110" s="2">
        <f t="shared" si="56"/>
        <v>0</v>
      </c>
      <c r="AC110" s="2">
        <v>0</v>
      </c>
      <c r="AD110" s="2">
        <v>0</v>
      </c>
      <c r="AE110" s="2">
        <v>0</v>
      </c>
      <c r="AF110" s="294">
        <f>6.63*2*3</f>
        <v>39.78</v>
      </c>
      <c r="AG110" s="338">
        <f t="shared" ref="AG110:AG174" si="70">AF110+AE110</f>
        <v>39.78</v>
      </c>
      <c r="AH110" s="289">
        <v>2.42E-4</v>
      </c>
      <c r="AI110" s="282">
        <f>100525*I3</f>
        <v>693.09574899999996</v>
      </c>
      <c r="AJ110" s="58">
        <f t="shared" si="58"/>
        <v>0.16772917125799999</v>
      </c>
      <c r="AK110" s="272">
        <f>6.63*2</f>
        <v>13.26</v>
      </c>
      <c r="AL110" s="2">
        <f>16*M3</f>
        <v>406.4</v>
      </c>
      <c r="AM110" s="2">
        <f t="shared" si="67"/>
        <v>174.815046</v>
      </c>
      <c r="AN110" s="59">
        <f t="shared" si="50"/>
        <v>0.74033842411947126</v>
      </c>
      <c r="AO110" s="271">
        <f t="shared" si="68"/>
        <v>1.378952</v>
      </c>
      <c r="AP110" s="272">
        <f>35.1*1000*P3</f>
        <v>156.13252199999999</v>
      </c>
      <c r="AQ110" s="59">
        <f t="shared" si="69"/>
        <v>0.66121828719067288</v>
      </c>
      <c r="AR110" s="59">
        <f>179*$I$3</f>
        <v>1.23416204</v>
      </c>
    </row>
    <row r="111" spans="1:45" x14ac:dyDescent="0.25">
      <c r="A111" s="2">
        <v>103</v>
      </c>
      <c r="B111" s="2" t="s">
        <v>49</v>
      </c>
      <c r="C111" s="2" t="s">
        <v>517</v>
      </c>
      <c r="D111" s="2" t="s">
        <v>615</v>
      </c>
      <c r="E111" s="293" t="s">
        <v>490</v>
      </c>
      <c r="F111" s="2">
        <f t="shared" si="59"/>
        <v>1422.3999999999999</v>
      </c>
      <c r="G111" s="2">
        <f t="shared" si="45"/>
        <v>1422.3999999999999</v>
      </c>
      <c r="H111" s="2">
        <f t="shared" si="60"/>
        <v>1219.1999999999998</v>
      </c>
      <c r="I111" s="58">
        <f t="shared" si="54"/>
        <v>1734190.0799999996</v>
      </c>
      <c r="J111" s="272">
        <f t="shared" si="61"/>
        <v>193.67499999999998</v>
      </c>
      <c r="K111" s="2">
        <f t="shared" si="62"/>
        <v>1219.1999999999998</v>
      </c>
      <c r="L111" s="59">
        <f t="shared" si="46"/>
        <v>1.1666666666666667</v>
      </c>
      <c r="M111" s="59">
        <f t="shared" si="47"/>
        <v>1.1666666666666667</v>
      </c>
      <c r="N111" s="282">
        <f t="shared" si="63"/>
        <v>126773.93999999999</v>
      </c>
      <c r="O111" s="58">
        <f t="shared" si="55"/>
        <v>236128.55999999994</v>
      </c>
      <c r="P111" s="59">
        <f t="shared" si="48"/>
        <v>0.53688524590163944</v>
      </c>
      <c r="R111" s="272">
        <f t="shared" si="64"/>
        <v>12.410568</v>
      </c>
      <c r="S111" s="287">
        <f t="shared" si="65"/>
        <v>23.115867114503811</v>
      </c>
      <c r="T111" s="272">
        <f t="shared" si="66"/>
        <v>10.686878</v>
      </c>
      <c r="U111" s="374"/>
      <c r="V111" s="374"/>
      <c r="W111" s="392"/>
      <c r="X111" s="392"/>
      <c r="Y111" s="2">
        <v>0</v>
      </c>
      <c r="Z111" s="2">
        <v>0</v>
      </c>
      <c r="AA111" s="2">
        <v>0</v>
      </c>
      <c r="AB111" s="2">
        <f t="shared" si="56"/>
        <v>0</v>
      </c>
      <c r="AC111" s="2">
        <v>0</v>
      </c>
      <c r="AD111" s="2">
        <v>0</v>
      </c>
      <c r="AE111" s="2">
        <v>0</v>
      </c>
      <c r="AF111" s="294">
        <f>6.63*2*3</f>
        <v>39.78</v>
      </c>
      <c r="AG111" s="338">
        <f t="shared" si="70"/>
        <v>39.78</v>
      </c>
      <c r="AH111" s="289">
        <v>5.6599999999999999E-4</v>
      </c>
      <c r="AI111" s="282">
        <f>100525*I3</f>
        <v>693.09574899999996</v>
      </c>
      <c r="AJ111" s="58">
        <f t="shared" si="58"/>
        <v>0.39229219393399994</v>
      </c>
      <c r="AK111" s="272">
        <f>6.63*2</f>
        <v>13.26</v>
      </c>
      <c r="AL111" s="2">
        <f>8*M3</f>
        <v>203.2</v>
      </c>
      <c r="AM111" s="2">
        <f t="shared" si="67"/>
        <v>174.815046</v>
      </c>
      <c r="AN111" s="59">
        <f t="shared" si="50"/>
        <v>0.74033842411947126</v>
      </c>
      <c r="AO111" s="271">
        <f t="shared" si="68"/>
        <v>1.378952</v>
      </c>
      <c r="AP111" s="272">
        <f>33.4*1000*P3</f>
        <v>148.570548</v>
      </c>
      <c r="AQ111" s="59">
        <f t="shared" si="69"/>
        <v>0.62919346986234981</v>
      </c>
      <c r="AR111" s="59">
        <f>170*$I$3</f>
        <v>1.1721092</v>
      </c>
    </row>
    <row r="112" spans="1:45" x14ac:dyDescent="0.25">
      <c r="A112" s="2">
        <v>104</v>
      </c>
      <c r="B112" s="2" t="s">
        <v>49</v>
      </c>
      <c r="C112" s="2" t="s">
        <v>518</v>
      </c>
      <c r="D112" s="2" t="s">
        <v>615</v>
      </c>
      <c r="E112" s="293" t="s">
        <v>490</v>
      </c>
      <c r="F112" s="2">
        <f t="shared" si="59"/>
        <v>1422.3999999999999</v>
      </c>
      <c r="G112" s="2">
        <f t="shared" si="45"/>
        <v>1422.3999999999999</v>
      </c>
      <c r="H112" s="2">
        <f t="shared" si="60"/>
        <v>1219.1999999999998</v>
      </c>
      <c r="I112" s="58">
        <f t="shared" si="54"/>
        <v>1734190.0799999996</v>
      </c>
      <c r="J112" s="272">
        <f t="shared" si="61"/>
        <v>193.67499999999998</v>
      </c>
      <c r="K112" s="2">
        <f t="shared" si="62"/>
        <v>1219.1999999999998</v>
      </c>
      <c r="L112" s="59">
        <f t="shared" si="46"/>
        <v>1.1666666666666667</v>
      </c>
      <c r="M112" s="59">
        <f t="shared" si="47"/>
        <v>1.1666666666666667</v>
      </c>
      <c r="N112" s="282">
        <f t="shared" si="63"/>
        <v>126773.93999999999</v>
      </c>
      <c r="O112" s="58">
        <f t="shared" si="55"/>
        <v>236128.55999999994</v>
      </c>
      <c r="P112" s="59">
        <f t="shared" si="48"/>
        <v>0.53688524590163944</v>
      </c>
      <c r="R112" s="272">
        <f t="shared" si="64"/>
        <v>12.410568</v>
      </c>
      <c r="S112" s="287">
        <f t="shared" si="65"/>
        <v>23.115867114503811</v>
      </c>
      <c r="T112" s="272">
        <f t="shared" si="66"/>
        <v>10.686878</v>
      </c>
      <c r="U112" s="374"/>
      <c r="V112" s="374"/>
      <c r="W112" s="392"/>
      <c r="X112" s="392"/>
      <c r="Y112" s="2">
        <v>0</v>
      </c>
      <c r="Z112" s="2">
        <v>0</v>
      </c>
      <c r="AA112" s="2">
        <v>0</v>
      </c>
      <c r="AB112" s="2">
        <f t="shared" si="56"/>
        <v>0</v>
      </c>
      <c r="AC112" s="2">
        <v>0</v>
      </c>
      <c r="AD112" s="2">
        <v>0</v>
      </c>
      <c r="AE112" s="2">
        <f>2*129</f>
        <v>258</v>
      </c>
      <c r="AF112" s="294">
        <v>0</v>
      </c>
      <c r="AG112" s="338">
        <f t="shared" si="70"/>
        <v>258</v>
      </c>
      <c r="AH112" s="289">
        <v>9.3599999999999998E-4</v>
      </c>
      <c r="AI112" s="282">
        <f>AVERAGE(48.5,49)*1000*I3</f>
        <v>336.11955</v>
      </c>
      <c r="AJ112" s="58">
        <f t="shared" si="58"/>
        <v>0.31460789880000001</v>
      </c>
      <c r="AK112" s="272">
        <v>0</v>
      </c>
      <c r="AL112" s="2">
        <v>0</v>
      </c>
      <c r="AM112" s="2">
        <f t="shared" si="67"/>
        <v>174.815046</v>
      </c>
      <c r="AN112" s="59">
        <f t="shared" si="50"/>
        <v>0.74033842411947126</v>
      </c>
      <c r="AO112" s="271">
        <f t="shared" si="68"/>
        <v>1.378952</v>
      </c>
      <c r="AP112" s="272">
        <f>45.4*1000*P3</f>
        <v>201.94918799999999</v>
      </c>
      <c r="AQ112" s="59">
        <f t="shared" si="69"/>
        <v>0.85525100394463094</v>
      </c>
      <c r="AR112" s="59">
        <f>231*$I$3</f>
        <v>1.5926895599999999</v>
      </c>
    </row>
    <row r="113" spans="1:45" x14ac:dyDescent="0.25">
      <c r="A113" s="2">
        <v>105</v>
      </c>
      <c r="B113" s="2" t="s">
        <v>49</v>
      </c>
      <c r="C113" s="2" t="s">
        <v>519</v>
      </c>
      <c r="D113" s="2" t="s">
        <v>615</v>
      </c>
      <c r="E113" s="293" t="s">
        <v>490</v>
      </c>
      <c r="F113" s="2">
        <f t="shared" si="59"/>
        <v>1422.3999999999999</v>
      </c>
      <c r="G113" s="2">
        <f t="shared" si="45"/>
        <v>1422.3999999999999</v>
      </c>
      <c r="H113" s="2">
        <f t="shared" si="60"/>
        <v>1219.1999999999998</v>
      </c>
      <c r="I113" s="58">
        <f t="shared" si="54"/>
        <v>1734190.0799999996</v>
      </c>
      <c r="J113" s="272">
        <f t="shared" si="61"/>
        <v>193.67499999999998</v>
      </c>
      <c r="K113" s="2">
        <f t="shared" si="62"/>
        <v>1219.1999999999998</v>
      </c>
      <c r="L113" s="59">
        <f t="shared" si="46"/>
        <v>1.1666666666666667</v>
      </c>
      <c r="M113" s="59">
        <f t="shared" si="47"/>
        <v>1.1666666666666667</v>
      </c>
      <c r="N113" s="282">
        <f t="shared" si="63"/>
        <v>126773.93999999999</v>
      </c>
      <c r="O113" s="58">
        <f t="shared" si="55"/>
        <v>236128.55999999994</v>
      </c>
      <c r="P113" s="59">
        <f t="shared" si="48"/>
        <v>0.53688524590163944</v>
      </c>
      <c r="R113" s="272">
        <f t="shared" si="64"/>
        <v>12.410568</v>
      </c>
      <c r="S113" s="287">
        <f>R113/P113</f>
        <v>23.115867114503811</v>
      </c>
      <c r="T113" s="272">
        <f t="shared" si="66"/>
        <v>10.686878</v>
      </c>
      <c r="U113" s="374"/>
      <c r="V113" s="374"/>
      <c r="W113" s="392"/>
      <c r="X113" s="392"/>
      <c r="Y113" s="2">
        <v>0</v>
      </c>
      <c r="Z113" s="2">
        <v>0</v>
      </c>
      <c r="AA113" s="2">
        <v>0</v>
      </c>
      <c r="AB113" s="2">
        <f t="shared" si="56"/>
        <v>0</v>
      </c>
      <c r="AC113" s="2">
        <v>0</v>
      </c>
      <c r="AD113" s="2">
        <v>0</v>
      </c>
      <c r="AE113" s="2">
        <f>3*200</f>
        <v>600</v>
      </c>
      <c r="AF113" s="294">
        <v>0</v>
      </c>
      <c r="AG113" s="338">
        <f t="shared" si="70"/>
        <v>600</v>
      </c>
      <c r="AH113" s="289">
        <v>2.1800000000000001E-3</v>
      </c>
      <c r="AI113" s="282">
        <f>AVERAGE(67.1,67.1,56.1)*1000*I3</f>
        <v>437.3576093333333</v>
      </c>
      <c r="AJ113" s="58">
        <f t="shared" si="58"/>
        <v>0.95343958834666664</v>
      </c>
      <c r="AK113" s="272">
        <v>0</v>
      </c>
      <c r="AL113" s="2">
        <v>0</v>
      </c>
      <c r="AM113" s="2">
        <f t="shared" si="67"/>
        <v>174.815046</v>
      </c>
      <c r="AN113" s="59">
        <f t="shared" si="50"/>
        <v>0.74033842411947126</v>
      </c>
      <c r="AO113" s="271">
        <f t="shared" si="68"/>
        <v>1.378952</v>
      </c>
      <c r="AP113" s="272">
        <f>35.1*1000*P3</f>
        <v>156.13252199999999</v>
      </c>
      <c r="AQ113" s="59">
        <f t="shared" si="69"/>
        <v>0.66121828719067288</v>
      </c>
      <c r="AR113" s="59">
        <f>179*$I$3</f>
        <v>1.23416204</v>
      </c>
    </row>
    <row r="114" spans="1:45" x14ac:dyDescent="0.25">
      <c r="A114" s="2">
        <v>106</v>
      </c>
      <c r="B114" s="2" t="s">
        <v>49</v>
      </c>
      <c r="C114" s="2" t="s">
        <v>520</v>
      </c>
      <c r="D114" s="2" t="s">
        <v>615</v>
      </c>
      <c r="E114" s="293" t="s">
        <v>490</v>
      </c>
      <c r="F114" s="2">
        <f t="shared" si="59"/>
        <v>1422.3999999999999</v>
      </c>
      <c r="G114" s="2">
        <f t="shared" si="45"/>
        <v>1422.3999999999999</v>
      </c>
      <c r="H114" s="2">
        <f t="shared" si="60"/>
        <v>1219.1999999999998</v>
      </c>
      <c r="I114" s="58">
        <f t="shared" si="54"/>
        <v>1734190.0799999996</v>
      </c>
      <c r="J114" s="272">
        <f t="shared" si="61"/>
        <v>193.67499999999998</v>
      </c>
      <c r="K114" s="2">
        <f t="shared" si="62"/>
        <v>1219.1999999999998</v>
      </c>
      <c r="L114" s="59">
        <f t="shared" si="46"/>
        <v>1.1666666666666667</v>
      </c>
      <c r="M114" s="59">
        <f t="shared" si="47"/>
        <v>1.1666666666666667</v>
      </c>
      <c r="N114" s="282">
        <f t="shared" si="63"/>
        <v>126773.93999999999</v>
      </c>
      <c r="O114" s="58">
        <f t="shared" si="55"/>
        <v>236128.55999999994</v>
      </c>
      <c r="P114" s="59">
        <f t="shared" si="48"/>
        <v>0.53688524590163944</v>
      </c>
      <c r="R114" s="272">
        <f t="shared" si="64"/>
        <v>12.410568</v>
      </c>
      <c r="S114" s="287">
        <f t="shared" si="65"/>
        <v>23.115867114503811</v>
      </c>
      <c r="T114" s="272">
        <f t="shared" si="66"/>
        <v>10.686878</v>
      </c>
      <c r="U114" s="374"/>
      <c r="V114" s="374"/>
      <c r="W114" s="392"/>
      <c r="X114" s="392"/>
      <c r="Y114" s="2">
        <v>0</v>
      </c>
      <c r="Z114" s="2">
        <v>0</v>
      </c>
      <c r="AA114" s="2">
        <v>0</v>
      </c>
      <c r="AB114" s="2">
        <f t="shared" si="56"/>
        <v>0</v>
      </c>
      <c r="AC114" s="2">
        <v>0</v>
      </c>
      <c r="AD114" s="2">
        <v>0</v>
      </c>
      <c r="AE114" s="2">
        <f>1*200</f>
        <v>200</v>
      </c>
      <c r="AF114" s="294">
        <v>0</v>
      </c>
      <c r="AG114" s="338">
        <f t="shared" si="70"/>
        <v>200</v>
      </c>
      <c r="AH114" s="289">
        <v>1.4499999999999999E-3</v>
      </c>
      <c r="AI114" s="282">
        <f>AVERAGE(55.8,55.8)*1000*I3</f>
        <v>384.72760799999998</v>
      </c>
      <c r="AJ114" s="58">
        <f t="shared" si="58"/>
        <v>0.55785503159999994</v>
      </c>
      <c r="AK114" s="272">
        <v>0</v>
      </c>
      <c r="AL114" s="2">
        <v>0</v>
      </c>
      <c r="AM114" s="2">
        <f t="shared" si="67"/>
        <v>174.815046</v>
      </c>
      <c r="AN114" s="59">
        <f t="shared" si="50"/>
        <v>0.74033842411947126</v>
      </c>
      <c r="AO114" s="271">
        <f t="shared" si="68"/>
        <v>1.378952</v>
      </c>
      <c r="AP114" s="272">
        <f>36.8*1000*P3</f>
        <v>163.69449600000002</v>
      </c>
      <c r="AQ114" s="59">
        <f t="shared" si="69"/>
        <v>0.69324310451899618</v>
      </c>
      <c r="AR114" s="59">
        <f>188*$I$3</f>
        <v>1.29621488</v>
      </c>
    </row>
    <row r="115" spans="1:45" x14ac:dyDescent="0.25">
      <c r="A115" s="2">
        <v>107</v>
      </c>
      <c r="B115" s="2" t="s">
        <v>49</v>
      </c>
      <c r="C115" s="2" t="s">
        <v>521</v>
      </c>
      <c r="D115" s="2" t="s">
        <v>615</v>
      </c>
      <c r="E115" s="293" t="s">
        <v>490</v>
      </c>
      <c r="F115" s="2">
        <f t="shared" si="59"/>
        <v>1422.3999999999999</v>
      </c>
      <c r="G115" s="2">
        <f t="shared" si="45"/>
        <v>1422.3999999999999</v>
      </c>
      <c r="H115" s="2">
        <f t="shared" si="60"/>
        <v>1219.1999999999998</v>
      </c>
      <c r="I115" s="58">
        <f t="shared" si="54"/>
        <v>1734190.0799999996</v>
      </c>
      <c r="J115" s="272">
        <f t="shared" si="61"/>
        <v>193.67499999999998</v>
      </c>
      <c r="K115" s="2">
        <f t="shared" si="62"/>
        <v>1219.1999999999998</v>
      </c>
      <c r="L115" s="59">
        <f t="shared" si="46"/>
        <v>1.1666666666666667</v>
      </c>
      <c r="M115" s="59">
        <f t="shared" si="47"/>
        <v>1.1666666666666667</v>
      </c>
      <c r="N115" s="282">
        <f t="shared" si="63"/>
        <v>126773.93999999999</v>
      </c>
      <c r="O115" s="58">
        <f t="shared" si="55"/>
        <v>236128.55999999994</v>
      </c>
      <c r="P115" s="59">
        <f t="shared" si="48"/>
        <v>0.53688524590163944</v>
      </c>
      <c r="R115" s="272">
        <f t="shared" si="64"/>
        <v>12.410568</v>
      </c>
      <c r="S115" s="287">
        <f t="shared" si="65"/>
        <v>23.115867114503811</v>
      </c>
      <c r="T115" s="272">
        <f t="shared" si="66"/>
        <v>10.686878</v>
      </c>
      <c r="U115" s="374"/>
      <c r="V115" s="374"/>
      <c r="W115" s="392"/>
      <c r="X115" s="392"/>
      <c r="Y115" s="2">
        <v>0</v>
      </c>
      <c r="Z115" s="2">
        <v>0</v>
      </c>
      <c r="AA115" s="2">
        <v>0</v>
      </c>
      <c r="AB115" s="2">
        <f t="shared" si="56"/>
        <v>0</v>
      </c>
      <c r="AC115" s="2">
        <v>0</v>
      </c>
      <c r="AD115" s="2">
        <v>0</v>
      </c>
      <c r="AE115" s="2">
        <f>3*200</f>
        <v>600</v>
      </c>
      <c r="AF115" s="294">
        <v>0</v>
      </c>
      <c r="AG115" s="338">
        <f t="shared" si="70"/>
        <v>600</v>
      </c>
      <c r="AH115" s="289">
        <v>2.1800000000000001E-3</v>
      </c>
      <c r="AI115" s="282">
        <f>AVERAGE(53.9,54.8,53.2,54.8)*1000*I3</f>
        <v>373.52362299999999</v>
      </c>
      <c r="AJ115" s="58">
        <f t="shared" si="58"/>
        <v>0.81428149813999995</v>
      </c>
      <c r="AK115" s="272">
        <v>0</v>
      </c>
      <c r="AL115" s="2">
        <v>0</v>
      </c>
      <c r="AM115" s="2">
        <f t="shared" si="67"/>
        <v>174.815046</v>
      </c>
      <c r="AN115" s="59">
        <f t="shared" si="50"/>
        <v>0.74033842411947126</v>
      </c>
      <c r="AO115" s="271">
        <f t="shared" si="68"/>
        <v>1.378952</v>
      </c>
      <c r="AP115" s="272">
        <f>26.8*1000*P3</f>
        <v>119.21229600000001</v>
      </c>
      <c r="AQ115" s="59">
        <f t="shared" si="69"/>
        <v>0.50486182611709496</v>
      </c>
      <c r="AR115" s="59">
        <f>136*$I$3</f>
        <v>0.93768735999999997</v>
      </c>
    </row>
    <row r="116" spans="1:45" x14ac:dyDescent="0.25">
      <c r="A116" s="2">
        <v>108</v>
      </c>
      <c r="B116" s="2" t="s">
        <v>49</v>
      </c>
      <c r="C116" s="2" t="s">
        <v>522</v>
      </c>
      <c r="D116" s="2" t="s">
        <v>615</v>
      </c>
      <c r="E116" s="293" t="s">
        <v>490</v>
      </c>
      <c r="F116" s="2">
        <f t="shared" si="59"/>
        <v>1422.3999999999999</v>
      </c>
      <c r="G116" s="2">
        <f t="shared" si="45"/>
        <v>1422.3999999999999</v>
      </c>
      <c r="H116" s="2">
        <f t="shared" si="60"/>
        <v>1219.1999999999998</v>
      </c>
      <c r="I116" s="58">
        <f t="shared" si="54"/>
        <v>1734190.0799999996</v>
      </c>
      <c r="J116" s="272">
        <f t="shared" si="61"/>
        <v>193.67499999999998</v>
      </c>
      <c r="K116" s="2">
        <f t="shared" si="62"/>
        <v>1219.1999999999998</v>
      </c>
      <c r="L116" s="59">
        <f t="shared" si="46"/>
        <v>1.1666666666666667</v>
      </c>
      <c r="M116" s="59">
        <f t="shared" si="47"/>
        <v>1.1666666666666667</v>
      </c>
      <c r="N116" s="282">
        <f t="shared" si="63"/>
        <v>126773.93999999999</v>
      </c>
      <c r="O116" s="58">
        <f t="shared" si="55"/>
        <v>236128.55999999994</v>
      </c>
      <c r="P116" s="59">
        <f t="shared" si="48"/>
        <v>0.53688524590163944</v>
      </c>
      <c r="R116" s="272">
        <f t="shared" si="64"/>
        <v>12.410568</v>
      </c>
      <c r="S116" s="287">
        <f t="shared" si="65"/>
        <v>23.115867114503811</v>
      </c>
      <c r="T116" s="272">
        <f t="shared" si="66"/>
        <v>10.686878</v>
      </c>
      <c r="U116" s="374"/>
      <c r="V116" s="374"/>
      <c r="W116" s="392"/>
      <c r="X116" s="392"/>
      <c r="Y116" s="2">
        <v>0</v>
      </c>
      <c r="Z116" s="2">
        <v>0</v>
      </c>
      <c r="AA116" s="2">
        <v>0</v>
      </c>
      <c r="AB116" s="2">
        <f t="shared" si="56"/>
        <v>0</v>
      </c>
      <c r="AC116" s="2">
        <v>0</v>
      </c>
      <c r="AD116" s="2">
        <v>0</v>
      </c>
      <c r="AE116" s="2">
        <f>1*71</f>
        <v>71</v>
      </c>
      <c r="AF116" s="294">
        <f>6.63*2*3</f>
        <v>39.78</v>
      </c>
      <c r="AG116" s="338">
        <f t="shared" si="70"/>
        <v>110.78</v>
      </c>
      <c r="AH116" s="289">
        <v>7.5700000000000008E-4</v>
      </c>
      <c r="AI116" s="295">
        <f>AI118</f>
        <v>372.66177799999997</v>
      </c>
      <c r="AJ116" s="58">
        <f t="shared" si="58"/>
        <v>0.28210496594599999</v>
      </c>
      <c r="AK116" s="272">
        <f>6.63*2</f>
        <v>13.26</v>
      </c>
      <c r="AL116" s="2">
        <f>16*M3</f>
        <v>406.4</v>
      </c>
      <c r="AM116" s="2">
        <f t="shared" si="67"/>
        <v>174.815046</v>
      </c>
      <c r="AN116" s="59">
        <f t="shared" si="50"/>
        <v>0.74033842411947126</v>
      </c>
      <c r="AO116" s="271">
        <f t="shared" si="68"/>
        <v>1.378952</v>
      </c>
      <c r="AP116" s="272">
        <f>39.7*1000*P3</f>
        <v>176.594334</v>
      </c>
      <c r="AQ116" s="59">
        <f t="shared" si="69"/>
        <v>0.74787367525554749</v>
      </c>
      <c r="AR116" s="59">
        <f>202*$I$3</f>
        <v>1.39274152</v>
      </c>
    </row>
    <row r="117" spans="1:45" x14ac:dyDescent="0.25">
      <c r="A117" s="2">
        <v>109</v>
      </c>
      <c r="B117" s="2" t="s">
        <v>49</v>
      </c>
      <c r="C117" s="2" t="s">
        <v>523</v>
      </c>
      <c r="D117" s="2" t="s">
        <v>615</v>
      </c>
      <c r="E117" s="293" t="s">
        <v>490</v>
      </c>
      <c r="F117" s="2">
        <f t="shared" si="59"/>
        <v>1422.3999999999999</v>
      </c>
      <c r="G117" s="2">
        <f t="shared" si="45"/>
        <v>1422.3999999999999</v>
      </c>
      <c r="H117" s="2">
        <f t="shared" si="60"/>
        <v>1219.1999999999998</v>
      </c>
      <c r="I117" s="58">
        <f t="shared" si="54"/>
        <v>1734190.0799999996</v>
      </c>
      <c r="J117" s="272">
        <f t="shared" si="61"/>
        <v>193.67499999999998</v>
      </c>
      <c r="K117" s="2">
        <f>48*$M$3</f>
        <v>1219.1999999999998</v>
      </c>
      <c r="L117" s="59">
        <f t="shared" si="46"/>
        <v>1.1666666666666667</v>
      </c>
      <c r="M117" s="59">
        <f t="shared" si="47"/>
        <v>1.1666666666666667</v>
      </c>
      <c r="N117" s="282">
        <f t="shared" si="63"/>
        <v>126773.93999999999</v>
      </c>
      <c r="O117" s="58">
        <f t="shared" si="55"/>
        <v>236128.55999999994</v>
      </c>
      <c r="P117" s="59">
        <f t="shared" si="48"/>
        <v>0.53688524590163944</v>
      </c>
      <c r="R117" s="272">
        <f t="shared" si="64"/>
        <v>12.410568</v>
      </c>
      <c r="S117" s="287">
        <f t="shared" si="65"/>
        <v>23.115867114503811</v>
      </c>
      <c r="T117" s="272">
        <f t="shared" si="66"/>
        <v>10.686878</v>
      </c>
      <c r="U117" s="374"/>
      <c r="V117" s="374"/>
      <c r="W117" s="392"/>
      <c r="X117" s="392"/>
      <c r="Y117" s="2">
        <v>0</v>
      </c>
      <c r="Z117" s="2">
        <v>0</v>
      </c>
      <c r="AA117" s="2">
        <v>0</v>
      </c>
      <c r="AB117" s="2">
        <f t="shared" si="56"/>
        <v>0</v>
      </c>
      <c r="AC117" s="2">
        <v>0</v>
      </c>
      <c r="AD117" s="2">
        <v>0</v>
      </c>
      <c r="AE117" s="2">
        <f>1*200+2*129</f>
        <v>458</v>
      </c>
      <c r="AF117" s="294">
        <f>6.63*2*3</f>
        <v>39.78</v>
      </c>
      <c r="AG117" s="338">
        <f t="shared" si="70"/>
        <v>497.78</v>
      </c>
      <c r="AH117" s="289">
        <v>2.15E-3</v>
      </c>
      <c r="AI117" s="282">
        <f>AVERAGE(49.5,49.5)*1000*I3</f>
        <v>341.29061999999999</v>
      </c>
      <c r="AJ117" s="58">
        <f t="shared" si="58"/>
        <v>0.73377483300000002</v>
      </c>
      <c r="AK117" s="272">
        <f>6.63*2</f>
        <v>13.26</v>
      </c>
      <c r="AL117" s="2">
        <f>8*M3</f>
        <v>203.2</v>
      </c>
      <c r="AM117" s="2">
        <f t="shared" si="67"/>
        <v>174.815046</v>
      </c>
      <c r="AN117" s="59">
        <f t="shared" si="50"/>
        <v>0.74033842411947126</v>
      </c>
      <c r="AO117" s="271">
        <f t="shared" si="68"/>
        <v>1.378952</v>
      </c>
      <c r="AP117" s="272">
        <f>45.2*1000*P3</f>
        <v>201.05954400000002</v>
      </c>
      <c r="AQ117" s="59">
        <f t="shared" si="69"/>
        <v>0.85148337837659305</v>
      </c>
      <c r="AR117" s="59">
        <f>230*$I$3</f>
        <v>1.5857947999999999</v>
      </c>
    </row>
    <row r="118" spans="1:45" s="296" customFormat="1" x14ac:dyDescent="0.25">
      <c r="A118" s="296">
        <v>110</v>
      </c>
      <c r="B118" s="296" t="s">
        <v>49</v>
      </c>
      <c r="C118" s="296" t="s">
        <v>524</v>
      </c>
      <c r="D118" s="296" t="s">
        <v>615</v>
      </c>
      <c r="E118" s="297" t="s">
        <v>490</v>
      </c>
      <c r="F118" s="296">
        <f t="shared" si="59"/>
        <v>1422.3999999999999</v>
      </c>
      <c r="G118" s="296">
        <f t="shared" si="45"/>
        <v>1422.3999999999999</v>
      </c>
      <c r="H118" s="296">
        <f t="shared" si="60"/>
        <v>1219.1999999999998</v>
      </c>
      <c r="I118" s="298">
        <f t="shared" si="54"/>
        <v>1734190.0799999996</v>
      </c>
      <c r="J118" s="299">
        <f t="shared" si="61"/>
        <v>193.67499999999998</v>
      </c>
      <c r="K118" s="296">
        <f>48*$M$3</f>
        <v>1219.1999999999998</v>
      </c>
      <c r="L118" s="300">
        <f t="shared" si="46"/>
        <v>1.1666666666666667</v>
      </c>
      <c r="M118" s="300">
        <f t="shared" si="47"/>
        <v>1.1666666666666667</v>
      </c>
      <c r="N118" s="304">
        <f t="shared" si="63"/>
        <v>126773.93999999999</v>
      </c>
      <c r="O118" s="298">
        <f t="shared" si="55"/>
        <v>236128.55999999994</v>
      </c>
      <c r="P118" s="300">
        <f t="shared" si="48"/>
        <v>0.53688524590163944</v>
      </c>
      <c r="R118" s="299">
        <f t="shared" si="64"/>
        <v>12.410568</v>
      </c>
      <c r="S118" s="302">
        <f t="shared" si="65"/>
        <v>23.115867114503811</v>
      </c>
      <c r="T118" s="299">
        <f t="shared" si="66"/>
        <v>10.686878</v>
      </c>
      <c r="U118" s="375"/>
      <c r="V118" s="375"/>
      <c r="W118" s="393"/>
      <c r="X118" s="393"/>
      <c r="Y118" s="296">
        <v>0</v>
      </c>
      <c r="Z118" s="296">
        <v>0</v>
      </c>
      <c r="AA118" s="296">
        <v>0</v>
      </c>
      <c r="AB118" s="296">
        <f t="shared" si="56"/>
        <v>0</v>
      </c>
      <c r="AC118" s="296">
        <v>0</v>
      </c>
      <c r="AD118" s="296">
        <v>0</v>
      </c>
      <c r="AE118" s="296">
        <f>1*200</f>
        <v>200</v>
      </c>
      <c r="AF118" s="296">
        <v>0</v>
      </c>
      <c r="AG118" s="339">
        <f t="shared" si="70"/>
        <v>200</v>
      </c>
      <c r="AH118" s="303">
        <v>1.4499999999999999E-3</v>
      </c>
      <c r="AI118" s="304">
        <f>AVERAGE(54.2,53.9)*1000*I3</f>
        <v>372.66177799999997</v>
      </c>
      <c r="AJ118" s="298">
        <f t="shared" si="58"/>
        <v>0.5403595780999999</v>
      </c>
      <c r="AK118" s="299">
        <v>0</v>
      </c>
      <c r="AL118" s="296">
        <v>0</v>
      </c>
      <c r="AM118" s="296">
        <f t="shared" si="67"/>
        <v>174.815046</v>
      </c>
      <c r="AN118" s="300">
        <f t="shared" si="50"/>
        <v>0.74033842411947126</v>
      </c>
      <c r="AO118" s="305">
        <f t="shared" si="68"/>
        <v>1.378952</v>
      </c>
      <c r="AP118" s="299">
        <f>38.6*1000*P3</f>
        <v>171.701292</v>
      </c>
      <c r="AQ118" s="300">
        <f t="shared" si="69"/>
        <v>0.72715173463133831</v>
      </c>
      <c r="AR118" s="300">
        <f>196*$I$3</f>
        <v>1.35137296</v>
      </c>
      <c r="AS118" s="361"/>
    </row>
    <row r="119" spans="1:45" x14ac:dyDescent="0.25">
      <c r="A119" s="2">
        <v>111</v>
      </c>
      <c r="B119" s="2" t="s">
        <v>65</v>
      </c>
      <c r="C119" s="2" t="s">
        <v>529</v>
      </c>
      <c r="D119" s="2" t="s">
        <v>614</v>
      </c>
      <c r="E119" s="2" t="s">
        <v>489</v>
      </c>
      <c r="F119" s="2">
        <f>(8*12+8)*$M$3</f>
        <v>2641.6</v>
      </c>
      <c r="G119" s="2">
        <f t="shared" si="45"/>
        <v>5283.2</v>
      </c>
      <c r="H119" s="2">
        <f>8*12*$M$3</f>
        <v>2438.3999999999996</v>
      </c>
      <c r="I119" s="58">
        <f t="shared" si="54"/>
        <v>6441277.4399999985</v>
      </c>
      <c r="J119" s="272">
        <f>(5+5/8)*$M$3</f>
        <v>142.875</v>
      </c>
      <c r="K119" s="287">
        <f>0.8*H119</f>
        <v>1950.7199999999998</v>
      </c>
      <c r="L119" s="59">
        <f t="shared" si="46"/>
        <v>1.0833333333333335</v>
      </c>
      <c r="M119" s="59">
        <f t="shared" si="47"/>
        <v>2.166666666666667</v>
      </c>
      <c r="N119" s="58">
        <f>(0*390/2*J119)+(H119-0*390/2)*(25.4)*2</f>
        <v>123870.71999999997</v>
      </c>
      <c r="O119" s="58">
        <f t="shared" si="55"/>
        <v>348386.39999999997</v>
      </c>
      <c r="P119" s="59">
        <f t="shared" ref="P119:P130" si="71">N119/O119</f>
        <v>0.35555555555555551</v>
      </c>
      <c r="R119" s="272">
        <f>2050*$I$3</f>
        <v>14.134257999999999</v>
      </c>
      <c r="S119" s="287">
        <f t="shared" si="65"/>
        <v>39.752600624999999</v>
      </c>
      <c r="T119" s="272">
        <f>4570*$I$3</f>
        <v>31.5090532</v>
      </c>
      <c r="U119" s="374"/>
      <c r="V119" s="294">
        <v>4</v>
      </c>
      <c r="W119" s="394"/>
      <c r="X119" s="394"/>
      <c r="Y119" s="2">
        <v>0</v>
      </c>
      <c r="Z119" s="58">
        <f>Y119/J119/K119</f>
        <v>0</v>
      </c>
      <c r="AA119" s="2">
        <v>0</v>
      </c>
      <c r="AB119" s="58">
        <f t="shared" si="56"/>
        <v>0</v>
      </c>
      <c r="AC119" s="2">
        <v>0</v>
      </c>
      <c r="AD119" s="294">
        <v>0</v>
      </c>
      <c r="AE119" s="294">
        <v>0</v>
      </c>
      <c r="AF119" s="294">
        <v>0</v>
      </c>
      <c r="AG119" s="338">
        <f t="shared" si="70"/>
        <v>0</v>
      </c>
      <c r="AH119" s="58">
        <f>AG119/J119/H119</f>
        <v>0</v>
      </c>
      <c r="AI119" s="2">
        <v>0</v>
      </c>
      <c r="AJ119" s="58">
        <f t="shared" si="58"/>
        <v>0</v>
      </c>
      <c r="AK119" s="272">
        <v>0</v>
      </c>
      <c r="AL119" s="2">
        <v>0</v>
      </c>
      <c r="AM119" s="321">
        <f>AP119*(8*12+8)/(8*12)</f>
        <v>209.14105333333336</v>
      </c>
      <c r="AN119" s="59">
        <f t="shared" si="50"/>
        <v>0.60031348334301626</v>
      </c>
      <c r="AO119" s="59">
        <f t="shared" ref="AO119:AO151" si="72">AM119/N119*1000</f>
        <v>1.6883816719022333</v>
      </c>
      <c r="AP119" s="272">
        <f>$I$3*28*1000</f>
        <v>193.05328</v>
      </c>
      <c r="AQ119" s="59">
        <f t="shared" ref="AQ119:AQ151" si="73">AP119/(J119*H119)*1000</f>
        <v>0.55413552308586111</v>
      </c>
      <c r="AR119" s="59">
        <f t="shared" ref="AR119:AR150" si="74">AP119/N119*1000</f>
        <v>1.5585061586789843</v>
      </c>
    </row>
    <row r="120" spans="1:45" x14ac:dyDescent="0.25">
      <c r="A120" s="2">
        <v>112</v>
      </c>
      <c r="B120" s="2" t="s">
        <v>65</v>
      </c>
      <c r="C120" s="2" t="s">
        <v>530</v>
      </c>
      <c r="D120" s="2" t="s">
        <v>614</v>
      </c>
      <c r="E120" s="2" t="s">
        <v>489</v>
      </c>
      <c r="F120" s="2">
        <f t="shared" ref="F120:F130" si="75">(8*12+8)*$M$3</f>
        <v>2641.6</v>
      </c>
      <c r="G120" s="2">
        <f t="shared" si="45"/>
        <v>5283.2</v>
      </c>
      <c r="H120" s="2">
        <f t="shared" ref="H120:H130" si="76">8*12*$M$3</f>
        <v>2438.3999999999996</v>
      </c>
      <c r="I120" s="58">
        <f t="shared" ref="I120:I184" si="77">H120*F120</f>
        <v>6441277.4399999985</v>
      </c>
      <c r="J120" s="272">
        <f t="shared" ref="J120:J130" si="78">(5+5/8)*$M$3</f>
        <v>142.875</v>
      </c>
      <c r="K120" s="287">
        <f t="shared" ref="K120:K145" si="79">0.8*H120</f>
        <v>1950.7199999999998</v>
      </c>
      <c r="L120" s="59">
        <f t="shared" si="46"/>
        <v>1.0833333333333335</v>
      </c>
      <c r="M120" s="59">
        <f t="shared" si="47"/>
        <v>2.166666666666667</v>
      </c>
      <c r="N120" s="58">
        <f>(2*390/2*J120)+(H120-2*390/2)*(25.4)*2</f>
        <v>159779.96999999997</v>
      </c>
      <c r="O120" s="58">
        <f t="shared" ref="O120:O171" si="80">J120*H120</f>
        <v>348386.39999999997</v>
      </c>
      <c r="P120" s="59">
        <f t="shared" si="71"/>
        <v>0.45862860892388446</v>
      </c>
      <c r="R120" s="272">
        <f>2700*$I$3</f>
        <v>18.615852</v>
      </c>
      <c r="S120" s="287">
        <f t="shared" si="65"/>
        <v>40.590254593318555</v>
      </c>
      <c r="T120" s="272">
        <f>5230*$I$3</f>
        <v>36.059594799999999</v>
      </c>
      <c r="U120" s="374"/>
      <c r="V120" s="294">
        <v>6</v>
      </c>
      <c r="W120" s="394"/>
      <c r="X120" s="394"/>
      <c r="Y120" s="294">
        <f>2*(5/8*$M$3)^2*PI()/4</f>
        <v>395.86521804492008</v>
      </c>
      <c r="Z120" s="58">
        <f t="shared" ref="Z120:Z184" si="81">Y120/J120/K120</f>
        <v>1.4203525813755939E-3</v>
      </c>
      <c r="AA120" s="2">
        <v>285</v>
      </c>
      <c r="AB120" s="58">
        <f t="shared" si="56"/>
        <v>0.40480048569204424</v>
      </c>
      <c r="AC120" s="294">
        <f>(5/8*$M$3)^2*PI()/4</f>
        <v>197.93260902246004</v>
      </c>
      <c r="AD120" s="294">
        <f>H119-200</f>
        <v>2238.3999999999996</v>
      </c>
      <c r="AE120" s="294">
        <v>0</v>
      </c>
      <c r="AF120" s="294">
        <v>0</v>
      </c>
      <c r="AG120" s="338">
        <f t="shared" si="70"/>
        <v>0</v>
      </c>
      <c r="AH120" s="58">
        <f>AG120/J120/H120</f>
        <v>0</v>
      </c>
      <c r="AI120" s="2">
        <v>0</v>
      </c>
      <c r="AJ120" s="58">
        <f t="shared" si="58"/>
        <v>0</v>
      </c>
      <c r="AK120" s="272">
        <v>0</v>
      </c>
      <c r="AL120" s="2">
        <v>0</v>
      </c>
      <c r="AM120" s="321">
        <f t="shared" ref="AM120:AM130" si="82">AP120*(8*12+8)/(8*12)</f>
        <v>507.91398666666669</v>
      </c>
      <c r="AN120" s="59">
        <f t="shared" si="50"/>
        <v>1.4579041738330392</v>
      </c>
      <c r="AO120" s="59">
        <f t="shared" si="72"/>
        <v>3.1788339093233446</v>
      </c>
      <c r="AP120" s="272">
        <f>$I$3*68*1000</f>
        <v>468.84368000000001</v>
      </c>
      <c r="AQ120" s="59">
        <f t="shared" si="73"/>
        <v>1.3457576989228055</v>
      </c>
      <c r="AR120" s="59">
        <f t="shared" si="74"/>
        <v>2.9343082239907798</v>
      </c>
    </row>
    <row r="121" spans="1:45" x14ac:dyDescent="0.25">
      <c r="A121" s="2">
        <v>113</v>
      </c>
      <c r="B121" s="2" t="s">
        <v>65</v>
      </c>
      <c r="C121" s="2" t="s">
        <v>531</v>
      </c>
      <c r="D121" s="2" t="s">
        <v>614</v>
      </c>
      <c r="E121" s="2" t="s">
        <v>489</v>
      </c>
      <c r="F121" s="2">
        <f t="shared" si="75"/>
        <v>2641.6</v>
      </c>
      <c r="G121" s="2">
        <f t="shared" si="45"/>
        <v>5283.2</v>
      </c>
      <c r="H121" s="2">
        <f t="shared" si="76"/>
        <v>2438.3999999999996</v>
      </c>
      <c r="I121" s="58">
        <f t="shared" si="77"/>
        <v>6441277.4399999985</v>
      </c>
      <c r="J121" s="272">
        <f t="shared" si="78"/>
        <v>142.875</v>
      </c>
      <c r="K121" s="287">
        <f t="shared" si="79"/>
        <v>1950.7199999999998</v>
      </c>
      <c r="L121" s="59">
        <f t="shared" si="46"/>
        <v>1.0833333333333335</v>
      </c>
      <c r="M121" s="59">
        <f t="shared" si="47"/>
        <v>2.166666666666667</v>
      </c>
      <c r="N121" s="58">
        <f>(0*390/2*J121)+(H121-0*390/2)*(25.4)*2</f>
        <v>123870.71999999997</v>
      </c>
      <c r="O121" s="58">
        <f t="shared" si="80"/>
        <v>348386.39999999997</v>
      </c>
      <c r="P121" s="59">
        <f t="shared" si="71"/>
        <v>0.35555555555555551</v>
      </c>
      <c r="R121" s="272">
        <f t="shared" ref="R121:R126" si="83">2050*$I$3</f>
        <v>14.134257999999999</v>
      </c>
      <c r="S121" s="287">
        <f t="shared" si="65"/>
        <v>39.752600624999999</v>
      </c>
      <c r="T121" s="272">
        <f t="shared" ref="T121:T126" si="84">4570*$I$3</f>
        <v>31.5090532</v>
      </c>
      <c r="U121" s="374"/>
      <c r="V121" s="294">
        <v>4</v>
      </c>
      <c r="W121" s="394"/>
      <c r="X121" s="394"/>
      <c r="Y121" s="2">
        <v>0</v>
      </c>
      <c r="Z121" s="58">
        <f t="shared" si="81"/>
        <v>0</v>
      </c>
      <c r="AA121" s="2">
        <v>0</v>
      </c>
      <c r="AB121" s="58">
        <f t="shared" si="56"/>
        <v>0</v>
      </c>
      <c r="AC121" s="2">
        <v>0</v>
      </c>
      <c r="AD121" s="294">
        <v>0</v>
      </c>
      <c r="AE121" s="294">
        <f>2*(5/8*$M$3)^2*PI()/4+2*(1/2*$M$3)^2*PI()/4</f>
        <v>649.21895759366896</v>
      </c>
      <c r="AF121" s="294">
        <v>0</v>
      </c>
      <c r="AG121" s="338">
        <f t="shared" si="70"/>
        <v>649.21895759366896</v>
      </c>
      <c r="AH121" s="58">
        <f>AK121/AL121/J121</f>
        <v>1.720156233936719E-3</v>
      </c>
      <c r="AI121" s="2" t="s">
        <v>544</v>
      </c>
      <c r="AJ121" s="58">
        <f>(285*(5/8*$M$3)^2*PI()/4+302*(1/2*$M$3)^2*PI()/4)/AL121/J121</f>
        <v>0.50165629485808172</v>
      </c>
      <c r="AK121" s="272">
        <f>(5/8*$M$3)^2*PI()/4+(1/2*$M$3)^2*PI()/4</f>
        <v>324.60947879683448</v>
      </c>
      <c r="AL121" s="272">
        <f>F121/2</f>
        <v>1320.8</v>
      </c>
      <c r="AM121" s="321">
        <f>AP121*(8*12+8)/(8*12)</f>
        <v>358.52752000000004</v>
      </c>
      <c r="AN121" s="59">
        <f t="shared" si="50"/>
        <v>1.0291088285880277</v>
      </c>
      <c r="AO121" s="59">
        <f t="shared" si="72"/>
        <v>2.8943685804038282</v>
      </c>
      <c r="AP121" s="272">
        <f>$I$3*48*1000</f>
        <v>330.94848000000002</v>
      </c>
      <c r="AQ121" s="59">
        <f t="shared" si="73"/>
        <v>0.94994661100433331</v>
      </c>
      <c r="AR121" s="59">
        <f t="shared" si="74"/>
        <v>2.6717248434496876</v>
      </c>
    </row>
    <row r="122" spans="1:45" x14ac:dyDescent="0.25">
      <c r="A122" s="2">
        <v>114</v>
      </c>
      <c r="B122" s="2" t="s">
        <v>65</v>
      </c>
      <c r="C122" s="2" t="s">
        <v>532</v>
      </c>
      <c r="D122" s="2" t="s">
        <v>614</v>
      </c>
      <c r="E122" s="2" t="s">
        <v>489</v>
      </c>
      <c r="F122" s="2">
        <f t="shared" si="75"/>
        <v>2641.6</v>
      </c>
      <c r="G122" s="2">
        <f t="shared" si="45"/>
        <v>5283.2</v>
      </c>
      <c r="H122" s="2">
        <f t="shared" si="76"/>
        <v>2438.3999999999996</v>
      </c>
      <c r="I122" s="58">
        <f t="shared" si="77"/>
        <v>6441277.4399999985</v>
      </c>
      <c r="J122" s="272">
        <f t="shared" si="78"/>
        <v>142.875</v>
      </c>
      <c r="K122" s="287">
        <f t="shared" si="79"/>
        <v>1950.7199999999998</v>
      </c>
      <c r="L122" s="59">
        <f t="shared" si="46"/>
        <v>1.0833333333333335</v>
      </c>
      <c r="M122" s="59">
        <f t="shared" si="47"/>
        <v>2.166666666666667</v>
      </c>
      <c r="N122" s="58">
        <f>(2*390/2*J122)+(H122-2*390/2)*(25.4)*2</f>
        <v>159779.96999999997</v>
      </c>
      <c r="O122" s="58">
        <f t="shared" si="80"/>
        <v>348386.39999999997</v>
      </c>
      <c r="P122" s="59">
        <f t="shared" si="71"/>
        <v>0.45862860892388446</v>
      </c>
      <c r="R122" s="272">
        <f t="shared" si="83"/>
        <v>14.134257999999999</v>
      </c>
      <c r="S122" s="287">
        <f t="shared" si="65"/>
        <v>30.818526635667791</v>
      </c>
      <c r="T122" s="272">
        <f t="shared" si="84"/>
        <v>31.5090532</v>
      </c>
      <c r="U122" s="374"/>
      <c r="V122" s="294">
        <v>4</v>
      </c>
      <c r="W122" s="394"/>
      <c r="X122" s="394"/>
      <c r="Y122" s="294">
        <f>2*(5/8*$M$3)^2*PI()/4</f>
        <v>395.86521804492008</v>
      </c>
      <c r="Z122" s="58">
        <f t="shared" si="81"/>
        <v>1.4203525813755939E-3</v>
      </c>
      <c r="AA122" s="2">
        <v>285</v>
      </c>
      <c r="AB122" s="58">
        <f t="shared" si="56"/>
        <v>0.40480048569204424</v>
      </c>
      <c r="AC122" s="294">
        <f>(5/8*$M$3)^2*PI()/4</f>
        <v>197.93260902246004</v>
      </c>
      <c r="AD122" s="294">
        <f>H121-200</f>
        <v>2238.3999999999996</v>
      </c>
      <c r="AE122" s="294">
        <f>2*(1/2*$M$3)^2*PI()/4</f>
        <v>253.35373954874885</v>
      </c>
      <c r="AF122" s="294">
        <v>0</v>
      </c>
      <c r="AG122" s="338">
        <f t="shared" si="70"/>
        <v>253.35373954874885</v>
      </c>
      <c r="AH122" s="58">
        <f>AK122/AL122/J122</f>
        <v>6.7128048153628059E-4</v>
      </c>
      <c r="AI122" s="2">
        <v>302</v>
      </c>
      <c r="AJ122" s="58">
        <f>AH122*AG121</f>
        <v>0.43580801447596024</v>
      </c>
      <c r="AK122" s="272">
        <f>(1/2*$M$3)^2*PI()/4</f>
        <v>126.67686977437442</v>
      </c>
      <c r="AL122" s="272">
        <f>F122/2</f>
        <v>1320.8</v>
      </c>
      <c r="AM122" s="321">
        <f t="shared" si="82"/>
        <v>448.15939999999995</v>
      </c>
      <c r="AN122" s="59">
        <f t="shared" si="50"/>
        <v>1.2863860357350343</v>
      </c>
      <c r="AO122" s="59">
        <f t="shared" si="72"/>
        <v>2.8048534494029509</v>
      </c>
      <c r="AP122" s="272">
        <f>$I$3*60*1000</f>
        <v>413.68559999999997</v>
      </c>
      <c r="AQ122" s="59">
        <f t="shared" si="73"/>
        <v>1.1874332637554166</v>
      </c>
      <c r="AR122" s="59">
        <f t="shared" si="74"/>
        <v>2.5890954917565705</v>
      </c>
    </row>
    <row r="123" spans="1:45" x14ac:dyDescent="0.25">
      <c r="A123" s="2">
        <v>115</v>
      </c>
      <c r="B123" s="2" t="s">
        <v>65</v>
      </c>
      <c r="C123" s="2" t="s">
        <v>533</v>
      </c>
      <c r="D123" s="2" t="s">
        <v>614</v>
      </c>
      <c r="E123" s="2" t="s">
        <v>489</v>
      </c>
      <c r="F123" s="2">
        <f t="shared" si="75"/>
        <v>2641.6</v>
      </c>
      <c r="G123" s="2">
        <f t="shared" si="45"/>
        <v>5283.2</v>
      </c>
      <c r="H123" s="2">
        <f t="shared" si="76"/>
        <v>2438.3999999999996</v>
      </c>
      <c r="I123" s="58">
        <f t="shared" si="77"/>
        <v>6441277.4399999985</v>
      </c>
      <c r="J123" s="272">
        <f t="shared" si="78"/>
        <v>142.875</v>
      </c>
      <c r="K123" s="287">
        <f t="shared" si="79"/>
        <v>1950.7199999999998</v>
      </c>
      <c r="L123" s="59">
        <f t="shared" si="46"/>
        <v>1.0833333333333335</v>
      </c>
      <c r="M123" s="59">
        <f t="shared" si="47"/>
        <v>2.166666666666667</v>
      </c>
      <c r="N123" s="58">
        <f>(3*390/2*J123)+(H123-3*390/2)*(25.4)*2</f>
        <v>177734.59499999997</v>
      </c>
      <c r="O123" s="58">
        <f t="shared" si="80"/>
        <v>348386.39999999997</v>
      </c>
      <c r="P123" s="59">
        <f t="shared" si="71"/>
        <v>0.51016513560804899</v>
      </c>
      <c r="R123" s="272">
        <f t="shared" si="83"/>
        <v>14.134257999999999</v>
      </c>
      <c r="S123" s="287">
        <f t="shared" si="65"/>
        <v>27.70526053912689</v>
      </c>
      <c r="T123" s="272">
        <f t="shared" si="84"/>
        <v>31.5090532</v>
      </c>
      <c r="U123" s="374"/>
      <c r="V123" s="294">
        <v>4</v>
      </c>
      <c r="W123" s="394"/>
      <c r="X123" s="394"/>
      <c r="Y123" s="294">
        <f>2*(5/8*$M$3)^2*PI()/4+(1/2*$M$3)^2*PI()/4</f>
        <v>522.54208781929447</v>
      </c>
      <c r="Z123" s="58">
        <f t="shared" si="81"/>
        <v>1.8748654074157835E-3</v>
      </c>
      <c r="AA123" s="2" t="s">
        <v>544</v>
      </c>
      <c r="AB123" s="58">
        <f>(285*2*(5/8*$M$3)^2*PI()/4+302*(1/2*$M$3)^2*PI()/4)/J123/H123</f>
        <v>0.43365068732494527</v>
      </c>
      <c r="AC123" s="2" t="s">
        <v>595</v>
      </c>
      <c r="AD123" s="294">
        <f>(H122-200)/2</f>
        <v>1119.1999999999998</v>
      </c>
      <c r="AE123" s="294">
        <f>(1/2*$M$3)^2*PI()/4</f>
        <v>126.67686977437442</v>
      </c>
      <c r="AF123" s="294">
        <v>0</v>
      </c>
      <c r="AG123" s="338">
        <f t="shared" si="70"/>
        <v>126.67686977437442</v>
      </c>
      <c r="AH123" s="58">
        <f>AK123/AL123/J123</f>
        <v>3.3564024076814029E-4</v>
      </c>
      <c r="AI123" s="2">
        <v>302</v>
      </c>
      <c r="AJ123" s="58">
        <f t="shared" si="58"/>
        <v>0.10136335271197837</v>
      </c>
      <c r="AK123" s="272">
        <f>(1/2*$M$3)^2*PI()/4</f>
        <v>126.67686977437442</v>
      </c>
      <c r="AL123" s="272">
        <f>F123</f>
        <v>2641.6</v>
      </c>
      <c r="AM123" s="321">
        <f t="shared" si="82"/>
        <v>418.28210666666672</v>
      </c>
      <c r="AN123" s="59">
        <f t="shared" si="50"/>
        <v>1.2006269666860325</v>
      </c>
      <c r="AO123" s="59">
        <f t="shared" si="72"/>
        <v>2.3534085002791203</v>
      </c>
      <c r="AP123" s="272">
        <f>$I$3*56*1000</f>
        <v>386.10656</v>
      </c>
      <c r="AQ123" s="59">
        <f t="shared" si="73"/>
        <v>1.1082710461717222</v>
      </c>
      <c r="AR123" s="59">
        <f t="shared" si="74"/>
        <v>2.1723770771807258</v>
      </c>
    </row>
    <row r="124" spans="1:45" x14ac:dyDescent="0.25">
      <c r="A124" s="2">
        <v>116</v>
      </c>
      <c r="B124" s="2" t="s">
        <v>65</v>
      </c>
      <c r="C124" s="2" t="s">
        <v>534</v>
      </c>
      <c r="D124" s="2" t="s">
        <v>614</v>
      </c>
      <c r="E124" s="2" t="s">
        <v>489</v>
      </c>
      <c r="F124" s="2">
        <f t="shared" si="75"/>
        <v>2641.6</v>
      </c>
      <c r="G124" s="2">
        <f t="shared" si="45"/>
        <v>5283.2</v>
      </c>
      <c r="H124" s="2">
        <f t="shared" si="76"/>
        <v>2438.3999999999996</v>
      </c>
      <c r="I124" s="58">
        <f t="shared" si="77"/>
        <v>6441277.4399999985</v>
      </c>
      <c r="J124" s="272">
        <f t="shared" si="78"/>
        <v>142.875</v>
      </c>
      <c r="K124" s="287">
        <f t="shared" si="79"/>
        <v>1950.7199999999998</v>
      </c>
      <c r="L124" s="59">
        <f t="shared" si="46"/>
        <v>1.0833333333333335</v>
      </c>
      <c r="M124" s="59">
        <f t="shared" si="47"/>
        <v>2.166666666666667</v>
      </c>
      <c r="N124" s="58">
        <f>(4*390/2*J124)+(H124-4*390/2)*(25.4)*2</f>
        <v>195689.21999999997</v>
      </c>
      <c r="O124" s="58">
        <f t="shared" si="80"/>
        <v>348386.39999999997</v>
      </c>
      <c r="P124" s="59">
        <f t="shared" si="71"/>
        <v>0.56170166229221341</v>
      </c>
      <c r="R124" s="272">
        <f t="shared" si="83"/>
        <v>14.134257999999999</v>
      </c>
      <c r="S124" s="287">
        <f t="shared" si="65"/>
        <v>25.163283196137222</v>
      </c>
      <c r="T124" s="272">
        <f t="shared" si="84"/>
        <v>31.5090532</v>
      </c>
      <c r="U124" s="374"/>
      <c r="V124" s="294">
        <v>4</v>
      </c>
      <c r="W124" s="394"/>
      <c r="X124" s="394"/>
      <c r="Y124" s="294">
        <f>2*(5/8*$M$3)^2*PI()/4+2*(1/2*$M$3)^2*PI()/4</f>
        <v>649.21895759366896</v>
      </c>
      <c r="Z124" s="58">
        <f t="shared" si="81"/>
        <v>2.3293782334559737E-3</v>
      </c>
      <c r="AA124" s="2" t="s">
        <v>544</v>
      </c>
      <c r="AB124" s="58">
        <f>(285*2*(5/8*$M$3)^2*PI()/4+302*2*(1/2*$M$3)^2*PI()/4)/J124/H124</f>
        <v>0.54346098609625526</v>
      </c>
      <c r="AC124" s="2" t="s">
        <v>595</v>
      </c>
      <c r="AD124" s="294">
        <f>(H123-200)/3</f>
        <v>746.13333333333321</v>
      </c>
      <c r="AE124" s="294">
        <v>0</v>
      </c>
      <c r="AF124" s="294">
        <v>0</v>
      </c>
      <c r="AG124" s="338">
        <f t="shared" si="70"/>
        <v>0</v>
      </c>
      <c r="AH124" s="58">
        <f>AG124/J124/H124</f>
        <v>0</v>
      </c>
      <c r="AI124" s="2">
        <v>0</v>
      </c>
      <c r="AJ124" s="58">
        <f t="shared" si="58"/>
        <v>0</v>
      </c>
      <c r="AK124" s="272">
        <v>0</v>
      </c>
      <c r="AL124" s="294">
        <v>0</v>
      </c>
      <c r="AM124" s="321">
        <f t="shared" si="82"/>
        <v>448.15939999999995</v>
      </c>
      <c r="AN124" s="59">
        <f t="shared" si="50"/>
        <v>1.2863860357350343</v>
      </c>
      <c r="AO124" s="59">
        <f t="shared" si="72"/>
        <v>2.2901588549435683</v>
      </c>
      <c r="AP124" s="272">
        <f>$I$3*60*1000</f>
        <v>413.68559999999997</v>
      </c>
      <c r="AQ124" s="59">
        <f t="shared" si="73"/>
        <v>1.1874332637554166</v>
      </c>
      <c r="AR124" s="59">
        <f t="shared" si="74"/>
        <v>2.1139927891786785</v>
      </c>
    </row>
    <row r="125" spans="1:45" x14ac:dyDescent="0.25">
      <c r="A125" s="2">
        <v>117</v>
      </c>
      <c r="B125" s="2" t="s">
        <v>65</v>
      </c>
      <c r="C125" s="2" t="s">
        <v>535</v>
      </c>
      <c r="D125" s="2" t="s">
        <v>614</v>
      </c>
      <c r="E125" s="2" t="s">
        <v>489</v>
      </c>
      <c r="F125" s="2">
        <f t="shared" si="75"/>
        <v>2641.6</v>
      </c>
      <c r="G125" s="2">
        <f t="shared" si="45"/>
        <v>5283.2</v>
      </c>
      <c r="H125" s="2">
        <f t="shared" si="76"/>
        <v>2438.3999999999996</v>
      </c>
      <c r="I125" s="58">
        <f t="shared" si="77"/>
        <v>6441277.4399999985</v>
      </c>
      <c r="J125" s="272">
        <f t="shared" si="78"/>
        <v>142.875</v>
      </c>
      <c r="K125" s="287">
        <f t="shared" si="79"/>
        <v>1950.7199999999998</v>
      </c>
      <c r="L125" s="59">
        <f t="shared" si="46"/>
        <v>1.0833333333333335</v>
      </c>
      <c r="M125" s="59">
        <f t="shared" si="47"/>
        <v>2.166666666666667</v>
      </c>
      <c r="N125" s="58">
        <f>(2*390/2*J125)+(H125-2*390/2)*(25.4)*2</f>
        <v>159779.96999999997</v>
      </c>
      <c r="O125" s="58">
        <f t="shared" si="80"/>
        <v>348386.39999999997</v>
      </c>
      <c r="P125" s="59">
        <f t="shared" si="71"/>
        <v>0.45862860892388446</v>
      </c>
      <c r="R125" s="272">
        <f>2700*$I$3</f>
        <v>18.615852</v>
      </c>
      <c r="S125" s="287">
        <f t="shared" si="65"/>
        <v>40.590254593318555</v>
      </c>
      <c r="T125" s="272">
        <f>5230*$I$3</f>
        <v>36.059594799999999</v>
      </c>
      <c r="U125" s="374"/>
      <c r="V125" s="294">
        <v>6</v>
      </c>
      <c r="W125" s="394"/>
      <c r="X125" s="394"/>
      <c r="Y125" s="294">
        <f>2*(5/8*$M$3)^2*PI()/4+2*(1/2*$M$3)^2*PI()/4</f>
        <v>649.21895759366896</v>
      </c>
      <c r="Z125" s="58">
        <f t="shared" si="81"/>
        <v>2.3293782334559737E-3</v>
      </c>
      <c r="AA125" s="317" t="s">
        <v>545</v>
      </c>
      <c r="AB125" s="58">
        <f>(290*2*(5/8*$M$3)^2*PI()/4+302*2*(1/2*$M$3)^2*PI()/4)/J125/H125</f>
        <v>0.54914239642175755</v>
      </c>
      <c r="AC125" s="2" t="s">
        <v>595</v>
      </c>
      <c r="AD125" s="294">
        <f>H124-200</f>
        <v>2238.3999999999996</v>
      </c>
      <c r="AE125" s="294">
        <v>0</v>
      </c>
      <c r="AF125" s="294">
        <v>0</v>
      </c>
      <c r="AG125" s="338">
        <f t="shared" si="70"/>
        <v>0</v>
      </c>
      <c r="AH125" s="58">
        <f>AG125/J125/H125</f>
        <v>0</v>
      </c>
      <c r="AI125" s="2">
        <v>0</v>
      </c>
      <c r="AJ125" s="58">
        <f t="shared" si="58"/>
        <v>0</v>
      </c>
      <c r="AK125" s="272">
        <v>0</v>
      </c>
      <c r="AL125" s="294">
        <v>0</v>
      </c>
      <c r="AM125" s="321">
        <f t="shared" si="82"/>
        <v>485.50601666666671</v>
      </c>
      <c r="AN125" s="59">
        <f t="shared" si="50"/>
        <v>1.3935848720462876</v>
      </c>
      <c r="AO125" s="59">
        <f t="shared" si="72"/>
        <v>3.0385912368531973</v>
      </c>
      <c r="AP125" s="272">
        <f>$I$3*65*1000</f>
        <v>448.15940000000001</v>
      </c>
      <c r="AQ125" s="59">
        <f t="shared" si="73"/>
        <v>1.2863860357350345</v>
      </c>
      <c r="AR125" s="59">
        <f t="shared" si="74"/>
        <v>2.8048534494029513</v>
      </c>
    </row>
    <row r="126" spans="1:45" x14ac:dyDescent="0.25">
      <c r="A126" s="2">
        <v>118</v>
      </c>
      <c r="B126" s="2" t="s">
        <v>65</v>
      </c>
      <c r="C126" s="2" t="s">
        <v>536</v>
      </c>
      <c r="D126" s="2" t="s">
        <v>614</v>
      </c>
      <c r="E126" s="2" t="s">
        <v>489</v>
      </c>
      <c r="F126" s="2">
        <f t="shared" si="75"/>
        <v>2641.6</v>
      </c>
      <c r="G126" s="2">
        <f t="shared" si="45"/>
        <v>5283.2</v>
      </c>
      <c r="H126" s="2">
        <f t="shared" si="76"/>
        <v>2438.3999999999996</v>
      </c>
      <c r="I126" s="58">
        <f t="shared" si="77"/>
        <v>6441277.4399999985</v>
      </c>
      <c r="J126" s="272">
        <f t="shared" si="78"/>
        <v>142.875</v>
      </c>
      <c r="K126" s="287">
        <f t="shared" si="79"/>
        <v>1950.7199999999998</v>
      </c>
      <c r="L126" s="59">
        <f t="shared" si="46"/>
        <v>1.0833333333333335</v>
      </c>
      <c r="M126" s="59">
        <f t="shared" si="47"/>
        <v>2.166666666666667</v>
      </c>
      <c r="N126" s="58">
        <f>(5*390/2*J126)+(H126-5*390/2)*(25.4)*2</f>
        <v>213643.84499999997</v>
      </c>
      <c r="O126" s="58">
        <f t="shared" si="80"/>
        <v>348386.39999999997</v>
      </c>
      <c r="P126" s="59">
        <f t="shared" si="71"/>
        <v>0.61323818897637794</v>
      </c>
      <c r="R126" s="272">
        <f t="shared" si="83"/>
        <v>14.134257999999999</v>
      </c>
      <c r="S126" s="287">
        <f t="shared" si="65"/>
        <v>23.048561316106252</v>
      </c>
      <c r="T126" s="272">
        <f t="shared" si="84"/>
        <v>31.5090532</v>
      </c>
      <c r="U126" s="374"/>
      <c r="V126" s="294">
        <v>4</v>
      </c>
      <c r="W126" s="394"/>
      <c r="X126" s="394"/>
      <c r="Y126" s="294">
        <f>2*(5/8*$M$3)^2*PI()/4+3*(1/2*$M$3)^2*PI()/4</f>
        <v>775.89582736804346</v>
      </c>
      <c r="Z126" s="58">
        <f t="shared" si="81"/>
        <v>2.7838910594961642E-3</v>
      </c>
      <c r="AA126" s="2" t="s">
        <v>544</v>
      </c>
      <c r="AB126" s="58">
        <f>(285*2*(5/8*$M$3)^2*PI()/4+302*3*(1/2*$M$3)^2*PI()/4)/J126/H126</f>
        <v>0.65327128486756514</v>
      </c>
      <c r="AC126" s="2" t="s">
        <v>595</v>
      </c>
      <c r="AD126" s="294">
        <f>(H125-200)/4</f>
        <v>559.59999999999991</v>
      </c>
      <c r="AE126" s="294">
        <v>0</v>
      </c>
      <c r="AF126" s="294">
        <v>0</v>
      </c>
      <c r="AG126" s="338">
        <f t="shared" si="70"/>
        <v>0</v>
      </c>
      <c r="AH126" s="58">
        <f>AG126/J126/H126</f>
        <v>0</v>
      </c>
      <c r="AI126" s="2">
        <v>0</v>
      </c>
      <c r="AJ126" s="58">
        <f t="shared" si="58"/>
        <v>0</v>
      </c>
      <c r="AK126" s="272">
        <v>0</v>
      </c>
      <c r="AL126" s="294">
        <v>0</v>
      </c>
      <c r="AM126" s="321">
        <f t="shared" si="82"/>
        <v>522.8526333333333</v>
      </c>
      <c r="AN126" s="59">
        <f t="shared" si="50"/>
        <v>1.5007837083575402</v>
      </c>
      <c r="AO126" s="59">
        <f t="shared" si="72"/>
        <v>2.4473096022650846</v>
      </c>
      <c r="AP126" s="272">
        <f>$I$3*70*1000</f>
        <v>482.63319999999999</v>
      </c>
      <c r="AQ126" s="59">
        <f t="shared" si="73"/>
        <v>1.3853388077146527</v>
      </c>
      <c r="AR126" s="59">
        <f t="shared" si="74"/>
        <v>2.2590550174754629</v>
      </c>
    </row>
    <row r="127" spans="1:45" x14ac:dyDescent="0.25">
      <c r="A127" s="2">
        <v>119</v>
      </c>
      <c r="B127" s="2" t="s">
        <v>65</v>
      </c>
      <c r="C127" s="2" t="s">
        <v>479</v>
      </c>
      <c r="D127" s="2" t="s">
        <v>614</v>
      </c>
      <c r="E127" s="2" t="s">
        <v>489</v>
      </c>
      <c r="F127" s="2">
        <f t="shared" si="75"/>
        <v>2641.6</v>
      </c>
      <c r="G127" s="2">
        <f t="shared" si="45"/>
        <v>5283.2</v>
      </c>
      <c r="H127" s="2">
        <f t="shared" si="76"/>
        <v>2438.3999999999996</v>
      </c>
      <c r="I127" s="58">
        <f t="shared" si="77"/>
        <v>6441277.4399999985</v>
      </c>
      <c r="J127" s="272">
        <f t="shared" si="78"/>
        <v>142.875</v>
      </c>
      <c r="K127" s="287">
        <f t="shared" si="79"/>
        <v>1950.7199999999998</v>
      </c>
      <c r="L127" s="59">
        <f t="shared" si="46"/>
        <v>1.0833333333333335</v>
      </c>
      <c r="M127" s="59">
        <f t="shared" si="47"/>
        <v>2.166666666666667</v>
      </c>
      <c r="N127" s="58">
        <f>(5*390/2*J127)+(H127-5*390/2)*(25.4)*2</f>
        <v>213643.84499999997</v>
      </c>
      <c r="O127" s="58">
        <f t="shared" si="80"/>
        <v>348386.39999999997</v>
      </c>
      <c r="P127" s="59">
        <f t="shared" si="71"/>
        <v>0.61323818897637794</v>
      </c>
      <c r="R127" s="272">
        <f>2700*$I$3</f>
        <v>18.615852</v>
      </c>
      <c r="S127" s="287">
        <f t="shared" si="65"/>
        <v>30.356641733408235</v>
      </c>
      <c r="T127" s="272">
        <f>5230*$I$3</f>
        <v>36.059594799999999</v>
      </c>
      <c r="U127" s="374"/>
      <c r="V127" s="294">
        <v>6</v>
      </c>
      <c r="W127" s="394"/>
      <c r="X127" s="394"/>
      <c r="Y127" s="294">
        <f>2*(5/8*$M$3)^2*PI()/4+3*(1/2*$M$3)^2*PI()/4</f>
        <v>775.89582736804346</v>
      </c>
      <c r="Z127" s="58">
        <f t="shared" si="81"/>
        <v>2.7838910594961642E-3</v>
      </c>
      <c r="AA127" s="317" t="s">
        <v>545</v>
      </c>
      <c r="AB127" s="58">
        <f>(290*2*(5/8*$M$3)^2*PI()/4+302*3*(1/2*$M$3)^2*PI()/4)/J127/H127</f>
        <v>0.65895269519306754</v>
      </c>
      <c r="AC127" s="2" t="s">
        <v>595</v>
      </c>
      <c r="AD127" s="294">
        <f>(H126-200)/4</f>
        <v>559.59999999999991</v>
      </c>
      <c r="AE127" s="294">
        <f>2*(1/2*$M$3)^2*PI()/4</f>
        <v>253.35373954874885</v>
      </c>
      <c r="AF127" s="294">
        <v>0</v>
      </c>
      <c r="AG127" s="338">
        <f t="shared" si="70"/>
        <v>253.35373954874885</v>
      </c>
      <c r="AH127" s="58">
        <f t="shared" ref="AH127:AH151" si="85">AK127/AL127/J127</f>
        <v>6.7128048153628059E-4</v>
      </c>
      <c r="AI127" s="2">
        <v>302</v>
      </c>
      <c r="AJ127" s="58">
        <f t="shared" si="58"/>
        <v>0.20272670542395674</v>
      </c>
      <c r="AK127" s="272">
        <f>(1/2*$M$3)^2*PI()/4</f>
        <v>126.67686977437442</v>
      </c>
      <c r="AL127" s="272">
        <f>F127/2</f>
        <v>1320.8</v>
      </c>
      <c r="AM127" s="321">
        <f t="shared" si="82"/>
        <v>776.80962666666665</v>
      </c>
      <c r="AN127" s="59">
        <f t="shared" si="50"/>
        <v>2.2297357952740597</v>
      </c>
      <c r="AO127" s="59">
        <f t="shared" si="72"/>
        <v>3.6360028376509832</v>
      </c>
      <c r="AP127" s="272">
        <f>$I$3*104*1000</f>
        <v>717.05503999999996</v>
      </c>
      <c r="AQ127" s="59">
        <f t="shared" si="73"/>
        <v>2.0582176571760553</v>
      </c>
      <c r="AR127" s="59">
        <f t="shared" si="74"/>
        <v>3.3563103116778303</v>
      </c>
    </row>
    <row r="128" spans="1:45" x14ac:dyDescent="0.25">
      <c r="A128" s="2">
        <v>120</v>
      </c>
      <c r="B128" s="2" t="s">
        <v>65</v>
      </c>
      <c r="C128" s="2" t="s">
        <v>537</v>
      </c>
      <c r="D128" s="2" t="s">
        <v>614</v>
      </c>
      <c r="E128" s="2" t="s">
        <v>489</v>
      </c>
      <c r="F128" s="2">
        <f t="shared" si="75"/>
        <v>2641.6</v>
      </c>
      <c r="G128" s="2">
        <f t="shared" si="45"/>
        <v>5283.2</v>
      </c>
      <c r="H128" s="2">
        <f t="shared" si="76"/>
        <v>2438.3999999999996</v>
      </c>
      <c r="I128" s="58">
        <f t="shared" si="77"/>
        <v>6441277.4399999985</v>
      </c>
      <c r="J128" s="272">
        <f t="shared" si="78"/>
        <v>142.875</v>
      </c>
      <c r="K128" s="287">
        <f t="shared" si="79"/>
        <v>1950.7199999999998</v>
      </c>
      <c r="L128" s="59">
        <f t="shared" si="46"/>
        <v>1.0833333333333335</v>
      </c>
      <c r="M128" s="59">
        <f t="shared" si="47"/>
        <v>2.166666666666667</v>
      </c>
      <c r="N128" s="58">
        <f>(5*390/2*J128)+(H128-5*390/2)*(25.4)*2</f>
        <v>213643.84499999997</v>
      </c>
      <c r="O128" s="58">
        <f t="shared" si="80"/>
        <v>348386.39999999997</v>
      </c>
      <c r="P128" s="59">
        <f t="shared" si="71"/>
        <v>0.61323818897637794</v>
      </c>
      <c r="R128" s="272">
        <f>2700*$I$3</f>
        <v>18.615852</v>
      </c>
      <c r="S128" s="287">
        <f t="shared" si="65"/>
        <v>30.356641733408235</v>
      </c>
      <c r="T128" s="272">
        <f>5230*$I$3</f>
        <v>36.059594799999999</v>
      </c>
      <c r="U128" s="374"/>
      <c r="V128" s="294">
        <v>6</v>
      </c>
      <c r="W128" s="394"/>
      <c r="X128" s="394"/>
      <c r="Y128" s="294">
        <f>2*(5/8*$M$3)^2*PI()/4+3*(1/2*$M$3)^2*PI()/4</f>
        <v>775.89582736804346</v>
      </c>
      <c r="Z128" s="58">
        <f t="shared" si="81"/>
        <v>2.7838910594961642E-3</v>
      </c>
      <c r="AA128" s="317" t="s">
        <v>545</v>
      </c>
      <c r="AB128" s="58">
        <f>(290*2*(5/8*$M$3)^2*PI()/4+302*3*(1/2*$M$3)^2*PI()/4)/J128/H128</f>
        <v>0.65895269519306754</v>
      </c>
      <c r="AC128" s="2" t="s">
        <v>595</v>
      </c>
      <c r="AD128" s="294">
        <f>(H127-200)/4</f>
        <v>559.59999999999991</v>
      </c>
      <c r="AE128" s="294">
        <f>4*(1/2*$M$3)^2*PI()/4</f>
        <v>506.7074790974977</v>
      </c>
      <c r="AF128" s="294">
        <v>0</v>
      </c>
      <c r="AG128" s="338">
        <f t="shared" si="70"/>
        <v>506.7074790974977</v>
      </c>
      <c r="AH128" s="58">
        <f t="shared" si="85"/>
        <v>1.3425609630725612E-3</v>
      </c>
      <c r="AI128" s="2">
        <v>302</v>
      </c>
      <c r="AJ128" s="58">
        <f t="shared" si="58"/>
        <v>0.40545341084791348</v>
      </c>
      <c r="AK128" s="272">
        <f>(1/2*$M$3)^2*PI()/4</f>
        <v>126.67686977437442</v>
      </c>
      <c r="AL128" s="272">
        <f>F128/4</f>
        <v>660.4</v>
      </c>
      <c r="AM128" s="321">
        <f t="shared" si="82"/>
        <v>836.56421333333344</v>
      </c>
      <c r="AN128" s="59">
        <f t="shared" si="50"/>
        <v>2.4012539333720651</v>
      </c>
      <c r="AO128" s="59">
        <f t="shared" si="72"/>
        <v>3.9156953636241365</v>
      </c>
      <c r="AP128" s="272">
        <f>$I$3*112*1000</f>
        <v>772.21312</v>
      </c>
      <c r="AQ128" s="59">
        <f t="shared" si="73"/>
        <v>2.2165420923434445</v>
      </c>
      <c r="AR128" s="59">
        <f t="shared" si="74"/>
        <v>3.6144880279607405</v>
      </c>
    </row>
    <row r="129" spans="1:45" x14ac:dyDescent="0.25">
      <c r="A129" s="2">
        <v>121</v>
      </c>
      <c r="B129" s="2" t="s">
        <v>65</v>
      </c>
      <c r="C129" s="2" t="s">
        <v>480</v>
      </c>
      <c r="D129" s="2" t="s">
        <v>614</v>
      </c>
      <c r="E129" s="2" t="s">
        <v>489</v>
      </c>
      <c r="F129" s="2">
        <f t="shared" si="75"/>
        <v>2641.6</v>
      </c>
      <c r="G129" s="2">
        <f t="shared" si="45"/>
        <v>5283.2</v>
      </c>
      <c r="H129" s="2">
        <f t="shared" si="76"/>
        <v>2438.3999999999996</v>
      </c>
      <c r="I129" s="58">
        <f t="shared" si="77"/>
        <v>6441277.4399999985</v>
      </c>
      <c r="J129" s="272">
        <f t="shared" si="78"/>
        <v>142.875</v>
      </c>
      <c r="K129" s="287">
        <f t="shared" si="79"/>
        <v>1950.7199999999998</v>
      </c>
      <c r="L129" s="59">
        <f t="shared" si="46"/>
        <v>1.0833333333333335</v>
      </c>
      <c r="M129" s="59">
        <f t="shared" si="47"/>
        <v>2.166666666666667</v>
      </c>
      <c r="N129" s="58">
        <f>(5*390/2*J129)+(H129-5*390/2)*(25.4)*2</f>
        <v>213643.84499999997</v>
      </c>
      <c r="O129" s="58">
        <f t="shared" si="80"/>
        <v>348386.39999999997</v>
      </c>
      <c r="P129" s="59">
        <f t="shared" si="71"/>
        <v>0.61323818897637794</v>
      </c>
      <c r="R129" s="272">
        <f>2700*$I$3</f>
        <v>18.615852</v>
      </c>
      <c r="S129" s="287">
        <f t="shared" si="65"/>
        <v>30.356641733408235</v>
      </c>
      <c r="T129" s="272">
        <f>5230*$I$3</f>
        <v>36.059594799999999</v>
      </c>
      <c r="U129" s="374"/>
      <c r="V129" s="294">
        <v>6</v>
      </c>
      <c r="W129" s="394"/>
      <c r="X129" s="394"/>
      <c r="Y129" s="294">
        <f>2*(5/8*$M$3)^2*PI()/4+3*(5/8*$M$3)^2*PI()/4</f>
        <v>989.66304511230021</v>
      </c>
      <c r="Z129" s="58">
        <f t="shared" si="81"/>
        <v>3.5508814534389844E-3</v>
      </c>
      <c r="AA129" s="317">
        <v>302</v>
      </c>
      <c r="AB129" s="58">
        <f t="shared" si="56"/>
        <v>1.0723661989385733</v>
      </c>
      <c r="AC129" s="294">
        <f>(5/8*$M$3)^2*PI()/4</f>
        <v>197.93260902246004</v>
      </c>
      <c r="AD129" s="294">
        <f>(H128-200)/4</f>
        <v>559.59999999999991</v>
      </c>
      <c r="AE129" s="294">
        <f>3*(5/8*$M$3)^2*PI()/4</f>
        <v>593.79782706738013</v>
      </c>
      <c r="AF129" s="294">
        <v>0</v>
      </c>
      <c r="AG129" s="338">
        <f t="shared" si="70"/>
        <v>593.79782706738013</v>
      </c>
      <c r="AH129" s="58">
        <f t="shared" si="85"/>
        <v>1.5733136286006576E-3</v>
      </c>
      <c r="AI129" s="2">
        <v>290</v>
      </c>
      <c r="AJ129" s="58">
        <f t="shared" si="58"/>
        <v>0.45626095229419072</v>
      </c>
      <c r="AK129" s="272">
        <f>(5/8*$M$3)^2*PI()/4</f>
        <v>197.93260902246004</v>
      </c>
      <c r="AL129" s="272">
        <f>F129/3</f>
        <v>880.5333333333333</v>
      </c>
      <c r="AM129" s="321">
        <f t="shared" si="82"/>
        <v>717.05504000000008</v>
      </c>
      <c r="AN129" s="59">
        <f t="shared" si="50"/>
        <v>2.0582176571760553</v>
      </c>
      <c r="AO129" s="59">
        <f t="shared" si="72"/>
        <v>3.3563103116778308</v>
      </c>
      <c r="AP129" s="272">
        <f>$I$3*96*1000</f>
        <v>661.89696000000004</v>
      </c>
      <c r="AQ129" s="59">
        <f t="shared" si="73"/>
        <v>1.8998932220086666</v>
      </c>
      <c r="AR129" s="59">
        <f t="shared" si="74"/>
        <v>3.0981325953949206</v>
      </c>
    </row>
    <row r="130" spans="1:45" s="296" customFormat="1" x14ac:dyDescent="0.25">
      <c r="A130" s="296">
        <v>122</v>
      </c>
      <c r="B130" s="296" t="s">
        <v>65</v>
      </c>
      <c r="C130" s="296" t="s">
        <v>481</v>
      </c>
      <c r="D130" s="296" t="s">
        <v>614</v>
      </c>
      <c r="E130" s="296" t="s">
        <v>489</v>
      </c>
      <c r="F130" s="296">
        <f t="shared" si="75"/>
        <v>2641.6</v>
      </c>
      <c r="G130" s="296">
        <f t="shared" si="45"/>
        <v>5283.2</v>
      </c>
      <c r="H130" s="296">
        <f t="shared" si="76"/>
        <v>2438.3999999999996</v>
      </c>
      <c r="I130" s="298">
        <f t="shared" si="77"/>
        <v>6441277.4399999985</v>
      </c>
      <c r="J130" s="299">
        <f t="shared" si="78"/>
        <v>142.875</v>
      </c>
      <c r="K130" s="302">
        <f t="shared" si="79"/>
        <v>1950.7199999999998</v>
      </c>
      <c r="L130" s="300">
        <f t="shared" si="46"/>
        <v>1.0833333333333335</v>
      </c>
      <c r="M130" s="300">
        <f t="shared" si="47"/>
        <v>2.166666666666667</v>
      </c>
      <c r="N130" s="298">
        <f>(5*390/2*J130)+(H130-5*390/2)*(25.4)*2</f>
        <v>213643.84499999997</v>
      </c>
      <c r="O130" s="298">
        <f t="shared" si="80"/>
        <v>348386.39999999997</v>
      </c>
      <c r="P130" s="300">
        <f t="shared" si="71"/>
        <v>0.61323818897637794</v>
      </c>
      <c r="R130" s="299">
        <f>2700*$I$3</f>
        <v>18.615852</v>
      </c>
      <c r="S130" s="302">
        <f t="shared" si="65"/>
        <v>30.356641733408235</v>
      </c>
      <c r="T130" s="299">
        <f>5230*$I$3</f>
        <v>36.059594799999999</v>
      </c>
      <c r="U130" s="375"/>
      <c r="V130" s="301">
        <v>6</v>
      </c>
      <c r="W130" s="395"/>
      <c r="X130" s="395"/>
      <c r="Y130" s="301">
        <f>2*(5/8*$M$3)^2*PI()/4+3*(5/8*$M$3)^2*PI()/4</f>
        <v>989.66304511230021</v>
      </c>
      <c r="Z130" s="298">
        <f t="shared" si="81"/>
        <v>3.5508814534389844E-3</v>
      </c>
      <c r="AA130" s="322">
        <v>302</v>
      </c>
      <c r="AB130" s="298">
        <f t="shared" si="56"/>
        <v>1.0723661989385733</v>
      </c>
      <c r="AC130" s="301">
        <f>(5/8*$M$3)^2*PI()/4</f>
        <v>197.93260902246004</v>
      </c>
      <c r="AD130" s="301">
        <f>(H129-200)/4</f>
        <v>559.59999999999991</v>
      </c>
      <c r="AE130" s="301">
        <f>4*(5/8*$M$3)^2*PI()/4</f>
        <v>791.73043608984017</v>
      </c>
      <c r="AF130" s="301">
        <v>0</v>
      </c>
      <c r="AG130" s="339">
        <f t="shared" si="70"/>
        <v>791.73043608984017</v>
      </c>
      <c r="AH130" s="298">
        <f t="shared" si="85"/>
        <v>2.0977515048008766E-3</v>
      </c>
      <c r="AI130" s="296">
        <v>290</v>
      </c>
      <c r="AJ130" s="298">
        <f t="shared" si="58"/>
        <v>0.60834793639225415</v>
      </c>
      <c r="AK130" s="299">
        <f>(5/8*$M$3)^2*PI()/4</f>
        <v>197.93260902246004</v>
      </c>
      <c r="AL130" s="299">
        <f>F130/4</f>
        <v>660.4</v>
      </c>
      <c r="AM130" s="323">
        <f t="shared" si="82"/>
        <v>836.56421333333344</v>
      </c>
      <c r="AN130" s="300">
        <f t="shared" si="50"/>
        <v>2.4012539333720651</v>
      </c>
      <c r="AO130" s="300">
        <f t="shared" si="72"/>
        <v>3.9156953636241365</v>
      </c>
      <c r="AP130" s="299">
        <f>$I$3*112*1000</f>
        <v>772.21312</v>
      </c>
      <c r="AQ130" s="300">
        <f t="shared" si="73"/>
        <v>2.2165420923434445</v>
      </c>
      <c r="AR130" s="300">
        <f t="shared" si="74"/>
        <v>3.6144880279607405</v>
      </c>
      <c r="AS130" s="361"/>
    </row>
    <row r="131" spans="1:45" x14ac:dyDescent="0.25">
      <c r="A131" s="2">
        <v>123</v>
      </c>
      <c r="B131" s="2" t="s">
        <v>91</v>
      </c>
      <c r="C131" s="2" t="s">
        <v>549</v>
      </c>
      <c r="D131" s="2" t="s">
        <v>615</v>
      </c>
      <c r="E131" s="2" t="s">
        <v>489</v>
      </c>
      <c r="F131" s="2">
        <v>1930</v>
      </c>
      <c r="G131" s="2">
        <f t="shared" si="45"/>
        <v>3860</v>
      </c>
      <c r="H131" s="2">
        <v>1990</v>
      </c>
      <c r="I131" s="58">
        <f t="shared" si="77"/>
        <v>3840700</v>
      </c>
      <c r="J131" s="2">
        <v>140</v>
      </c>
      <c r="K131" s="287">
        <f t="shared" si="79"/>
        <v>1592</v>
      </c>
      <c r="L131" s="59">
        <f t="shared" si="46"/>
        <v>0.96984924623115576</v>
      </c>
      <c r="M131" s="59">
        <f t="shared" si="47"/>
        <v>1.9396984924623115</v>
      </c>
      <c r="N131" s="58">
        <f>(4*390/2*J131)+(H131-4*390/2)*(25.4)*2</f>
        <v>170668</v>
      </c>
      <c r="O131" s="330">
        <f t="shared" si="80"/>
        <v>278600</v>
      </c>
      <c r="P131" s="59">
        <f>N131/O131</f>
        <v>0.6125915290739411</v>
      </c>
      <c r="R131" s="2">
        <v>6.36</v>
      </c>
      <c r="S131" s="287">
        <f>R131/P131</f>
        <v>10.382122014671761</v>
      </c>
      <c r="T131" s="2">
        <v>31.7</v>
      </c>
      <c r="U131" s="396">
        <v>1</v>
      </c>
      <c r="V131" s="396">
        <v>5</v>
      </c>
      <c r="W131" s="396"/>
      <c r="X131" s="396"/>
      <c r="Y131" s="294">
        <f>2*PI()*(22^2)/4+2*PI()*(10^2)/4</f>
        <v>917.34505484821966</v>
      </c>
      <c r="Z131" s="58">
        <f t="shared" si="81"/>
        <v>4.1158697722910075E-3</v>
      </c>
      <c r="AA131" s="2">
        <v>474</v>
      </c>
      <c r="AB131" s="58">
        <f t="shared" si="56"/>
        <v>1.9509222720659376</v>
      </c>
      <c r="AC131" s="2" t="s">
        <v>596</v>
      </c>
      <c r="AD131" s="2">
        <v>618</v>
      </c>
      <c r="AE131" s="294">
        <f>4*(2*PI()*4.2^2/4)</f>
        <v>110.8353888186479</v>
      </c>
      <c r="AF131" s="2">
        <v>0</v>
      </c>
      <c r="AG131" s="338">
        <f t="shared" si="70"/>
        <v>110.8353888186479</v>
      </c>
      <c r="AH131" s="58">
        <f t="shared" si="85"/>
        <v>4.9480084294039239E-4</v>
      </c>
      <c r="AI131" s="2">
        <v>610</v>
      </c>
      <c r="AJ131" s="58">
        <f t="shared" si="58"/>
        <v>0.30182851419363937</v>
      </c>
      <c r="AK131" s="272">
        <f>(2*PI()*4.2^2/4)</f>
        <v>27.708847204661975</v>
      </c>
      <c r="AL131" s="2">
        <v>400</v>
      </c>
      <c r="AM131" s="58">
        <f t="shared" ref="AM131:AM145" si="86">AN131*O131/1000</f>
        <v>156.01600000000002</v>
      </c>
      <c r="AN131" s="2">
        <v>0.56000000000000005</v>
      </c>
      <c r="AO131" s="59">
        <f t="shared" si="72"/>
        <v>0.91414910821009221</v>
      </c>
      <c r="AP131" s="272">
        <v>221.08</v>
      </c>
      <c r="AQ131" s="59">
        <f t="shared" si="73"/>
        <v>0.79353912419239059</v>
      </c>
      <c r="AR131" s="59">
        <f t="shared" si="74"/>
        <v>1.2953805048398062</v>
      </c>
    </row>
    <row r="132" spans="1:45" x14ac:dyDescent="0.25">
      <c r="A132" s="2">
        <v>124</v>
      </c>
      <c r="B132" s="2" t="s">
        <v>91</v>
      </c>
      <c r="C132" s="2" t="s">
        <v>550</v>
      </c>
      <c r="D132" s="2" t="s">
        <v>615</v>
      </c>
      <c r="E132" s="2" t="s">
        <v>489</v>
      </c>
      <c r="F132" s="2">
        <v>1930</v>
      </c>
      <c r="G132" s="2">
        <f t="shared" si="45"/>
        <v>3860</v>
      </c>
      <c r="H132" s="2">
        <v>1990</v>
      </c>
      <c r="I132" s="58">
        <f t="shared" si="77"/>
        <v>3840700</v>
      </c>
      <c r="J132" s="2">
        <v>140</v>
      </c>
      <c r="K132" s="287">
        <f t="shared" si="79"/>
        <v>1592</v>
      </c>
      <c r="L132" s="59">
        <f t="shared" si="46"/>
        <v>0.96984924623115576</v>
      </c>
      <c r="M132" s="59">
        <f t="shared" si="47"/>
        <v>1.9396984924623115</v>
      </c>
      <c r="N132" s="58">
        <f>(4*390/2*J132)+(H132-4*390/2)*(25.4)*2</f>
        <v>170668</v>
      </c>
      <c r="O132" s="330">
        <f t="shared" si="80"/>
        <v>278600</v>
      </c>
      <c r="P132" s="59">
        <f t="shared" ref="P132:P171" si="87">N132/O132</f>
        <v>0.6125915290739411</v>
      </c>
      <c r="R132" s="2">
        <v>6.36</v>
      </c>
      <c r="S132" s="287">
        <f t="shared" si="65"/>
        <v>10.382122014671761</v>
      </c>
      <c r="T132" s="2">
        <v>31.7</v>
      </c>
      <c r="U132" s="396">
        <v>1</v>
      </c>
      <c r="V132" s="396">
        <v>5</v>
      </c>
      <c r="W132" s="396"/>
      <c r="X132" s="396"/>
      <c r="Y132" s="294">
        <f>2*PI()*(22^2)/4+2*PI()*(10^2)/4</f>
        <v>917.34505484821966</v>
      </c>
      <c r="Z132" s="58">
        <f t="shared" si="81"/>
        <v>4.1158697722910075E-3</v>
      </c>
      <c r="AA132" s="2">
        <v>474</v>
      </c>
      <c r="AB132" s="58">
        <f t="shared" si="56"/>
        <v>1.9509222720659376</v>
      </c>
      <c r="AC132" s="2" t="s">
        <v>596</v>
      </c>
      <c r="AD132" s="2">
        <v>618</v>
      </c>
      <c r="AE132" s="294">
        <f>4*(2*PI()*4.2^2/4)</f>
        <v>110.8353888186479</v>
      </c>
      <c r="AF132" s="2">
        <v>0</v>
      </c>
      <c r="AG132" s="338">
        <f t="shared" si="70"/>
        <v>110.8353888186479</v>
      </c>
      <c r="AH132" s="58">
        <f t="shared" si="85"/>
        <v>4.9480084294039239E-4</v>
      </c>
      <c r="AI132" s="2">
        <v>610</v>
      </c>
      <c r="AJ132" s="58">
        <f t="shared" si="58"/>
        <v>0.30182851419363937</v>
      </c>
      <c r="AK132" s="272">
        <f t="shared" ref="AK132:AK140" si="88">(2*PI()*4.2^2/4)</f>
        <v>27.708847204661975</v>
      </c>
      <c r="AL132" s="2">
        <v>400</v>
      </c>
      <c r="AM132" s="58">
        <f t="shared" si="86"/>
        <v>156.01600000000002</v>
      </c>
      <c r="AN132" s="2">
        <v>0.56000000000000005</v>
      </c>
      <c r="AO132" s="59">
        <f t="shared" si="72"/>
        <v>0.91414910821009221</v>
      </c>
      <c r="AP132" s="272">
        <v>220.85</v>
      </c>
      <c r="AQ132" s="59">
        <f t="shared" si="73"/>
        <v>0.79271356783919589</v>
      </c>
      <c r="AR132" s="59">
        <f t="shared" si="74"/>
        <v>1.2940328591182881</v>
      </c>
    </row>
    <row r="133" spans="1:45" x14ac:dyDescent="0.25">
      <c r="A133" s="2">
        <v>125</v>
      </c>
      <c r="B133" s="2" t="s">
        <v>91</v>
      </c>
      <c r="C133" s="2" t="s">
        <v>551</v>
      </c>
      <c r="D133" s="2" t="s">
        <v>615</v>
      </c>
      <c r="E133" s="2" t="s">
        <v>489</v>
      </c>
      <c r="F133" s="2">
        <v>1930</v>
      </c>
      <c r="G133" s="2">
        <f t="shared" si="45"/>
        <v>3860</v>
      </c>
      <c r="H133" s="2">
        <v>1990</v>
      </c>
      <c r="I133" s="58">
        <f t="shared" si="77"/>
        <v>3840700</v>
      </c>
      <c r="J133" s="2">
        <v>140</v>
      </c>
      <c r="K133" s="287">
        <f t="shared" si="79"/>
        <v>1592</v>
      </c>
      <c r="L133" s="59">
        <f t="shared" si="46"/>
        <v>0.96984924623115576</v>
      </c>
      <c r="M133" s="59">
        <f t="shared" si="47"/>
        <v>1.9396984924623115</v>
      </c>
      <c r="N133" s="58">
        <f>(4*390/2*J133)+(H133-4*390/2)*(25.4)*2</f>
        <v>170668</v>
      </c>
      <c r="O133" s="330">
        <f t="shared" si="80"/>
        <v>278600</v>
      </c>
      <c r="P133" s="59">
        <f t="shared" si="87"/>
        <v>0.6125915290739411</v>
      </c>
      <c r="R133" s="2">
        <v>6.36</v>
      </c>
      <c r="S133" s="287">
        <f t="shared" si="65"/>
        <v>10.382122014671761</v>
      </c>
      <c r="T133" s="2">
        <v>31.7</v>
      </c>
      <c r="U133" s="396">
        <v>1</v>
      </c>
      <c r="V133" s="396">
        <v>5</v>
      </c>
      <c r="W133" s="396"/>
      <c r="X133" s="396"/>
      <c r="Y133" s="294">
        <f>2*PI()*(22^2)/4+2*PI()*(10^2)/4</f>
        <v>917.34505484821966</v>
      </c>
      <c r="Z133" s="58">
        <f t="shared" si="81"/>
        <v>4.1158697722910075E-3</v>
      </c>
      <c r="AA133" s="2">
        <v>474</v>
      </c>
      <c r="AB133" s="58">
        <f t="shared" si="56"/>
        <v>1.9509222720659376</v>
      </c>
      <c r="AC133" s="2" t="s">
        <v>596</v>
      </c>
      <c r="AD133" s="2">
        <v>618</v>
      </c>
      <c r="AE133" s="294">
        <f>9*(2*PI()*4.2^2/4)</f>
        <v>249.37962484195776</v>
      </c>
      <c r="AF133" s="2">
        <v>0</v>
      </c>
      <c r="AG133" s="338">
        <f t="shared" si="70"/>
        <v>249.37962484195776</v>
      </c>
      <c r="AH133" s="58">
        <f t="shared" si="85"/>
        <v>9.8960168588078479E-4</v>
      </c>
      <c r="AI133" s="2">
        <v>610</v>
      </c>
      <c r="AJ133" s="58">
        <f t="shared" si="58"/>
        <v>0.60365702838727875</v>
      </c>
      <c r="AK133" s="272">
        <f t="shared" si="88"/>
        <v>27.708847204661975</v>
      </c>
      <c r="AL133" s="2">
        <v>200</v>
      </c>
      <c r="AM133" s="58">
        <f t="shared" si="86"/>
        <v>156.01600000000002</v>
      </c>
      <c r="AN133" s="2">
        <v>0.56000000000000005</v>
      </c>
      <c r="AO133" s="59">
        <f t="shared" si="72"/>
        <v>0.91414910821009221</v>
      </c>
      <c r="AP133" s="272">
        <v>303.14</v>
      </c>
      <c r="AQ133" s="59">
        <f t="shared" si="73"/>
        <v>1.0880832735104091</v>
      </c>
      <c r="AR133" s="59">
        <f t="shared" si="74"/>
        <v>1.7761970609604614</v>
      </c>
    </row>
    <row r="134" spans="1:45" x14ac:dyDescent="0.25">
      <c r="A134" s="2">
        <v>126</v>
      </c>
      <c r="B134" s="2" t="s">
        <v>91</v>
      </c>
      <c r="C134" s="2" t="s">
        <v>552</v>
      </c>
      <c r="D134" s="2" t="s">
        <v>615</v>
      </c>
      <c r="E134" s="2" t="s">
        <v>489</v>
      </c>
      <c r="F134" s="2">
        <v>1930</v>
      </c>
      <c r="G134" s="2">
        <f t="shared" si="45"/>
        <v>3860</v>
      </c>
      <c r="H134" s="2">
        <v>1990</v>
      </c>
      <c r="I134" s="58">
        <f t="shared" si="77"/>
        <v>3840700</v>
      </c>
      <c r="J134" s="2">
        <v>140</v>
      </c>
      <c r="K134" s="287">
        <f t="shared" si="79"/>
        <v>1592</v>
      </c>
      <c r="L134" s="59">
        <f t="shared" si="46"/>
        <v>0.96984924623115576</v>
      </c>
      <c r="M134" s="59">
        <f t="shared" si="47"/>
        <v>1.9396984924623115</v>
      </c>
      <c r="N134" s="58">
        <f>(4*390/2*J134)+(H134-4*390/2)*(25.4)*2</f>
        <v>170668</v>
      </c>
      <c r="O134" s="330">
        <f t="shared" si="80"/>
        <v>278600</v>
      </c>
      <c r="P134" s="59">
        <f t="shared" si="87"/>
        <v>0.6125915290739411</v>
      </c>
      <c r="R134" s="2">
        <v>6.36</v>
      </c>
      <c r="S134" s="287">
        <f t="shared" si="65"/>
        <v>10.382122014671761</v>
      </c>
      <c r="T134" s="2">
        <v>31.7</v>
      </c>
      <c r="U134" s="396">
        <v>1</v>
      </c>
      <c r="V134" s="396">
        <v>5</v>
      </c>
      <c r="W134" s="396"/>
      <c r="X134" s="396"/>
      <c r="Y134" s="294">
        <f>2*PI()*(22^2)/4+2*PI()*(10^2)/4</f>
        <v>917.34505484821966</v>
      </c>
      <c r="Z134" s="58">
        <f t="shared" si="81"/>
        <v>4.1158697722910075E-3</v>
      </c>
      <c r="AA134" s="2">
        <v>474</v>
      </c>
      <c r="AB134" s="58">
        <f t="shared" si="56"/>
        <v>1.9509222720659376</v>
      </c>
      <c r="AC134" s="2" t="s">
        <v>596</v>
      </c>
      <c r="AD134" s="2">
        <v>618</v>
      </c>
      <c r="AE134" s="294">
        <f>9*(2*PI()*4.2^2/4)</f>
        <v>249.37962484195776</v>
      </c>
      <c r="AF134" s="2">
        <v>0</v>
      </c>
      <c r="AG134" s="338">
        <f t="shared" si="70"/>
        <v>249.37962484195776</v>
      </c>
      <c r="AH134" s="58">
        <f t="shared" si="85"/>
        <v>9.8960168588078479E-4</v>
      </c>
      <c r="AI134" s="2">
        <v>610</v>
      </c>
      <c r="AJ134" s="58">
        <f t="shared" si="58"/>
        <v>0.60365702838727875</v>
      </c>
      <c r="AK134" s="272">
        <f t="shared" si="88"/>
        <v>27.708847204661975</v>
      </c>
      <c r="AL134" s="2">
        <v>200</v>
      </c>
      <c r="AM134" s="58">
        <f t="shared" si="86"/>
        <v>156.01600000000002</v>
      </c>
      <c r="AN134" s="2">
        <v>0.56000000000000005</v>
      </c>
      <c r="AO134" s="59">
        <f t="shared" si="72"/>
        <v>0.91414910821009221</v>
      </c>
      <c r="AP134" s="272">
        <v>308.32</v>
      </c>
      <c r="AQ134" s="59">
        <f t="shared" si="73"/>
        <v>1.1066762383345299</v>
      </c>
      <c r="AR134" s="59">
        <f t="shared" si="74"/>
        <v>1.8065483863407317</v>
      </c>
    </row>
    <row r="135" spans="1:45" x14ac:dyDescent="0.25">
      <c r="A135" s="2">
        <v>127</v>
      </c>
      <c r="B135" s="2" t="s">
        <v>91</v>
      </c>
      <c r="C135" s="2" t="s">
        <v>553</v>
      </c>
      <c r="D135" s="2" t="s">
        <v>615</v>
      </c>
      <c r="E135" s="2" t="s">
        <v>489</v>
      </c>
      <c r="F135" s="2">
        <v>1130</v>
      </c>
      <c r="G135" s="2">
        <f t="shared" si="45"/>
        <v>2260</v>
      </c>
      <c r="H135" s="2">
        <v>2590</v>
      </c>
      <c r="I135" s="58">
        <f t="shared" si="77"/>
        <v>2926700</v>
      </c>
      <c r="J135" s="2">
        <v>140</v>
      </c>
      <c r="K135" s="287">
        <f t="shared" si="79"/>
        <v>2072</v>
      </c>
      <c r="L135" s="59">
        <f t="shared" si="46"/>
        <v>0.43629343629343631</v>
      </c>
      <c r="M135" s="59">
        <f t="shared" si="47"/>
        <v>0.87258687258687262</v>
      </c>
      <c r="N135" s="58">
        <f>(5*390/2*J135)+(H135-5*390/2)*(25.4)*2</f>
        <v>218542</v>
      </c>
      <c r="O135" s="330">
        <f t="shared" si="80"/>
        <v>362600</v>
      </c>
      <c r="P135" s="59">
        <f t="shared" si="87"/>
        <v>0.60270821842250411</v>
      </c>
      <c r="R135" s="2">
        <v>6.36</v>
      </c>
      <c r="S135" s="287">
        <f t="shared" si="65"/>
        <v>10.552369796194784</v>
      </c>
      <c r="T135" s="2">
        <v>31.7</v>
      </c>
      <c r="U135" s="396">
        <v>1</v>
      </c>
      <c r="V135" s="396">
        <v>5</v>
      </c>
      <c r="W135" s="396"/>
      <c r="X135" s="396"/>
      <c r="Y135" s="294">
        <f>2*PI()*(16^2)/4+3*PI()*(10^2)/4</f>
        <v>637.743308678728</v>
      </c>
      <c r="Z135" s="58">
        <f t="shared" si="81"/>
        <v>2.1985083724445948E-3</v>
      </c>
      <c r="AA135" s="2">
        <v>474</v>
      </c>
      <c r="AB135" s="58">
        <f t="shared" si="56"/>
        <v>1.0420929685387379</v>
      </c>
      <c r="AC135" s="2" t="s">
        <v>597</v>
      </c>
      <c r="AD135" s="2">
        <v>607</v>
      </c>
      <c r="AE135" s="294">
        <f>3*(2*PI()*4.2^2/4)</f>
        <v>83.126541613985921</v>
      </c>
      <c r="AF135" s="2">
        <v>0</v>
      </c>
      <c r="AG135" s="338">
        <f t="shared" si="70"/>
        <v>83.126541613985921</v>
      </c>
      <c r="AH135" s="58">
        <f t="shared" si="85"/>
        <v>4.9480084294039239E-4</v>
      </c>
      <c r="AI135" s="2">
        <v>610</v>
      </c>
      <c r="AJ135" s="58">
        <f t="shared" si="58"/>
        <v>0.30182851419363937</v>
      </c>
      <c r="AK135" s="272">
        <f t="shared" si="88"/>
        <v>27.708847204661975</v>
      </c>
      <c r="AL135" s="2">
        <v>400</v>
      </c>
      <c r="AM135" s="58">
        <f t="shared" si="86"/>
        <v>203.05600000000004</v>
      </c>
      <c r="AN135" s="2">
        <v>0.56000000000000005</v>
      </c>
      <c r="AO135" s="59">
        <f t="shared" si="72"/>
        <v>0.92913947891023263</v>
      </c>
      <c r="AP135" s="272">
        <v>316.35000000000002</v>
      </c>
      <c r="AQ135" s="59">
        <f t="shared" si="73"/>
        <v>0.87244897959183676</v>
      </c>
      <c r="AR135" s="59">
        <f t="shared" si="74"/>
        <v>1.4475478397745059</v>
      </c>
    </row>
    <row r="136" spans="1:45" x14ac:dyDescent="0.25">
      <c r="A136" s="2">
        <v>128</v>
      </c>
      <c r="B136" s="2" t="s">
        <v>91</v>
      </c>
      <c r="C136" s="2" t="s">
        <v>554</v>
      </c>
      <c r="D136" s="2" t="s">
        <v>615</v>
      </c>
      <c r="E136" s="2" t="s">
        <v>489</v>
      </c>
      <c r="F136" s="2">
        <v>1130</v>
      </c>
      <c r="G136" s="2">
        <f t="shared" si="45"/>
        <v>2260</v>
      </c>
      <c r="H136" s="2">
        <v>2590</v>
      </c>
      <c r="I136" s="58">
        <f t="shared" si="77"/>
        <v>2926700</v>
      </c>
      <c r="J136" s="2">
        <v>140</v>
      </c>
      <c r="K136" s="287">
        <f t="shared" si="79"/>
        <v>2072</v>
      </c>
      <c r="L136" s="59">
        <f t="shared" si="46"/>
        <v>0.43629343629343631</v>
      </c>
      <c r="M136" s="59">
        <f t="shared" si="47"/>
        <v>0.87258687258687262</v>
      </c>
      <c r="N136" s="58">
        <f>(5*390/2*J136)+(H136-5*390/2)*(25.4)*2</f>
        <v>218542</v>
      </c>
      <c r="O136" s="330">
        <f t="shared" si="80"/>
        <v>362600</v>
      </c>
      <c r="P136" s="59">
        <f t="shared" si="87"/>
        <v>0.60270821842250411</v>
      </c>
      <c r="R136" s="2">
        <v>6.36</v>
      </c>
      <c r="S136" s="287">
        <f t="shared" si="65"/>
        <v>10.552369796194784</v>
      </c>
      <c r="T136" s="2">
        <v>31.7</v>
      </c>
      <c r="U136" s="396">
        <v>1</v>
      </c>
      <c r="V136" s="396">
        <v>5</v>
      </c>
      <c r="W136" s="396"/>
      <c r="X136" s="396"/>
      <c r="Y136" s="294">
        <f>2*PI()*(16^2)/4+3*PI()*(10^2)/4</f>
        <v>637.743308678728</v>
      </c>
      <c r="Z136" s="58">
        <f t="shared" si="81"/>
        <v>2.1985083724445948E-3</v>
      </c>
      <c r="AA136" s="2">
        <v>474</v>
      </c>
      <c r="AB136" s="58">
        <f t="shared" si="56"/>
        <v>1.0420929685387379</v>
      </c>
      <c r="AC136" s="2" t="s">
        <v>597</v>
      </c>
      <c r="AD136" s="2">
        <v>607</v>
      </c>
      <c r="AE136" s="294">
        <f>6*(2*PI()*4.2^2/4)</f>
        <v>166.25308322797184</v>
      </c>
      <c r="AF136" s="2">
        <v>0</v>
      </c>
      <c r="AG136" s="338">
        <f t="shared" si="70"/>
        <v>166.25308322797184</v>
      </c>
      <c r="AH136" s="58">
        <f t="shared" si="85"/>
        <v>9.8960168588078479E-4</v>
      </c>
      <c r="AI136" s="2">
        <v>610</v>
      </c>
      <c r="AJ136" s="58">
        <f t="shared" si="58"/>
        <v>0.60365702838727875</v>
      </c>
      <c r="AK136" s="272">
        <f t="shared" si="88"/>
        <v>27.708847204661975</v>
      </c>
      <c r="AL136" s="2">
        <v>200</v>
      </c>
      <c r="AM136" s="58">
        <f t="shared" si="86"/>
        <v>203.05600000000004</v>
      </c>
      <c r="AN136" s="2">
        <v>0.56000000000000005</v>
      </c>
      <c r="AO136" s="59">
        <f t="shared" si="72"/>
        <v>0.92913947891023263</v>
      </c>
      <c r="AP136" s="272">
        <v>342.41</v>
      </c>
      <c r="AQ136" s="59">
        <f t="shared" si="73"/>
        <v>0.944318808604523</v>
      </c>
      <c r="AR136" s="59">
        <f t="shared" si="74"/>
        <v>1.5667926531284606</v>
      </c>
    </row>
    <row r="137" spans="1:45" x14ac:dyDescent="0.25">
      <c r="A137" s="2">
        <v>129</v>
      </c>
      <c r="B137" s="2" t="s">
        <v>91</v>
      </c>
      <c r="C137" s="2" t="s">
        <v>555</v>
      </c>
      <c r="D137" s="2" t="s">
        <v>615</v>
      </c>
      <c r="E137" s="2" t="s">
        <v>489</v>
      </c>
      <c r="F137" s="2">
        <v>1130</v>
      </c>
      <c r="G137" s="2">
        <f t="shared" si="45"/>
        <v>2260</v>
      </c>
      <c r="H137" s="2">
        <v>2590</v>
      </c>
      <c r="I137" s="58">
        <f t="shared" si="77"/>
        <v>2926700</v>
      </c>
      <c r="J137" s="2">
        <v>140</v>
      </c>
      <c r="K137" s="287">
        <f t="shared" si="79"/>
        <v>2072</v>
      </c>
      <c r="L137" s="59">
        <f t="shared" si="46"/>
        <v>0.43629343629343631</v>
      </c>
      <c r="M137" s="59">
        <f t="shared" si="47"/>
        <v>0.87258687258687262</v>
      </c>
      <c r="N137" s="58">
        <f>(5*390/2*J137)+(H137-5*390/2)*(25.4)*2</f>
        <v>218542</v>
      </c>
      <c r="O137" s="330">
        <f t="shared" si="80"/>
        <v>362600</v>
      </c>
      <c r="P137" s="59">
        <f t="shared" si="87"/>
        <v>0.60270821842250411</v>
      </c>
      <c r="R137" s="2">
        <v>6.36</v>
      </c>
      <c r="S137" s="287">
        <f t="shared" si="65"/>
        <v>10.552369796194784</v>
      </c>
      <c r="T137" s="2">
        <v>31.7</v>
      </c>
      <c r="U137" s="396">
        <v>1</v>
      </c>
      <c r="V137" s="396">
        <v>5</v>
      </c>
      <c r="W137" s="396"/>
      <c r="X137" s="396"/>
      <c r="Y137" s="294">
        <f>2*PI()*(16^2)/4+3*PI()*(10^2)/4</f>
        <v>637.743308678728</v>
      </c>
      <c r="Z137" s="58">
        <f t="shared" si="81"/>
        <v>2.1985083724445948E-3</v>
      </c>
      <c r="AA137" s="2">
        <v>474</v>
      </c>
      <c r="AB137" s="58">
        <f t="shared" si="56"/>
        <v>1.0420929685387379</v>
      </c>
      <c r="AC137" s="2" t="s">
        <v>597</v>
      </c>
      <c r="AD137" s="2">
        <v>607</v>
      </c>
      <c r="AE137" s="294">
        <f>3*(2*PI()*4.2^2/4)</f>
        <v>83.126541613985921</v>
      </c>
      <c r="AF137" s="2">
        <v>0</v>
      </c>
      <c r="AG137" s="338">
        <f t="shared" si="70"/>
        <v>83.126541613985921</v>
      </c>
      <c r="AH137" s="58">
        <f t="shared" si="85"/>
        <v>4.9480084294039239E-4</v>
      </c>
      <c r="AI137" s="2">
        <v>610</v>
      </c>
      <c r="AJ137" s="58">
        <f t="shared" si="58"/>
        <v>0.30182851419363937</v>
      </c>
      <c r="AK137" s="272">
        <f t="shared" si="88"/>
        <v>27.708847204661975</v>
      </c>
      <c r="AL137" s="2">
        <v>400</v>
      </c>
      <c r="AM137" s="58">
        <f t="shared" si="86"/>
        <v>0</v>
      </c>
      <c r="AN137" s="2">
        <v>0</v>
      </c>
      <c r="AO137" s="59">
        <f t="shared" si="72"/>
        <v>0</v>
      </c>
      <c r="AP137" s="272">
        <v>221.78</v>
      </c>
      <c r="AQ137" s="59">
        <f t="shared" si="73"/>
        <v>0.61163816878102595</v>
      </c>
      <c r="AR137" s="59">
        <f t="shared" si="74"/>
        <v>1.0148163739693057</v>
      </c>
    </row>
    <row r="138" spans="1:45" x14ac:dyDescent="0.25">
      <c r="A138" s="2">
        <v>130</v>
      </c>
      <c r="B138" s="2" t="s">
        <v>91</v>
      </c>
      <c r="C138" s="2" t="s">
        <v>556</v>
      </c>
      <c r="D138" s="2" t="s">
        <v>615</v>
      </c>
      <c r="E138" s="2" t="s">
        <v>489</v>
      </c>
      <c r="F138" s="2">
        <v>1930</v>
      </c>
      <c r="G138" s="2">
        <f t="shared" ref="G138:G173" si="89">IF(E138="Cantilever",2*F138,1*F138)</f>
        <v>3860</v>
      </c>
      <c r="H138" s="2">
        <v>990</v>
      </c>
      <c r="I138" s="58">
        <f t="shared" si="77"/>
        <v>1910700</v>
      </c>
      <c r="J138" s="2">
        <v>140</v>
      </c>
      <c r="K138" s="287">
        <f t="shared" si="79"/>
        <v>792</v>
      </c>
      <c r="L138" s="59">
        <f t="shared" ref="L138:L183" si="90">F138/H138</f>
        <v>1.9494949494949494</v>
      </c>
      <c r="M138" s="59">
        <f t="shared" ref="M138:M183" si="91">G138/H138</f>
        <v>3.8989898989898988</v>
      </c>
      <c r="N138" s="58">
        <f>(3*390/2*J138)+(H138-3*390/2)*(25.4)*2</f>
        <v>102474</v>
      </c>
      <c r="O138" s="330">
        <f t="shared" si="80"/>
        <v>138600</v>
      </c>
      <c r="P138" s="59">
        <f t="shared" si="87"/>
        <v>0.73935064935064931</v>
      </c>
      <c r="R138" s="2">
        <v>6.36</v>
      </c>
      <c r="S138" s="287">
        <f t="shared" si="65"/>
        <v>8.6021429826102231</v>
      </c>
      <c r="T138" s="2">
        <v>31.7</v>
      </c>
      <c r="U138" s="396">
        <v>1</v>
      </c>
      <c r="V138" s="396">
        <v>5</v>
      </c>
      <c r="W138" s="396"/>
      <c r="X138" s="396"/>
      <c r="Y138" s="294">
        <f>2*PI()*(22^2)/4+1*PI()*(10^2)/4</f>
        <v>838.80523850847476</v>
      </c>
      <c r="Z138" s="58">
        <f t="shared" si="81"/>
        <v>7.5649823097806166E-3</v>
      </c>
      <c r="AA138" s="2">
        <v>474</v>
      </c>
      <c r="AB138" s="58">
        <f t="shared" si="56"/>
        <v>3.5858016148360123</v>
      </c>
      <c r="AC138" s="2" t="s">
        <v>596</v>
      </c>
      <c r="AD138" s="2">
        <v>400</v>
      </c>
      <c r="AE138" s="294">
        <f>4*(2*PI()*4.2^2/4)</f>
        <v>110.8353888186479</v>
      </c>
      <c r="AF138" s="2">
        <v>0</v>
      </c>
      <c r="AG138" s="338">
        <f t="shared" si="70"/>
        <v>110.8353888186479</v>
      </c>
      <c r="AH138" s="58">
        <f t="shared" si="85"/>
        <v>4.9480084294039239E-4</v>
      </c>
      <c r="AI138" s="2">
        <v>610</v>
      </c>
      <c r="AJ138" s="58">
        <f t="shared" si="58"/>
        <v>0.30182851419363937</v>
      </c>
      <c r="AK138" s="272">
        <f t="shared" si="88"/>
        <v>27.708847204661975</v>
      </c>
      <c r="AL138" s="2">
        <v>400</v>
      </c>
      <c r="AM138" s="58">
        <f t="shared" si="86"/>
        <v>77.616000000000014</v>
      </c>
      <c r="AN138" s="2">
        <v>0.56000000000000005</v>
      </c>
      <c r="AO138" s="59">
        <f t="shared" si="72"/>
        <v>0.75742139469523995</v>
      </c>
      <c r="AP138" s="272">
        <v>100.31</v>
      </c>
      <c r="AQ138" s="59">
        <f t="shared" si="73"/>
        <v>0.72373737373737379</v>
      </c>
      <c r="AR138" s="59">
        <f t="shared" si="74"/>
        <v>0.97888244823077075</v>
      </c>
    </row>
    <row r="139" spans="1:45" x14ac:dyDescent="0.25">
      <c r="A139" s="2">
        <v>131</v>
      </c>
      <c r="B139" s="2" t="s">
        <v>91</v>
      </c>
      <c r="C139" s="2" t="s">
        <v>557</v>
      </c>
      <c r="D139" s="2" t="s">
        <v>615</v>
      </c>
      <c r="E139" s="2" t="s">
        <v>489</v>
      </c>
      <c r="F139" s="2">
        <v>1930</v>
      </c>
      <c r="G139" s="2">
        <f t="shared" si="89"/>
        <v>3860</v>
      </c>
      <c r="H139" s="2">
        <v>990</v>
      </c>
      <c r="I139" s="58">
        <f t="shared" si="77"/>
        <v>1910700</v>
      </c>
      <c r="J139" s="2">
        <v>140</v>
      </c>
      <c r="K139" s="287">
        <f t="shared" si="79"/>
        <v>792</v>
      </c>
      <c r="L139" s="59">
        <f t="shared" si="90"/>
        <v>1.9494949494949494</v>
      </c>
      <c r="M139" s="59">
        <f t="shared" si="91"/>
        <v>3.8989898989898988</v>
      </c>
      <c r="N139" s="58">
        <f>(3*390/2*J139)+(H139-3*390/2)*(25.4)*2</f>
        <v>102474</v>
      </c>
      <c r="O139" s="330">
        <f t="shared" si="80"/>
        <v>138600</v>
      </c>
      <c r="P139" s="59">
        <f t="shared" si="87"/>
        <v>0.73935064935064931</v>
      </c>
      <c r="R139" s="2">
        <v>6.36</v>
      </c>
      <c r="S139" s="287">
        <f t="shared" si="65"/>
        <v>8.6021429826102231</v>
      </c>
      <c r="T139" s="2">
        <v>31.7</v>
      </c>
      <c r="U139" s="396">
        <v>1</v>
      </c>
      <c r="V139" s="396">
        <v>5</v>
      </c>
      <c r="W139" s="396"/>
      <c r="X139" s="396"/>
      <c r="Y139" s="294">
        <f>2*PI()*(22^2)/4+1*PI()*(10^2)/4</f>
        <v>838.80523850847476</v>
      </c>
      <c r="Z139" s="58">
        <f t="shared" si="81"/>
        <v>7.5649823097806166E-3</v>
      </c>
      <c r="AA139" s="2">
        <v>474</v>
      </c>
      <c r="AB139" s="58">
        <f t="shared" si="56"/>
        <v>3.5858016148360123</v>
      </c>
      <c r="AC139" s="2" t="s">
        <v>596</v>
      </c>
      <c r="AD139" s="2">
        <v>400</v>
      </c>
      <c r="AE139" s="294">
        <f>9*(2*PI()*4.2^2/4)</f>
        <v>249.37962484195776</v>
      </c>
      <c r="AF139" s="2">
        <v>0</v>
      </c>
      <c r="AG139" s="378">
        <f t="shared" si="70"/>
        <v>249.37962484195776</v>
      </c>
      <c r="AH139" s="58">
        <f t="shared" si="85"/>
        <v>9.8960168588078479E-4</v>
      </c>
      <c r="AI139" s="2">
        <v>610</v>
      </c>
      <c r="AJ139" s="58">
        <f t="shared" si="58"/>
        <v>0.60365702838727875</v>
      </c>
      <c r="AK139" s="272">
        <f t="shared" si="88"/>
        <v>27.708847204661975</v>
      </c>
      <c r="AL139" s="2">
        <v>200</v>
      </c>
      <c r="AM139" s="58">
        <f t="shared" si="86"/>
        <v>77.616000000000014</v>
      </c>
      <c r="AN139" s="2">
        <v>0.56000000000000005</v>
      </c>
      <c r="AO139" s="59">
        <f t="shared" si="72"/>
        <v>0.75742139469523995</v>
      </c>
      <c r="AP139" s="272">
        <v>141.68</v>
      </c>
      <c r="AQ139" s="59">
        <f t="shared" si="73"/>
        <v>1.0222222222222224</v>
      </c>
      <c r="AR139" s="59">
        <f t="shared" si="74"/>
        <v>1.3825946093643267</v>
      </c>
    </row>
    <row r="140" spans="1:45" s="296" customFormat="1" x14ac:dyDescent="0.25">
      <c r="A140" s="296">
        <v>132</v>
      </c>
      <c r="B140" s="296" t="s">
        <v>91</v>
      </c>
      <c r="C140" s="296" t="s">
        <v>558</v>
      </c>
      <c r="D140" s="296" t="s">
        <v>615</v>
      </c>
      <c r="E140" s="296" t="s">
        <v>489</v>
      </c>
      <c r="F140" s="296">
        <v>1930</v>
      </c>
      <c r="G140" s="296">
        <f t="shared" si="89"/>
        <v>3860</v>
      </c>
      <c r="H140" s="296">
        <v>990</v>
      </c>
      <c r="I140" s="298">
        <f t="shared" si="77"/>
        <v>1910700</v>
      </c>
      <c r="J140" s="296">
        <v>140</v>
      </c>
      <c r="K140" s="302">
        <f t="shared" si="79"/>
        <v>792</v>
      </c>
      <c r="L140" s="300">
        <f t="shared" si="90"/>
        <v>1.9494949494949494</v>
      </c>
      <c r="M140" s="300">
        <f t="shared" si="91"/>
        <v>3.8989898989898988</v>
      </c>
      <c r="N140" s="298">
        <f>(3*390/2*J140)+(H140-3*390/2)*(25.4)*2</f>
        <v>102474</v>
      </c>
      <c r="O140" s="298">
        <f t="shared" si="80"/>
        <v>138600</v>
      </c>
      <c r="P140" s="300">
        <f t="shared" si="87"/>
        <v>0.73935064935064931</v>
      </c>
      <c r="R140" s="296">
        <v>6.36</v>
      </c>
      <c r="S140" s="302">
        <f t="shared" si="65"/>
        <v>8.6021429826102231</v>
      </c>
      <c r="T140" s="296">
        <v>31.7</v>
      </c>
      <c r="U140" s="397">
        <v>1</v>
      </c>
      <c r="V140" s="397">
        <v>5</v>
      </c>
      <c r="W140" s="397"/>
      <c r="X140" s="397"/>
      <c r="Y140" s="301">
        <f>2*PI()*(22^2)/4+1*PI()*(10^2)/4</f>
        <v>838.80523850847476</v>
      </c>
      <c r="Z140" s="298">
        <f t="shared" si="81"/>
        <v>7.5649823097806166E-3</v>
      </c>
      <c r="AA140" s="296">
        <v>474</v>
      </c>
      <c r="AB140" s="298">
        <f t="shared" si="56"/>
        <v>3.5858016148360123</v>
      </c>
      <c r="AC140" s="296" t="s">
        <v>596</v>
      </c>
      <c r="AD140" s="296">
        <v>400</v>
      </c>
      <c r="AE140" s="301">
        <f>4*(2*PI()*4.2^2/4)</f>
        <v>110.8353888186479</v>
      </c>
      <c r="AF140" s="296">
        <v>0</v>
      </c>
      <c r="AG140" s="339">
        <f t="shared" si="70"/>
        <v>110.8353888186479</v>
      </c>
      <c r="AH140" s="298">
        <f t="shared" si="85"/>
        <v>4.9480084294039239E-4</v>
      </c>
      <c r="AI140" s="296">
        <v>610</v>
      </c>
      <c r="AJ140" s="298">
        <f t="shared" si="58"/>
        <v>0.30182851419363937</v>
      </c>
      <c r="AK140" s="299">
        <f t="shared" si="88"/>
        <v>27.708847204661975</v>
      </c>
      <c r="AL140" s="296">
        <v>400</v>
      </c>
      <c r="AM140" s="298">
        <f t="shared" si="86"/>
        <v>0</v>
      </c>
      <c r="AN140" s="296">
        <v>0</v>
      </c>
      <c r="AO140" s="300">
        <f t="shared" si="72"/>
        <v>0</v>
      </c>
      <c r="AP140" s="299">
        <v>99.89</v>
      </c>
      <c r="AQ140" s="300">
        <f t="shared" si="73"/>
        <v>0.72070707070707074</v>
      </c>
      <c r="AR140" s="300">
        <f t="shared" si="74"/>
        <v>0.97478384761012549</v>
      </c>
      <c r="AS140" s="361"/>
    </row>
    <row r="141" spans="1:45" x14ac:dyDescent="0.25">
      <c r="A141" s="2">
        <v>133</v>
      </c>
      <c r="B141" s="2" t="s">
        <v>511</v>
      </c>
      <c r="C141" s="2" t="s">
        <v>563</v>
      </c>
      <c r="D141" s="2" t="s">
        <v>615</v>
      </c>
      <c r="E141" s="2" t="s">
        <v>490</v>
      </c>
      <c r="F141" s="2">
        <v>1800</v>
      </c>
      <c r="G141" s="2">
        <f t="shared" si="89"/>
        <v>1800</v>
      </c>
      <c r="H141" s="2">
        <v>1800</v>
      </c>
      <c r="I141" s="58">
        <f t="shared" si="77"/>
        <v>3240000</v>
      </c>
      <c r="J141" s="2">
        <v>90</v>
      </c>
      <c r="K141" s="287">
        <f t="shared" si="79"/>
        <v>1440</v>
      </c>
      <c r="L141" s="59">
        <f t="shared" si="90"/>
        <v>1</v>
      </c>
      <c r="M141" s="59">
        <f t="shared" si="91"/>
        <v>1</v>
      </c>
      <c r="N141" s="58">
        <f>(3*390/2*J141)+(H141-3*390/2)*(25.4)*2</f>
        <v>114372</v>
      </c>
      <c r="O141" s="58">
        <f>J141*H141</f>
        <v>162000</v>
      </c>
      <c r="P141" s="59">
        <f t="shared" si="87"/>
        <v>0.70599999999999996</v>
      </c>
      <c r="R141" s="2">
        <v>12.4</v>
      </c>
      <c r="S141" s="287">
        <f t="shared" si="65"/>
        <v>17.563739376770538</v>
      </c>
      <c r="T141" s="272">
        <v>36</v>
      </c>
      <c r="U141" s="294">
        <v>4</v>
      </c>
      <c r="V141" s="294">
        <v>6</v>
      </c>
      <c r="W141" s="394"/>
      <c r="X141" s="394"/>
      <c r="Y141" s="2">
        <f>3*100</f>
        <v>300</v>
      </c>
      <c r="Z141" s="58">
        <f t="shared" si="81"/>
        <v>2.3148148148148151E-3</v>
      </c>
      <c r="AA141" s="2">
        <v>491.7</v>
      </c>
      <c r="AB141" s="58">
        <f t="shared" si="56"/>
        <v>1.1381944444444445</v>
      </c>
      <c r="AC141" s="2">
        <v>100</v>
      </c>
      <c r="AD141" s="2">
        <v>855</v>
      </c>
      <c r="AE141" s="294">
        <f>3*25.8</f>
        <v>77.400000000000006</v>
      </c>
      <c r="AF141" s="2">
        <v>0</v>
      </c>
      <c r="AG141" s="338">
        <f t="shared" si="70"/>
        <v>77.400000000000006</v>
      </c>
      <c r="AH141" s="58">
        <f t="shared" si="85"/>
        <v>3.3528265107212477E-4</v>
      </c>
      <c r="AI141" s="2">
        <v>743.7</v>
      </c>
      <c r="AJ141" s="58">
        <f t="shared" si="58"/>
        <v>0.24934970760233921</v>
      </c>
      <c r="AK141" s="2">
        <v>25.8</v>
      </c>
      <c r="AL141" s="2">
        <v>855</v>
      </c>
      <c r="AM141" s="58">
        <f t="shared" si="86"/>
        <v>121.5</v>
      </c>
      <c r="AN141" s="2">
        <v>0.75</v>
      </c>
      <c r="AO141" s="271">
        <f t="shared" si="72"/>
        <v>1.0623229461756376</v>
      </c>
      <c r="AP141" s="272">
        <v>96.9</v>
      </c>
      <c r="AQ141" s="59">
        <f t="shared" si="73"/>
        <v>0.59814814814814821</v>
      </c>
      <c r="AR141" s="59">
        <f t="shared" si="74"/>
        <v>0.84723533732032319</v>
      </c>
    </row>
    <row r="142" spans="1:45" x14ac:dyDescent="0.25">
      <c r="A142" s="2">
        <v>134</v>
      </c>
      <c r="B142" s="2" t="s">
        <v>511</v>
      </c>
      <c r="C142" s="2" t="s">
        <v>564</v>
      </c>
      <c r="D142" s="2" t="s">
        <v>615</v>
      </c>
      <c r="E142" s="2" t="s">
        <v>490</v>
      </c>
      <c r="F142" s="2">
        <v>1800</v>
      </c>
      <c r="G142" s="2">
        <f t="shared" si="89"/>
        <v>1800</v>
      </c>
      <c r="H142" s="2">
        <v>1800</v>
      </c>
      <c r="I142" s="58">
        <f t="shared" si="77"/>
        <v>3240000</v>
      </c>
      <c r="J142" s="2">
        <v>90</v>
      </c>
      <c r="K142" s="287">
        <f t="shared" si="79"/>
        <v>1440</v>
      </c>
      <c r="L142" s="59">
        <f t="shared" si="90"/>
        <v>1</v>
      </c>
      <c r="M142" s="59">
        <f t="shared" si="91"/>
        <v>1</v>
      </c>
      <c r="N142" s="58">
        <f>(4*390/2*J142)+(H142-4*390/2)*(25.4)*2</f>
        <v>122016</v>
      </c>
      <c r="O142" s="58">
        <f t="shared" si="80"/>
        <v>162000</v>
      </c>
      <c r="P142" s="59">
        <f t="shared" si="87"/>
        <v>0.75318518518518518</v>
      </c>
      <c r="R142" s="2">
        <v>12.4</v>
      </c>
      <c r="S142" s="287">
        <f t="shared" si="65"/>
        <v>16.463414634146343</v>
      </c>
      <c r="T142" s="272">
        <v>36</v>
      </c>
      <c r="U142" s="294">
        <v>4</v>
      </c>
      <c r="V142" s="294">
        <v>6</v>
      </c>
      <c r="W142" s="394"/>
      <c r="X142" s="394"/>
      <c r="Y142" s="2">
        <f>4*71</f>
        <v>284</v>
      </c>
      <c r="Z142" s="58">
        <f t="shared" si="81"/>
        <v>2.1913580246913579E-3</v>
      </c>
      <c r="AA142" s="2">
        <v>502.9</v>
      </c>
      <c r="AB142" s="58">
        <f t="shared" si="56"/>
        <v>1.1020339506172838</v>
      </c>
      <c r="AC142" s="2">
        <v>71</v>
      </c>
      <c r="AD142" s="2">
        <v>570</v>
      </c>
      <c r="AE142" s="294">
        <f>4*19.4</f>
        <v>77.599999999999994</v>
      </c>
      <c r="AF142" s="2">
        <v>0</v>
      </c>
      <c r="AG142" s="338">
        <f t="shared" si="70"/>
        <v>77.599999999999994</v>
      </c>
      <c r="AH142" s="58">
        <f t="shared" si="85"/>
        <v>3.7816764132553603E-4</v>
      </c>
      <c r="AI142" s="2">
        <v>690.7</v>
      </c>
      <c r="AJ142" s="58">
        <f t="shared" si="58"/>
        <v>0.26120038986354777</v>
      </c>
      <c r="AK142" s="2">
        <v>19.399999999999999</v>
      </c>
      <c r="AL142" s="2">
        <v>570</v>
      </c>
      <c r="AM142" s="58">
        <f t="shared" si="86"/>
        <v>121.5</v>
      </c>
      <c r="AN142" s="2">
        <v>0.75</v>
      </c>
      <c r="AO142" s="271">
        <f t="shared" si="72"/>
        <v>0.99577104642014169</v>
      </c>
      <c r="AP142" s="272">
        <v>103.7</v>
      </c>
      <c r="AQ142" s="59">
        <f t="shared" si="73"/>
        <v>0.6401234567901235</v>
      </c>
      <c r="AR142" s="59">
        <f t="shared" si="74"/>
        <v>0.8498885392079728</v>
      </c>
    </row>
    <row r="143" spans="1:45" x14ac:dyDescent="0.25">
      <c r="A143" s="2">
        <v>135</v>
      </c>
      <c r="B143" s="2" t="s">
        <v>511</v>
      </c>
      <c r="C143" s="2" t="s">
        <v>565</v>
      </c>
      <c r="D143" s="2" t="s">
        <v>615</v>
      </c>
      <c r="E143" s="2" t="s">
        <v>490</v>
      </c>
      <c r="F143" s="2">
        <v>1800</v>
      </c>
      <c r="G143" s="2">
        <f t="shared" si="89"/>
        <v>1800</v>
      </c>
      <c r="H143" s="2">
        <v>1800</v>
      </c>
      <c r="I143" s="58">
        <f t="shared" si="77"/>
        <v>3240000</v>
      </c>
      <c r="J143" s="2">
        <v>90</v>
      </c>
      <c r="K143" s="287">
        <f t="shared" si="79"/>
        <v>1440</v>
      </c>
      <c r="L143" s="59">
        <f t="shared" si="90"/>
        <v>1</v>
      </c>
      <c r="M143" s="59">
        <f t="shared" si="91"/>
        <v>1</v>
      </c>
      <c r="N143" s="58">
        <f>(2*390/2*J143)+(H143-2*390/2)*(25.4)*2</f>
        <v>106728</v>
      </c>
      <c r="O143" s="58">
        <f t="shared" si="80"/>
        <v>162000</v>
      </c>
      <c r="P143" s="59">
        <f t="shared" si="87"/>
        <v>0.65881481481481485</v>
      </c>
      <c r="R143" s="2">
        <v>12.4</v>
      </c>
      <c r="S143" s="287">
        <f t="shared" si="65"/>
        <v>18.821677535417134</v>
      </c>
      <c r="T143" s="272">
        <v>36</v>
      </c>
      <c r="U143" s="294">
        <v>4</v>
      </c>
      <c r="V143" s="294">
        <v>6</v>
      </c>
      <c r="W143" s="394"/>
      <c r="X143" s="394"/>
      <c r="Y143" s="2">
        <f>2*126</f>
        <v>252</v>
      </c>
      <c r="Z143" s="58">
        <f t="shared" si="81"/>
        <v>1.9444444444444444E-3</v>
      </c>
      <c r="AA143" s="2">
        <v>564.70000000000005</v>
      </c>
      <c r="AB143" s="58">
        <f t="shared" si="56"/>
        <v>1.0980277777777778</v>
      </c>
      <c r="AC143" s="2">
        <v>126</v>
      </c>
      <c r="AD143" s="2">
        <v>1710</v>
      </c>
      <c r="AE143" s="294">
        <f>2*2*19.4</f>
        <v>77.599999999999994</v>
      </c>
      <c r="AF143" s="2">
        <v>0</v>
      </c>
      <c r="AG143" s="338">
        <f t="shared" si="70"/>
        <v>77.599999999999994</v>
      </c>
      <c r="AH143" s="58">
        <f t="shared" si="85"/>
        <v>1.2605588044184535E-4</v>
      </c>
      <c r="AI143" s="2">
        <v>690.7</v>
      </c>
      <c r="AJ143" s="58">
        <f t="shared" si="58"/>
        <v>8.7066796621182593E-2</v>
      </c>
      <c r="AK143" s="2">
        <v>19.399999999999999</v>
      </c>
      <c r="AL143" s="2">
        <v>1710</v>
      </c>
      <c r="AM143" s="58">
        <f t="shared" si="86"/>
        <v>121.5</v>
      </c>
      <c r="AN143" s="2">
        <v>0.75</v>
      </c>
      <c r="AO143" s="271">
        <f t="shared" si="72"/>
        <v>1.1384079154486171</v>
      </c>
      <c r="AP143" s="272">
        <v>96.7</v>
      </c>
      <c r="AQ143" s="59">
        <f t="shared" si="73"/>
        <v>0.59691358024691354</v>
      </c>
      <c r="AR143" s="59">
        <f t="shared" si="74"/>
        <v>0.90604152612247957</v>
      </c>
    </row>
    <row r="144" spans="1:45" x14ac:dyDescent="0.25">
      <c r="A144" s="2">
        <v>136</v>
      </c>
      <c r="B144" s="2" t="s">
        <v>511</v>
      </c>
      <c r="C144" s="2" t="s">
        <v>566</v>
      </c>
      <c r="D144" s="2" t="s">
        <v>615</v>
      </c>
      <c r="E144" s="2" t="s">
        <v>490</v>
      </c>
      <c r="F144" s="2">
        <v>900</v>
      </c>
      <c r="G144" s="2">
        <f t="shared" si="89"/>
        <v>900</v>
      </c>
      <c r="H144" s="2">
        <v>1800</v>
      </c>
      <c r="I144" s="58">
        <f t="shared" si="77"/>
        <v>1620000</v>
      </c>
      <c r="J144" s="2">
        <v>90</v>
      </c>
      <c r="K144" s="287">
        <f t="shared" si="79"/>
        <v>1440</v>
      </c>
      <c r="L144" s="59">
        <f t="shared" si="90"/>
        <v>0.5</v>
      </c>
      <c r="M144" s="59">
        <f t="shared" si="91"/>
        <v>0.5</v>
      </c>
      <c r="N144" s="58">
        <f>(3*390/2*J144)+(H144-3*390/2)*(25.4)*2</f>
        <v>114372</v>
      </c>
      <c r="O144" s="58">
        <f t="shared" si="80"/>
        <v>162000</v>
      </c>
      <c r="P144" s="59">
        <f t="shared" si="87"/>
        <v>0.70599999999999996</v>
      </c>
      <c r="R144" s="2">
        <v>12.4</v>
      </c>
      <c r="S144" s="287">
        <f t="shared" si="65"/>
        <v>17.563739376770538</v>
      </c>
      <c r="T144" s="272">
        <v>36</v>
      </c>
      <c r="U144" s="294">
        <v>4</v>
      </c>
      <c r="V144" s="294">
        <v>6</v>
      </c>
      <c r="W144" s="394"/>
      <c r="X144" s="394"/>
      <c r="Y144" s="2">
        <f>3*100</f>
        <v>300</v>
      </c>
      <c r="Z144" s="58">
        <f t="shared" si="81"/>
        <v>2.3148148148148151E-3</v>
      </c>
      <c r="AA144" s="2">
        <v>491.7</v>
      </c>
      <c r="AB144" s="58">
        <f t="shared" si="56"/>
        <v>1.1381944444444445</v>
      </c>
      <c r="AC144" s="2">
        <v>100</v>
      </c>
      <c r="AD144" s="2">
        <v>855</v>
      </c>
      <c r="AE144" s="294">
        <f>2*19.4</f>
        <v>38.799999999999997</v>
      </c>
      <c r="AF144" s="2">
        <v>0</v>
      </c>
      <c r="AG144" s="378">
        <f t="shared" si="70"/>
        <v>38.799999999999997</v>
      </c>
      <c r="AH144" s="58">
        <f t="shared" si="85"/>
        <v>2.521117608836907E-4</v>
      </c>
      <c r="AI144" s="2">
        <v>690.7</v>
      </c>
      <c r="AJ144" s="58">
        <f t="shared" si="58"/>
        <v>0.17413359324236519</v>
      </c>
      <c r="AK144" s="2">
        <v>19.399999999999999</v>
      </c>
      <c r="AL144" s="2">
        <v>855</v>
      </c>
      <c r="AM144" s="58">
        <f t="shared" si="86"/>
        <v>121.5</v>
      </c>
      <c r="AN144" s="2">
        <v>0.75</v>
      </c>
      <c r="AO144" s="271">
        <f t="shared" si="72"/>
        <v>1.0623229461756376</v>
      </c>
      <c r="AP144" s="272">
        <v>122.9</v>
      </c>
      <c r="AQ144" s="59">
        <f t="shared" si="73"/>
        <v>0.75864197530864197</v>
      </c>
      <c r="AR144" s="59">
        <f t="shared" si="74"/>
        <v>1.0745637044031757</v>
      </c>
    </row>
    <row r="145" spans="1:45" s="296" customFormat="1" x14ac:dyDescent="0.25">
      <c r="A145" s="296">
        <v>137</v>
      </c>
      <c r="B145" s="296" t="s">
        <v>511</v>
      </c>
      <c r="C145" s="296" t="s">
        <v>567</v>
      </c>
      <c r="D145" s="296" t="s">
        <v>615</v>
      </c>
      <c r="E145" s="296" t="s">
        <v>490</v>
      </c>
      <c r="F145" s="296">
        <v>2698</v>
      </c>
      <c r="G145" s="296">
        <f t="shared" si="89"/>
        <v>2698</v>
      </c>
      <c r="H145" s="296">
        <v>1800</v>
      </c>
      <c r="I145" s="298">
        <f t="shared" si="77"/>
        <v>4856400</v>
      </c>
      <c r="J145" s="296">
        <v>90</v>
      </c>
      <c r="K145" s="302">
        <f t="shared" si="79"/>
        <v>1440</v>
      </c>
      <c r="L145" s="300">
        <f t="shared" si="90"/>
        <v>1.4988888888888889</v>
      </c>
      <c r="M145" s="300">
        <f t="shared" si="91"/>
        <v>1.4988888888888889</v>
      </c>
      <c r="N145" s="298">
        <f>(3*390/2*J145)+(H145-3*390/2)*(25.4)*2</f>
        <v>114372</v>
      </c>
      <c r="O145" s="298">
        <f t="shared" si="80"/>
        <v>162000</v>
      </c>
      <c r="P145" s="300">
        <f t="shared" si="87"/>
        <v>0.70599999999999996</v>
      </c>
      <c r="R145" s="296">
        <v>12.4</v>
      </c>
      <c r="S145" s="302">
        <f t="shared" si="65"/>
        <v>17.563739376770538</v>
      </c>
      <c r="T145" s="299">
        <v>36</v>
      </c>
      <c r="U145" s="301">
        <v>4</v>
      </c>
      <c r="V145" s="301">
        <v>6</v>
      </c>
      <c r="W145" s="395"/>
      <c r="X145" s="395"/>
      <c r="Y145" s="296">
        <f>3*100</f>
        <v>300</v>
      </c>
      <c r="Z145" s="298">
        <f t="shared" si="81"/>
        <v>2.3148148148148151E-3</v>
      </c>
      <c r="AA145" s="296">
        <v>491.7</v>
      </c>
      <c r="AB145" s="298">
        <f t="shared" si="56"/>
        <v>1.1381944444444445</v>
      </c>
      <c r="AC145" s="296">
        <v>100</v>
      </c>
      <c r="AD145" s="296">
        <v>855</v>
      </c>
      <c r="AE145" s="301">
        <f>4*25.8</f>
        <v>103.2</v>
      </c>
      <c r="AF145" s="296">
        <v>0</v>
      </c>
      <c r="AG145" s="339">
        <f t="shared" si="70"/>
        <v>103.2</v>
      </c>
      <c r="AH145" s="298">
        <f t="shared" si="85"/>
        <v>3.3528265107212477E-4</v>
      </c>
      <c r="AI145" s="296">
        <v>743.7</v>
      </c>
      <c r="AJ145" s="298">
        <f t="shared" si="58"/>
        <v>0.24934970760233921</v>
      </c>
      <c r="AK145" s="296">
        <v>25.8</v>
      </c>
      <c r="AL145" s="296">
        <v>855</v>
      </c>
      <c r="AM145" s="298">
        <f t="shared" si="86"/>
        <v>121.5</v>
      </c>
      <c r="AN145" s="296">
        <v>0.75</v>
      </c>
      <c r="AO145" s="305">
        <f t="shared" si="72"/>
        <v>1.0623229461756376</v>
      </c>
      <c r="AP145" s="299">
        <v>84.3</v>
      </c>
      <c r="AQ145" s="300">
        <f t="shared" si="73"/>
        <v>0.52037037037037037</v>
      </c>
      <c r="AR145" s="300">
        <f t="shared" si="74"/>
        <v>0.73706851327247924</v>
      </c>
      <c r="AS145" s="361"/>
    </row>
    <row r="146" spans="1:45" x14ac:dyDescent="0.25">
      <c r="A146" s="2">
        <v>138</v>
      </c>
      <c r="B146" s="2" t="s">
        <v>571</v>
      </c>
      <c r="C146" s="2" t="s">
        <v>572</v>
      </c>
      <c r="D146" s="2" t="s">
        <v>615</v>
      </c>
      <c r="E146" s="2" t="s">
        <v>490</v>
      </c>
      <c r="F146" s="2">
        <f t="shared" ref="F146:F151" si="92">60*$M$3</f>
        <v>1524</v>
      </c>
      <c r="G146" s="2">
        <f t="shared" si="89"/>
        <v>1524</v>
      </c>
      <c r="H146" s="294">
        <f t="shared" ref="H146:H151" si="93">104*$M$3</f>
        <v>2641.6</v>
      </c>
      <c r="I146" s="58">
        <f t="shared" si="77"/>
        <v>4025798.4</v>
      </c>
      <c r="J146" s="294">
        <f t="shared" ref="J146:J151" si="94">8*$M$3-10</f>
        <v>193.2</v>
      </c>
      <c r="K146" s="2">
        <v>2634</v>
      </c>
      <c r="L146" s="59">
        <f t="shared" si="90"/>
        <v>0.57692307692307698</v>
      </c>
      <c r="M146" s="59">
        <f t="shared" si="91"/>
        <v>0.57692307692307698</v>
      </c>
      <c r="N146" s="338">
        <v>229677</v>
      </c>
      <c r="O146" s="58">
        <f t="shared" si="80"/>
        <v>510357.11999999994</v>
      </c>
      <c r="P146" s="337">
        <f t="shared" si="87"/>
        <v>0.45003193058225588</v>
      </c>
      <c r="R146" s="2">
        <v>17.440000000000001</v>
      </c>
      <c r="S146" s="287">
        <f t="shared" si="65"/>
        <v>38.75280577854987</v>
      </c>
      <c r="T146" s="2">
        <v>35.85</v>
      </c>
      <c r="U146" s="2">
        <v>2</v>
      </c>
      <c r="V146" s="2">
        <v>5</v>
      </c>
      <c r="Y146" s="294">
        <f>6*0.44*M3^2</f>
        <v>1703.2224000000001</v>
      </c>
      <c r="Z146" s="58">
        <f t="shared" si="81"/>
        <v>3.3469441654050947E-3</v>
      </c>
      <c r="AA146" s="2">
        <v>427</v>
      </c>
      <c r="AB146" s="58">
        <f t="shared" ref="AB146:AB152" si="95">AA146/M146/J146</f>
        <v>3.830917874396135</v>
      </c>
      <c r="AC146" s="294">
        <f>0.44*$M$3^2</f>
        <v>283.87039999999996</v>
      </c>
      <c r="AD146" s="2">
        <v>1219</v>
      </c>
      <c r="AE146" s="294">
        <f t="shared" ref="AE146:AE151" si="96">AK146*2</f>
        <v>399.99919999999997</v>
      </c>
      <c r="AF146" s="2">
        <v>0</v>
      </c>
      <c r="AG146" s="338">
        <f t="shared" si="70"/>
        <v>399.99919999999997</v>
      </c>
      <c r="AH146" s="340">
        <f t="shared" si="85"/>
        <v>8.4921625674915966E-4</v>
      </c>
      <c r="AI146" s="2">
        <v>452</v>
      </c>
      <c r="AJ146" s="58">
        <f t="shared" si="58"/>
        <v>0.38384574805062016</v>
      </c>
      <c r="AK146" s="294">
        <f>0.31*$M$3^2</f>
        <v>199.99959999999999</v>
      </c>
      <c r="AL146" s="2">
        <v>1219</v>
      </c>
      <c r="AM146" s="2">
        <v>48.927999999999997</v>
      </c>
      <c r="AN146" s="59">
        <f t="shared" ref="AN146:AN151" si="97">AM146/O146*1000</f>
        <v>9.5870123258004133E-2</v>
      </c>
      <c r="AO146" s="59">
        <f t="shared" si="72"/>
        <v>0.21302960244168984</v>
      </c>
      <c r="AP146" s="272">
        <v>238</v>
      </c>
      <c r="AQ146" s="59">
        <f t="shared" si="73"/>
        <v>0.46634011885638044</v>
      </c>
      <c r="AR146" s="59">
        <f t="shared" si="74"/>
        <v>1.0362378470634848</v>
      </c>
    </row>
    <row r="147" spans="1:45" x14ac:dyDescent="0.25">
      <c r="A147" s="2">
        <v>139</v>
      </c>
      <c r="B147" s="2" t="s">
        <v>571</v>
      </c>
      <c r="C147" s="2" t="s">
        <v>573</v>
      </c>
      <c r="D147" s="2" t="s">
        <v>615</v>
      </c>
      <c r="E147" s="2" t="s">
        <v>490</v>
      </c>
      <c r="F147" s="2">
        <f t="shared" si="92"/>
        <v>1524</v>
      </c>
      <c r="G147" s="2">
        <f t="shared" si="89"/>
        <v>1524</v>
      </c>
      <c r="H147" s="294">
        <f t="shared" si="93"/>
        <v>2641.6</v>
      </c>
      <c r="I147" s="58">
        <f t="shared" si="77"/>
        <v>4025798.4</v>
      </c>
      <c r="J147" s="294">
        <f t="shared" si="94"/>
        <v>193.2</v>
      </c>
      <c r="K147" s="2">
        <v>2634</v>
      </c>
      <c r="L147" s="59">
        <f t="shared" si="90"/>
        <v>0.57692307692307698</v>
      </c>
      <c r="M147" s="59">
        <f t="shared" si="91"/>
        <v>0.57692307692307698</v>
      </c>
      <c r="N147" s="338">
        <v>229677</v>
      </c>
      <c r="O147" s="58">
        <f t="shared" si="80"/>
        <v>510357.11999999994</v>
      </c>
      <c r="P147" s="337">
        <f t="shared" si="87"/>
        <v>0.45003193058225588</v>
      </c>
      <c r="R147" s="2">
        <v>17.440000000000001</v>
      </c>
      <c r="S147" s="287">
        <f t="shared" si="65"/>
        <v>38.75280577854987</v>
      </c>
      <c r="T147" s="2">
        <v>35.85</v>
      </c>
      <c r="U147" s="2">
        <v>2</v>
      </c>
      <c r="V147" s="2">
        <v>5</v>
      </c>
      <c r="Y147" s="294">
        <f>6*0.44*$M$3^2</f>
        <v>1703.2224000000001</v>
      </c>
      <c r="Z147" s="58">
        <f t="shared" si="81"/>
        <v>3.3469441654050947E-3</v>
      </c>
      <c r="AA147" s="2">
        <v>427</v>
      </c>
      <c r="AB147" s="58">
        <f t="shared" si="95"/>
        <v>3.830917874396135</v>
      </c>
      <c r="AC147" s="294">
        <f>0.44*$M$3^2</f>
        <v>283.87039999999996</v>
      </c>
      <c r="AD147" s="2">
        <v>1219</v>
      </c>
      <c r="AE147" s="294">
        <f t="shared" si="96"/>
        <v>567.74079999999992</v>
      </c>
      <c r="AF147" s="2">
        <v>0</v>
      </c>
      <c r="AG147" s="338">
        <f t="shared" si="70"/>
        <v>567.74079999999992</v>
      </c>
      <c r="AH147" s="340">
        <f t="shared" si="85"/>
        <v>1.2053392031278396E-3</v>
      </c>
      <c r="AI147" s="2">
        <v>427</v>
      </c>
      <c r="AJ147" s="58">
        <f t="shared" si="58"/>
        <v>0.51467983973558751</v>
      </c>
      <c r="AK147" s="294">
        <f>0.44*$M$3^2</f>
        <v>283.87039999999996</v>
      </c>
      <c r="AL147" s="2">
        <v>1219</v>
      </c>
      <c r="AM147" s="2">
        <v>48.927999999999997</v>
      </c>
      <c r="AN147" s="59">
        <f t="shared" si="97"/>
        <v>9.5870123258004133E-2</v>
      </c>
      <c r="AO147" s="59">
        <f t="shared" si="72"/>
        <v>0.21302960244168984</v>
      </c>
      <c r="AP147" s="272">
        <v>252</v>
      </c>
      <c r="AQ147" s="59">
        <f t="shared" si="73"/>
        <v>0.49377189055381465</v>
      </c>
      <c r="AR147" s="59">
        <f t="shared" si="74"/>
        <v>1.0971930145378073</v>
      </c>
    </row>
    <row r="148" spans="1:45" x14ac:dyDescent="0.25">
      <c r="A148" s="2">
        <v>140</v>
      </c>
      <c r="B148" s="2" t="s">
        <v>571</v>
      </c>
      <c r="C148" s="2" t="s">
        <v>574</v>
      </c>
      <c r="D148" s="2" t="s">
        <v>615</v>
      </c>
      <c r="E148" s="2" t="s">
        <v>490</v>
      </c>
      <c r="F148" s="2">
        <f t="shared" si="92"/>
        <v>1524</v>
      </c>
      <c r="G148" s="2">
        <f t="shared" si="89"/>
        <v>1524</v>
      </c>
      <c r="H148" s="294">
        <f t="shared" si="93"/>
        <v>2641.6</v>
      </c>
      <c r="I148" s="58">
        <f t="shared" si="77"/>
        <v>4025798.4</v>
      </c>
      <c r="J148" s="294">
        <f t="shared" si="94"/>
        <v>193.2</v>
      </c>
      <c r="K148" s="2">
        <v>2634</v>
      </c>
      <c r="L148" s="59">
        <f t="shared" si="90"/>
        <v>0.57692307692307698</v>
      </c>
      <c r="M148" s="59">
        <f t="shared" si="91"/>
        <v>0.57692307692307698</v>
      </c>
      <c r="N148" s="338">
        <v>229677</v>
      </c>
      <c r="O148" s="58">
        <f t="shared" si="80"/>
        <v>510357.11999999994</v>
      </c>
      <c r="P148" s="337">
        <f t="shared" si="87"/>
        <v>0.45003193058225588</v>
      </c>
      <c r="R148" s="2">
        <v>17.440000000000001</v>
      </c>
      <c r="S148" s="287">
        <f t="shared" si="65"/>
        <v>38.75280577854987</v>
      </c>
      <c r="T148" s="2">
        <v>35.85</v>
      </c>
      <c r="U148" s="2">
        <v>2</v>
      </c>
      <c r="V148" s="2">
        <v>5</v>
      </c>
      <c r="Y148" s="294">
        <f>6*0.44*$M$3^2</f>
        <v>1703.2224000000001</v>
      </c>
      <c r="Z148" s="58">
        <f t="shared" si="81"/>
        <v>3.3469441654050947E-3</v>
      </c>
      <c r="AA148" s="2">
        <v>427</v>
      </c>
      <c r="AB148" s="58">
        <f t="shared" si="95"/>
        <v>3.830917874396135</v>
      </c>
      <c r="AC148" s="294">
        <f>0.44*$M$3^2</f>
        <v>283.87039999999996</v>
      </c>
      <c r="AD148" s="2">
        <v>1219</v>
      </c>
      <c r="AE148" s="294">
        <f t="shared" si="96"/>
        <v>799.99839999999995</v>
      </c>
      <c r="AF148" s="2">
        <v>0</v>
      </c>
      <c r="AG148" s="338">
        <f t="shared" si="70"/>
        <v>799.99839999999995</v>
      </c>
      <c r="AH148" s="340">
        <f t="shared" si="85"/>
        <v>1.6984325134983193E-3</v>
      </c>
      <c r="AI148" s="2">
        <v>452</v>
      </c>
      <c r="AJ148" s="58">
        <f t="shared" si="58"/>
        <v>0.76769149610124032</v>
      </c>
      <c r="AK148" s="294">
        <f>0.31*2*$M$3^2</f>
        <v>399.99919999999997</v>
      </c>
      <c r="AL148" s="2">
        <v>1219</v>
      </c>
      <c r="AM148" s="2">
        <v>48.927999999999997</v>
      </c>
      <c r="AN148" s="59">
        <f t="shared" si="97"/>
        <v>9.5870123258004133E-2</v>
      </c>
      <c r="AO148" s="59">
        <f t="shared" si="72"/>
        <v>0.21302960244168984</v>
      </c>
      <c r="AP148" s="272">
        <v>246</v>
      </c>
      <c r="AQ148" s="59">
        <f t="shared" si="73"/>
        <v>0.48201541696919997</v>
      </c>
      <c r="AR148" s="59">
        <f t="shared" si="74"/>
        <v>1.0710693713345263</v>
      </c>
    </row>
    <row r="149" spans="1:45" x14ac:dyDescent="0.25">
      <c r="A149" s="2">
        <v>141</v>
      </c>
      <c r="B149" s="2" t="s">
        <v>571</v>
      </c>
      <c r="C149" s="2" t="s">
        <v>575</v>
      </c>
      <c r="D149" s="2" t="s">
        <v>615</v>
      </c>
      <c r="E149" s="2" t="s">
        <v>490</v>
      </c>
      <c r="F149" s="2">
        <f t="shared" si="92"/>
        <v>1524</v>
      </c>
      <c r="G149" s="2">
        <f t="shared" si="89"/>
        <v>1524</v>
      </c>
      <c r="H149" s="294">
        <f t="shared" si="93"/>
        <v>2641.6</v>
      </c>
      <c r="I149" s="58">
        <f t="shared" si="77"/>
        <v>4025798.4</v>
      </c>
      <c r="J149" s="294">
        <f t="shared" si="94"/>
        <v>193.2</v>
      </c>
      <c r="K149" s="2">
        <v>2634</v>
      </c>
      <c r="L149" s="59">
        <f t="shared" si="90"/>
        <v>0.57692307692307698</v>
      </c>
      <c r="M149" s="59">
        <f t="shared" si="91"/>
        <v>0.57692307692307698</v>
      </c>
      <c r="N149" s="338">
        <v>229677</v>
      </c>
      <c r="O149" s="58">
        <f t="shared" si="80"/>
        <v>510357.11999999994</v>
      </c>
      <c r="P149" s="337">
        <f t="shared" si="87"/>
        <v>0.45003193058225588</v>
      </c>
      <c r="R149" s="2">
        <v>17.440000000000001</v>
      </c>
      <c r="S149" s="287">
        <f t="shared" si="65"/>
        <v>38.75280577854987</v>
      </c>
      <c r="T149" s="2">
        <v>35.85</v>
      </c>
      <c r="U149" s="2">
        <v>2</v>
      </c>
      <c r="V149" s="2">
        <v>5</v>
      </c>
      <c r="Y149" s="294">
        <f>6*0.44*$M$3^2</f>
        <v>1703.2224000000001</v>
      </c>
      <c r="Z149" s="58">
        <f t="shared" si="81"/>
        <v>3.3469441654050947E-3</v>
      </c>
      <c r="AA149" s="2">
        <v>427</v>
      </c>
      <c r="AB149" s="58">
        <f t="shared" si="95"/>
        <v>3.830917874396135</v>
      </c>
      <c r="AC149" s="294">
        <f>0.44*$M$3^2</f>
        <v>283.87039999999996</v>
      </c>
      <c r="AD149" s="2">
        <v>1219</v>
      </c>
      <c r="AE149" s="294">
        <f t="shared" si="96"/>
        <v>399.99919999999997</v>
      </c>
      <c r="AF149" s="2">
        <v>0</v>
      </c>
      <c r="AG149" s="338">
        <f t="shared" si="70"/>
        <v>399.99919999999997</v>
      </c>
      <c r="AH149" s="340">
        <f t="shared" si="85"/>
        <v>8.4921625674915966E-4</v>
      </c>
      <c r="AI149" s="2">
        <v>452</v>
      </c>
      <c r="AJ149" s="58">
        <f t="shared" si="58"/>
        <v>0.38384574805062016</v>
      </c>
      <c r="AK149" s="294">
        <f>0.31*$M$3^2</f>
        <v>199.99959999999999</v>
      </c>
      <c r="AL149" s="2">
        <v>1219</v>
      </c>
      <c r="AM149" s="2">
        <v>48.927999999999997</v>
      </c>
      <c r="AN149" s="59">
        <f t="shared" si="97"/>
        <v>9.5870123258004133E-2</v>
      </c>
      <c r="AO149" s="59">
        <f t="shared" si="72"/>
        <v>0.21302960244168984</v>
      </c>
      <c r="AP149" s="272">
        <v>286</v>
      </c>
      <c r="AQ149" s="59">
        <f t="shared" si="73"/>
        <v>0.5603919075332976</v>
      </c>
      <c r="AR149" s="59">
        <f t="shared" si="74"/>
        <v>1.2452269926897339</v>
      </c>
    </row>
    <row r="150" spans="1:45" x14ac:dyDescent="0.25">
      <c r="A150" s="2">
        <v>142</v>
      </c>
      <c r="B150" s="2" t="s">
        <v>571</v>
      </c>
      <c r="C150" s="2" t="s">
        <v>576</v>
      </c>
      <c r="D150" s="2" t="s">
        <v>615</v>
      </c>
      <c r="E150" s="2" t="s">
        <v>490</v>
      </c>
      <c r="F150" s="2">
        <f t="shared" si="92"/>
        <v>1524</v>
      </c>
      <c r="G150" s="2">
        <f t="shared" si="89"/>
        <v>1524</v>
      </c>
      <c r="H150" s="294">
        <f t="shared" si="93"/>
        <v>2641.6</v>
      </c>
      <c r="I150" s="58">
        <f t="shared" si="77"/>
        <v>4025798.4</v>
      </c>
      <c r="J150" s="294">
        <f t="shared" si="94"/>
        <v>193.2</v>
      </c>
      <c r="K150" s="2">
        <v>2634</v>
      </c>
      <c r="L150" s="59">
        <f t="shared" si="90"/>
        <v>0.57692307692307698</v>
      </c>
      <c r="M150" s="59">
        <f t="shared" si="91"/>
        <v>0.57692307692307698</v>
      </c>
      <c r="N150" s="338">
        <v>250322</v>
      </c>
      <c r="O150" s="58">
        <f t="shared" si="80"/>
        <v>510357.11999999994</v>
      </c>
      <c r="P150" s="337">
        <f t="shared" si="87"/>
        <v>0.49048399677465071</v>
      </c>
      <c r="R150" s="2">
        <v>17.440000000000001</v>
      </c>
      <c r="S150" s="287">
        <f t="shared" si="65"/>
        <v>35.556715641453806</v>
      </c>
      <c r="T150" s="2">
        <v>35.85</v>
      </c>
      <c r="U150" s="2">
        <v>2</v>
      </c>
      <c r="V150" s="2">
        <v>5</v>
      </c>
      <c r="Y150" s="294">
        <f>6*0.44*$M$3^2</f>
        <v>1703.2224000000001</v>
      </c>
      <c r="Z150" s="58">
        <f t="shared" si="81"/>
        <v>3.3469441654050947E-3</v>
      </c>
      <c r="AA150" s="2">
        <v>427</v>
      </c>
      <c r="AB150" s="58">
        <f t="shared" si="95"/>
        <v>3.830917874396135</v>
      </c>
      <c r="AC150" s="2" t="s">
        <v>578</v>
      </c>
      <c r="AD150" s="2">
        <v>610</v>
      </c>
      <c r="AE150" s="294">
        <f t="shared" si="96"/>
        <v>399.99919999999997</v>
      </c>
      <c r="AF150" s="2">
        <v>0</v>
      </c>
      <c r="AG150" s="378">
        <f t="shared" si="70"/>
        <v>399.99919999999997</v>
      </c>
      <c r="AH150" s="340">
        <f t="shared" si="85"/>
        <v>1.6970403557003699E-3</v>
      </c>
      <c r="AI150" s="2">
        <v>452</v>
      </c>
      <c r="AJ150" s="58">
        <f t="shared" si="58"/>
        <v>0.76706224077656715</v>
      </c>
      <c r="AK150" s="294">
        <f>0.31*$M$3^2</f>
        <v>199.99959999999999</v>
      </c>
      <c r="AL150" s="2">
        <v>610</v>
      </c>
      <c r="AM150" s="2">
        <v>48.927999999999997</v>
      </c>
      <c r="AN150" s="59">
        <f t="shared" si="97"/>
        <v>9.5870123258004133E-2</v>
      </c>
      <c r="AO150" s="59">
        <f t="shared" si="72"/>
        <v>0.19546024720160432</v>
      </c>
      <c r="AP150" s="272">
        <v>344</v>
      </c>
      <c r="AQ150" s="59">
        <f t="shared" si="73"/>
        <v>0.67403781885123903</v>
      </c>
      <c r="AR150" s="59">
        <f t="shared" si="74"/>
        <v>1.3742299917705996</v>
      </c>
    </row>
    <row r="151" spans="1:45" s="296" customFormat="1" x14ac:dyDescent="0.25">
      <c r="A151" s="296">
        <v>143</v>
      </c>
      <c r="B151" s="296" t="s">
        <v>571</v>
      </c>
      <c r="C151" s="296" t="s">
        <v>577</v>
      </c>
      <c r="D151" s="296" t="s">
        <v>615</v>
      </c>
      <c r="E151" s="296" t="s">
        <v>490</v>
      </c>
      <c r="F151" s="296">
        <f t="shared" si="92"/>
        <v>1524</v>
      </c>
      <c r="G151" s="296">
        <f t="shared" si="89"/>
        <v>1524</v>
      </c>
      <c r="H151" s="301">
        <f t="shared" si="93"/>
        <v>2641.6</v>
      </c>
      <c r="I151" s="298">
        <f t="shared" si="77"/>
        <v>4025798.4</v>
      </c>
      <c r="J151" s="301">
        <f t="shared" si="94"/>
        <v>193.2</v>
      </c>
      <c r="K151" s="296">
        <v>2634</v>
      </c>
      <c r="L151" s="300">
        <f t="shared" si="90"/>
        <v>0.57692307692307698</v>
      </c>
      <c r="M151" s="300">
        <f t="shared" si="91"/>
        <v>0.57692307692307698</v>
      </c>
      <c r="N151" s="339">
        <v>271612</v>
      </c>
      <c r="O151" s="298">
        <f t="shared" si="80"/>
        <v>510357.11999999994</v>
      </c>
      <c r="P151" s="300">
        <f t="shared" si="87"/>
        <v>0.5321998838773917</v>
      </c>
      <c r="R151" s="296">
        <v>17.440000000000001</v>
      </c>
      <c r="S151" s="302">
        <f t="shared" si="65"/>
        <v>32.769642625509917</v>
      </c>
      <c r="T151" s="296">
        <v>35.85</v>
      </c>
      <c r="U151" s="296">
        <v>2</v>
      </c>
      <c r="V151" s="296">
        <v>5</v>
      </c>
      <c r="W151" s="391"/>
      <c r="X151" s="391"/>
      <c r="Y151" s="301">
        <f>(2+2)*0.44*M3^2+(1+1+1)*0.31*M3^2</f>
        <v>1735.4803999999999</v>
      </c>
      <c r="Z151" s="298">
        <f t="shared" si="81"/>
        <v>3.4103332594468579E-3</v>
      </c>
      <c r="AA151" s="301">
        <f>(452*(2+2)*0.44*M3^2+427*(1+1+1)*0.31*M3^2)/Y151</f>
        <v>443.35687732342006</v>
      </c>
      <c r="AB151" s="298">
        <f t="shared" si="95"/>
        <v>3.9776669463108769</v>
      </c>
      <c r="AC151" s="301">
        <f>0.44*$M$3^2</f>
        <v>283.87039999999996</v>
      </c>
      <c r="AD151" s="296">
        <v>610</v>
      </c>
      <c r="AE151" s="301">
        <f t="shared" si="96"/>
        <v>399.99919999999997</v>
      </c>
      <c r="AF151" s="296">
        <v>0</v>
      </c>
      <c r="AG151" s="339">
        <f t="shared" si="70"/>
        <v>399.99919999999997</v>
      </c>
      <c r="AH151" s="341">
        <f t="shared" si="85"/>
        <v>8.4921625674915966E-4</v>
      </c>
      <c r="AI151" s="296">
        <v>452</v>
      </c>
      <c r="AJ151" s="298">
        <f t="shared" si="58"/>
        <v>0.38384574805062016</v>
      </c>
      <c r="AK151" s="301">
        <f>0.31*$M$3^2</f>
        <v>199.99959999999999</v>
      </c>
      <c r="AL151" s="296">
        <v>1219</v>
      </c>
      <c r="AM151" s="296">
        <v>48.927999999999997</v>
      </c>
      <c r="AN151" s="300">
        <f t="shared" si="97"/>
        <v>9.5870123258004133E-2</v>
      </c>
      <c r="AO151" s="300">
        <f t="shared" si="72"/>
        <v>0.18013931637777417</v>
      </c>
      <c r="AP151" s="299">
        <v>400</v>
      </c>
      <c r="AQ151" s="300">
        <f t="shared" si="73"/>
        <v>0.78376490564097556</v>
      </c>
      <c r="AR151" s="300">
        <f t="shared" ref="AR151:AR182" si="98">AP151/N151*1000</f>
        <v>1.4726889828137195</v>
      </c>
      <c r="AS151" s="361"/>
    </row>
    <row r="152" spans="1:45" x14ac:dyDescent="0.25">
      <c r="A152" s="2">
        <v>144</v>
      </c>
      <c r="B152" s="2" t="s">
        <v>64</v>
      </c>
      <c r="C152" s="2" t="s">
        <v>579</v>
      </c>
      <c r="D152" s="2" t="s">
        <v>615</v>
      </c>
      <c r="E152" s="2" t="s">
        <v>489</v>
      </c>
      <c r="F152" s="2">
        <v>2640</v>
      </c>
      <c r="G152" s="2">
        <f t="shared" si="89"/>
        <v>5280</v>
      </c>
      <c r="H152" s="2">
        <v>2850</v>
      </c>
      <c r="I152" s="58">
        <f t="shared" si="77"/>
        <v>7524000</v>
      </c>
      <c r="J152" s="2">
        <v>193</v>
      </c>
      <c r="K152" s="287">
        <f t="shared" ref="K152:K191" si="99">0.8*H152</f>
        <v>2280</v>
      </c>
      <c r="L152" s="59">
        <f t="shared" si="90"/>
        <v>0.9263157894736842</v>
      </c>
      <c r="M152" s="59">
        <f t="shared" si="91"/>
        <v>1.8526315789473684</v>
      </c>
      <c r="N152" s="294">
        <f>520.5*$M$3^2</f>
        <v>335805.77999999997</v>
      </c>
      <c r="O152" s="58">
        <f t="shared" si="80"/>
        <v>550050</v>
      </c>
      <c r="P152" s="337">
        <f t="shared" si="87"/>
        <v>0.61050046359421861</v>
      </c>
      <c r="R152" s="271">
        <f>2720*$I$3</f>
        <v>18.753747199999999</v>
      </c>
      <c r="S152" s="287">
        <f t="shared" si="65"/>
        <v>30.718645305509636</v>
      </c>
      <c r="T152" s="57">
        <f>(18.3+38.9)/2</f>
        <v>28.6</v>
      </c>
      <c r="U152" s="379"/>
      <c r="V152" s="379"/>
      <c r="W152" s="398"/>
      <c r="X152" s="398"/>
      <c r="Y152" s="2">
        <f>2*2*284+2*129</f>
        <v>1394</v>
      </c>
      <c r="Z152" s="58">
        <f t="shared" si="81"/>
        <v>3.1678938278338334E-3</v>
      </c>
      <c r="AA152" s="293">
        <v>461</v>
      </c>
      <c r="AB152" s="58">
        <f t="shared" si="95"/>
        <v>1.2893016957136127</v>
      </c>
      <c r="AC152" s="2" t="s">
        <v>587</v>
      </c>
      <c r="AD152" s="2">
        <v>1220</v>
      </c>
      <c r="AE152" s="2">
        <f>2*129</f>
        <v>258</v>
      </c>
      <c r="AF152" s="2">
        <v>0</v>
      </c>
      <c r="AG152" s="338">
        <f t="shared" si="70"/>
        <v>258</v>
      </c>
      <c r="AH152" s="293">
        <f>0.11/100</f>
        <v>1.1000000000000001E-3</v>
      </c>
      <c r="AI152" s="293">
        <v>445</v>
      </c>
      <c r="AJ152" s="58">
        <f t="shared" si="58"/>
        <v>0.48950000000000005</v>
      </c>
      <c r="AK152" s="2">
        <f>2*129</f>
        <v>258</v>
      </c>
      <c r="AL152" s="2">
        <f>F152/2</f>
        <v>1320</v>
      </c>
      <c r="AM152" s="293">
        <v>0</v>
      </c>
      <c r="AN152" s="2">
        <v>0</v>
      </c>
      <c r="AO152" s="2">
        <v>0</v>
      </c>
      <c r="AP152" s="280">
        <f t="shared" ref="AP152:AP159" si="100">AQ152*O152/1000</f>
        <v>177.48725613839997</v>
      </c>
      <c r="AQ152" s="271">
        <f>46.8*$I$3</f>
        <v>0.32267476799999995</v>
      </c>
      <c r="AR152" s="59">
        <f t="shared" si="98"/>
        <v>0.52854139716832738</v>
      </c>
    </row>
    <row r="153" spans="1:45" x14ac:dyDescent="0.25">
      <c r="A153" s="2">
        <v>145</v>
      </c>
      <c r="B153" s="2" t="s">
        <v>64</v>
      </c>
      <c r="C153" s="2" t="s">
        <v>580</v>
      </c>
      <c r="D153" s="2" t="s">
        <v>615</v>
      </c>
      <c r="E153" s="2" t="s">
        <v>489</v>
      </c>
      <c r="F153" s="2">
        <v>2640</v>
      </c>
      <c r="G153" s="2">
        <f t="shared" si="89"/>
        <v>5280</v>
      </c>
      <c r="H153" s="2">
        <v>2850</v>
      </c>
      <c r="I153" s="58">
        <f t="shared" si="77"/>
        <v>7524000</v>
      </c>
      <c r="J153" s="2">
        <v>193</v>
      </c>
      <c r="K153" s="287">
        <f t="shared" si="99"/>
        <v>2280</v>
      </c>
      <c r="L153" s="59">
        <f t="shared" si="90"/>
        <v>0.9263157894736842</v>
      </c>
      <c r="M153" s="59">
        <f t="shared" si="91"/>
        <v>1.8526315789473684</v>
      </c>
      <c r="N153" s="294">
        <f>520.5*$M$3^2</f>
        <v>335805.77999999997</v>
      </c>
      <c r="O153" s="58">
        <f t="shared" si="80"/>
        <v>550050</v>
      </c>
      <c r="P153" s="337">
        <f t="shared" si="87"/>
        <v>0.61050046359421861</v>
      </c>
      <c r="R153" s="271">
        <f>2720*$I$3</f>
        <v>18.753747199999999</v>
      </c>
      <c r="S153" s="287">
        <f t="shared" si="65"/>
        <v>30.718645305509636</v>
      </c>
      <c r="T153" s="57">
        <f t="shared" ref="T153:T159" si="101">(18.3+38.9)/2</f>
        <v>28.6</v>
      </c>
      <c r="U153" s="379"/>
      <c r="V153" s="379"/>
      <c r="W153" s="398"/>
      <c r="X153" s="398"/>
      <c r="Y153" s="2">
        <f>2*2*284+2*129</f>
        <v>1394</v>
      </c>
      <c r="Z153" s="58">
        <f t="shared" si="81"/>
        <v>3.1678938278338334E-3</v>
      </c>
      <c r="AA153" s="293">
        <v>461</v>
      </c>
      <c r="AB153" s="58">
        <f t="shared" ref="AB153:AB159" si="102">AA153/M153/J153</f>
        <v>1.2893016957136127</v>
      </c>
      <c r="AC153" s="2" t="s">
        <v>587</v>
      </c>
      <c r="AD153" s="2">
        <v>1220</v>
      </c>
      <c r="AE153" s="2">
        <v>0</v>
      </c>
      <c r="AF153" s="294">
        <f>13*AK153</f>
        <v>470.48491580160743</v>
      </c>
      <c r="AG153" s="338">
        <f t="shared" si="70"/>
        <v>470.48491580160743</v>
      </c>
      <c r="AH153" s="293">
        <f>0.09/100</f>
        <v>8.9999999999999998E-4</v>
      </c>
      <c r="AI153" s="293">
        <v>606.4</v>
      </c>
      <c r="AJ153" s="58">
        <f t="shared" si="58"/>
        <v>0.54575999999999991</v>
      </c>
      <c r="AK153" s="272">
        <f>2*PI()*4.8^2/4</f>
        <v>36.191147369354418</v>
      </c>
      <c r="AL153" s="2">
        <f>8*$M$3</f>
        <v>203.2</v>
      </c>
      <c r="AM153" s="293">
        <v>0</v>
      </c>
      <c r="AN153" s="2">
        <v>0</v>
      </c>
      <c r="AO153" s="2">
        <v>0</v>
      </c>
      <c r="AP153" s="280">
        <f t="shared" si="100"/>
        <v>171.4193157576</v>
      </c>
      <c r="AQ153" s="271">
        <f>45.2*$I$3</f>
        <v>0.31164315200000003</v>
      </c>
      <c r="AR153" s="59">
        <f t="shared" si="98"/>
        <v>0.51047160581214546</v>
      </c>
    </row>
    <row r="154" spans="1:45" x14ac:dyDescent="0.25">
      <c r="A154" s="2">
        <v>146</v>
      </c>
      <c r="B154" s="2" t="s">
        <v>64</v>
      </c>
      <c r="C154" s="2" t="s">
        <v>581</v>
      </c>
      <c r="D154" s="2" t="s">
        <v>615</v>
      </c>
      <c r="E154" s="2" t="s">
        <v>489</v>
      </c>
      <c r="F154" s="2">
        <v>2640</v>
      </c>
      <c r="G154" s="2">
        <f t="shared" si="89"/>
        <v>5280</v>
      </c>
      <c r="H154" s="2">
        <v>2850</v>
      </c>
      <c r="I154" s="58">
        <f t="shared" si="77"/>
        <v>7524000</v>
      </c>
      <c r="J154" s="2">
        <v>193</v>
      </c>
      <c r="K154" s="287">
        <f t="shared" si="99"/>
        <v>2280</v>
      </c>
      <c r="L154" s="59">
        <f t="shared" si="90"/>
        <v>0.9263157894736842</v>
      </c>
      <c r="M154" s="59">
        <f t="shared" si="91"/>
        <v>1.8526315789473684</v>
      </c>
      <c r="N154" s="294">
        <f>587.2*$M$3^2</f>
        <v>378837.95199999999</v>
      </c>
      <c r="O154" s="58">
        <f t="shared" si="80"/>
        <v>550050</v>
      </c>
      <c r="P154" s="337">
        <f t="shared" si="87"/>
        <v>0.68873366421234428</v>
      </c>
      <c r="R154" s="271">
        <f>2850*$I$3</f>
        <v>19.650065999999999</v>
      </c>
      <c r="S154" s="287">
        <f t="shared" si="65"/>
        <v>28.530718071509373</v>
      </c>
      <c r="T154" s="57">
        <f t="shared" si="101"/>
        <v>28.6</v>
      </c>
      <c r="U154" s="379"/>
      <c r="V154" s="379"/>
      <c r="W154" s="398"/>
      <c r="X154" s="398"/>
      <c r="Y154" s="2">
        <f>2*284+8*129</f>
        <v>1600</v>
      </c>
      <c r="Z154" s="58">
        <f t="shared" si="81"/>
        <v>3.6360330879010995E-3</v>
      </c>
      <c r="AA154" s="293">
        <v>461</v>
      </c>
      <c r="AB154" s="58">
        <f t="shared" si="102"/>
        <v>1.2893016957136127</v>
      </c>
      <c r="AC154" s="2" t="s">
        <v>587</v>
      </c>
      <c r="AD154" s="2">
        <v>1220</v>
      </c>
      <c r="AE154" s="2">
        <v>0</v>
      </c>
      <c r="AF154" s="294">
        <f>13*AK154</f>
        <v>940.96983160321486</v>
      </c>
      <c r="AG154" s="338">
        <f t="shared" si="70"/>
        <v>940.96983160321486</v>
      </c>
      <c r="AH154" s="293">
        <f>0.18/100</f>
        <v>1.8E-3</v>
      </c>
      <c r="AI154" s="293">
        <v>606.4</v>
      </c>
      <c r="AJ154" s="58">
        <f t="shared" si="58"/>
        <v>1.0915199999999998</v>
      </c>
      <c r="AK154" s="272">
        <f>2*2*PI()*4.8^2/4</f>
        <v>72.382294738708836</v>
      </c>
      <c r="AL154" s="2">
        <f>8*$M$3</f>
        <v>203.2</v>
      </c>
      <c r="AM154" s="293">
        <v>0</v>
      </c>
      <c r="AN154" s="2">
        <v>0</v>
      </c>
      <c r="AO154" s="2">
        <v>0</v>
      </c>
      <c r="AP154" s="280">
        <f t="shared" si="100"/>
        <v>277.60827242160002</v>
      </c>
      <c r="AQ154" s="271">
        <f>73.2*$I$3</f>
        <v>0.50469643200000003</v>
      </c>
      <c r="AR154" s="59">
        <f t="shared" si="98"/>
        <v>0.73278896941560911</v>
      </c>
    </row>
    <row r="155" spans="1:45" x14ac:dyDescent="0.25">
      <c r="A155" s="2">
        <v>147</v>
      </c>
      <c r="B155" s="2" t="s">
        <v>64</v>
      </c>
      <c r="C155" s="2" t="s">
        <v>582</v>
      </c>
      <c r="D155" s="2" t="s">
        <v>615</v>
      </c>
      <c r="E155" s="2" t="s">
        <v>489</v>
      </c>
      <c r="F155" s="2">
        <v>2640</v>
      </c>
      <c r="G155" s="2">
        <f t="shared" si="89"/>
        <v>5280</v>
      </c>
      <c r="H155" s="2">
        <v>2850</v>
      </c>
      <c r="I155" s="58">
        <f t="shared" si="77"/>
        <v>7524000</v>
      </c>
      <c r="J155" s="2">
        <v>193</v>
      </c>
      <c r="K155" s="287">
        <f t="shared" si="99"/>
        <v>2280</v>
      </c>
      <c r="L155" s="59">
        <f t="shared" si="90"/>
        <v>0.9263157894736842</v>
      </c>
      <c r="M155" s="59">
        <f t="shared" si="91"/>
        <v>1.8526315789473684</v>
      </c>
      <c r="N155" s="294">
        <f>587.2*$M$3^2</f>
        <v>378837.95199999999</v>
      </c>
      <c r="O155" s="58">
        <f t="shared" si="80"/>
        <v>550050</v>
      </c>
      <c r="P155" s="337">
        <f t="shared" si="87"/>
        <v>0.68873366421234428</v>
      </c>
      <c r="R155" s="271">
        <f>3530*$I$3</f>
        <v>24.338502800000001</v>
      </c>
      <c r="S155" s="287">
        <f t="shared" si="65"/>
        <v>35.338047295588808</v>
      </c>
      <c r="T155" s="57">
        <f t="shared" si="101"/>
        <v>28.6</v>
      </c>
      <c r="U155" s="379"/>
      <c r="V155" s="379"/>
      <c r="W155" s="398"/>
      <c r="X155" s="398"/>
      <c r="Y155" s="2">
        <f>2*284+8*129</f>
        <v>1600</v>
      </c>
      <c r="Z155" s="58">
        <f t="shared" si="81"/>
        <v>3.6360330879010995E-3</v>
      </c>
      <c r="AA155" s="293">
        <v>461</v>
      </c>
      <c r="AB155" s="58">
        <f t="shared" si="102"/>
        <v>1.2893016957136127</v>
      </c>
      <c r="AC155" s="2" t="s">
        <v>587</v>
      </c>
      <c r="AD155" s="2">
        <v>1220</v>
      </c>
      <c r="AE155" s="2">
        <f>2*129</f>
        <v>258</v>
      </c>
      <c r="AF155" s="2">
        <v>0</v>
      </c>
      <c r="AG155" s="338">
        <f t="shared" si="70"/>
        <v>258</v>
      </c>
      <c r="AH155" s="293">
        <f>0.11/100</f>
        <v>1.1000000000000001E-3</v>
      </c>
      <c r="AI155" s="293">
        <v>445</v>
      </c>
      <c r="AJ155" s="58">
        <f t="shared" si="58"/>
        <v>0.48950000000000005</v>
      </c>
      <c r="AK155" s="2">
        <f>2*129</f>
        <v>258</v>
      </c>
      <c r="AL155" s="2">
        <f>F155/2</f>
        <v>1320</v>
      </c>
      <c r="AM155" s="293">
        <v>0</v>
      </c>
      <c r="AN155" s="2">
        <v>0</v>
      </c>
      <c r="AO155" s="2">
        <v>0</v>
      </c>
      <c r="AP155" s="280">
        <f t="shared" si="100"/>
        <v>212.37791332800001</v>
      </c>
      <c r="AQ155" s="271">
        <f>56*$I$3</f>
        <v>0.38610655999999999</v>
      </c>
      <c r="AR155" s="59">
        <f t="shared" si="98"/>
        <v>0.56060358315948244</v>
      </c>
    </row>
    <row r="156" spans="1:45" x14ac:dyDescent="0.25">
      <c r="A156" s="2">
        <v>148</v>
      </c>
      <c r="B156" s="2" t="s">
        <v>64</v>
      </c>
      <c r="C156" s="2" t="s">
        <v>583</v>
      </c>
      <c r="D156" s="2" t="s">
        <v>615</v>
      </c>
      <c r="E156" s="2" t="s">
        <v>489</v>
      </c>
      <c r="F156" s="2">
        <v>2640</v>
      </c>
      <c r="G156" s="2">
        <f t="shared" si="89"/>
        <v>5280</v>
      </c>
      <c r="H156" s="2">
        <v>2850</v>
      </c>
      <c r="I156" s="58">
        <f t="shared" si="77"/>
        <v>7524000</v>
      </c>
      <c r="J156" s="2">
        <v>193</v>
      </c>
      <c r="K156" s="287">
        <f t="shared" si="99"/>
        <v>2280</v>
      </c>
      <c r="L156" s="59">
        <f t="shared" si="90"/>
        <v>0.9263157894736842</v>
      </c>
      <c r="M156" s="59">
        <f t="shared" si="91"/>
        <v>1.8526315789473684</v>
      </c>
      <c r="N156" s="294">
        <f>587.2*$M$3^2</f>
        <v>378837.95199999999</v>
      </c>
      <c r="O156" s="58">
        <f t="shared" si="80"/>
        <v>550050</v>
      </c>
      <c r="P156" s="337">
        <f t="shared" si="87"/>
        <v>0.68873366421234428</v>
      </c>
      <c r="R156" s="271">
        <f>2850*$I$3</f>
        <v>19.650065999999999</v>
      </c>
      <c r="S156" s="287">
        <f t="shared" si="65"/>
        <v>28.530718071509373</v>
      </c>
      <c r="T156" s="57">
        <f t="shared" si="101"/>
        <v>28.6</v>
      </c>
      <c r="U156" s="379"/>
      <c r="V156" s="379"/>
      <c r="W156" s="398"/>
      <c r="X156" s="398"/>
      <c r="Y156" s="2">
        <f>2*284+8*129</f>
        <v>1600</v>
      </c>
      <c r="Z156" s="58">
        <f t="shared" si="81"/>
        <v>3.6360330879010995E-3</v>
      </c>
      <c r="AA156" s="293">
        <v>461</v>
      </c>
      <c r="AB156" s="58">
        <f t="shared" si="102"/>
        <v>1.2893016957136127</v>
      </c>
      <c r="AC156" s="2" t="s">
        <v>587</v>
      </c>
      <c r="AD156" s="2">
        <v>1220</v>
      </c>
      <c r="AE156" s="2">
        <v>0</v>
      </c>
      <c r="AF156" s="294">
        <f>13*AK156</f>
        <v>470.48491580160743</v>
      </c>
      <c r="AG156" s="338">
        <f t="shared" si="70"/>
        <v>470.48491580160743</v>
      </c>
      <c r="AH156" s="293">
        <f>0.09/100</f>
        <v>8.9999999999999998E-4</v>
      </c>
      <c r="AI156" s="293">
        <v>606.4</v>
      </c>
      <c r="AJ156" s="58">
        <f t="shared" si="58"/>
        <v>0.54575999999999991</v>
      </c>
      <c r="AK156" s="272">
        <f>2*PI()*4.8^2/4</f>
        <v>36.191147369354418</v>
      </c>
      <c r="AL156" s="2">
        <f>8*$M$3</f>
        <v>203.2</v>
      </c>
      <c r="AM156" s="293">
        <v>0</v>
      </c>
      <c r="AN156" s="2">
        <v>0</v>
      </c>
      <c r="AO156" s="2">
        <v>0</v>
      </c>
      <c r="AP156" s="280">
        <f t="shared" si="100"/>
        <v>226.78927173239998</v>
      </c>
      <c r="AQ156" s="271">
        <f>59.8*$I$3</f>
        <v>0.41230664799999994</v>
      </c>
      <c r="AR156" s="59">
        <f t="shared" si="98"/>
        <v>0.59864454058816152</v>
      </c>
    </row>
    <row r="157" spans="1:45" x14ac:dyDescent="0.25">
      <c r="A157" s="2">
        <v>149</v>
      </c>
      <c r="B157" s="2" t="s">
        <v>64</v>
      </c>
      <c r="C157" s="2" t="s">
        <v>584</v>
      </c>
      <c r="D157" s="2" t="s">
        <v>615</v>
      </c>
      <c r="E157" s="2" t="s">
        <v>489</v>
      </c>
      <c r="F157" s="2">
        <v>2640</v>
      </c>
      <c r="G157" s="2">
        <f t="shared" si="89"/>
        <v>5280</v>
      </c>
      <c r="H157" s="2">
        <v>4270</v>
      </c>
      <c r="I157" s="58">
        <f t="shared" si="77"/>
        <v>11272800</v>
      </c>
      <c r="J157" s="2">
        <v>193</v>
      </c>
      <c r="K157" s="287">
        <f t="shared" si="99"/>
        <v>3416</v>
      </c>
      <c r="L157" s="59">
        <f t="shared" si="90"/>
        <v>0.61826697892271665</v>
      </c>
      <c r="M157" s="59">
        <f t="shared" si="91"/>
        <v>1.2365339578454333</v>
      </c>
      <c r="N157" s="348">
        <f>780.6*$M$3^2</f>
        <v>503611.89600000001</v>
      </c>
      <c r="O157" s="58">
        <f t="shared" si="80"/>
        <v>824110</v>
      </c>
      <c r="P157" s="337">
        <f t="shared" si="87"/>
        <v>0.61109790683282572</v>
      </c>
      <c r="R157" s="271">
        <f>2720*$I$3</f>
        <v>18.753747199999999</v>
      </c>
      <c r="S157" s="287">
        <f t="shared" si="65"/>
        <v>30.688613052524079</v>
      </c>
      <c r="T157" s="57">
        <f t="shared" si="101"/>
        <v>28.6</v>
      </c>
      <c r="U157" s="379"/>
      <c r="V157" s="379"/>
      <c r="W157" s="398"/>
      <c r="X157" s="398"/>
      <c r="Y157" s="2">
        <f>2*2*284+4*129</f>
        <v>1652</v>
      </c>
      <c r="Z157" s="58">
        <f t="shared" si="81"/>
        <v>2.5057334579121722E-3</v>
      </c>
      <c r="AA157" s="293">
        <v>461</v>
      </c>
      <c r="AB157" s="58">
        <f t="shared" si="102"/>
        <v>1.9316906107709215</v>
      </c>
      <c r="AC157" s="2" t="s">
        <v>587</v>
      </c>
      <c r="AD157" s="2">
        <v>1220</v>
      </c>
      <c r="AE157" s="2">
        <f>2*129</f>
        <v>258</v>
      </c>
      <c r="AF157" s="2">
        <v>0</v>
      </c>
      <c r="AG157" s="338">
        <f t="shared" si="70"/>
        <v>258</v>
      </c>
      <c r="AH157" s="293">
        <f>0.11/100</f>
        <v>1.1000000000000001E-3</v>
      </c>
      <c r="AI157" s="293">
        <v>445</v>
      </c>
      <c r="AJ157" s="58">
        <f t="shared" si="58"/>
        <v>0.48950000000000005</v>
      </c>
      <c r="AK157" s="2">
        <f>2*129</f>
        <v>258</v>
      </c>
      <c r="AL157" s="2">
        <f>F157/2</f>
        <v>1320</v>
      </c>
      <c r="AM157" s="293">
        <v>0</v>
      </c>
      <c r="AN157" s="2">
        <v>0</v>
      </c>
      <c r="AO157" s="2">
        <v>0</v>
      </c>
      <c r="AP157" s="280">
        <f t="shared" si="100"/>
        <v>444.90378395987995</v>
      </c>
      <c r="AQ157" s="271">
        <f>78.3*$I$3</f>
        <v>0.53985970799999994</v>
      </c>
      <c r="AR157" s="59">
        <f t="shared" si="98"/>
        <v>0.88342588309288061</v>
      </c>
    </row>
    <row r="158" spans="1:45" x14ac:dyDescent="0.25">
      <c r="A158" s="2">
        <v>150</v>
      </c>
      <c r="B158" s="2" t="s">
        <v>64</v>
      </c>
      <c r="C158" s="2" t="s">
        <v>585</v>
      </c>
      <c r="D158" s="2" t="s">
        <v>615</v>
      </c>
      <c r="E158" s="2" t="s">
        <v>489</v>
      </c>
      <c r="F158" s="2">
        <v>2640</v>
      </c>
      <c r="G158" s="2">
        <f t="shared" si="89"/>
        <v>5280</v>
      </c>
      <c r="H158" s="2">
        <v>4270</v>
      </c>
      <c r="I158" s="58">
        <f t="shared" si="77"/>
        <v>11272800</v>
      </c>
      <c r="J158" s="2">
        <v>193</v>
      </c>
      <c r="K158" s="287">
        <f t="shared" si="99"/>
        <v>3416</v>
      </c>
      <c r="L158" s="59">
        <f t="shared" si="90"/>
        <v>0.61826697892271665</v>
      </c>
      <c r="M158" s="59">
        <f t="shared" si="91"/>
        <v>1.2365339578454333</v>
      </c>
      <c r="N158" s="294">
        <f>847.5*$M$3^2</f>
        <v>546773.1</v>
      </c>
      <c r="O158" s="58">
        <f t="shared" si="80"/>
        <v>824110</v>
      </c>
      <c r="P158" s="337">
        <f t="shared" si="87"/>
        <v>0.66347101721857515</v>
      </c>
      <c r="R158" s="271">
        <f>2860*$I$3</f>
        <v>19.7190136</v>
      </c>
      <c r="S158" s="287">
        <f t="shared" si="65"/>
        <v>29.720987184439032</v>
      </c>
      <c r="T158" s="57">
        <f t="shared" si="101"/>
        <v>28.6</v>
      </c>
      <c r="U158" s="379"/>
      <c r="V158" s="379"/>
      <c r="W158" s="398"/>
      <c r="X158" s="398"/>
      <c r="Y158" s="2">
        <f>2*2*284+7*129</f>
        <v>2039</v>
      </c>
      <c r="Z158" s="58">
        <f t="shared" si="81"/>
        <v>3.0927303393964399E-3</v>
      </c>
      <c r="AA158" s="293">
        <v>461</v>
      </c>
      <c r="AB158" s="58">
        <f t="shared" si="102"/>
        <v>1.9316906107709215</v>
      </c>
      <c r="AC158" s="2" t="s">
        <v>587</v>
      </c>
      <c r="AD158" s="2">
        <v>1220</v>
      </c>
      <c r="AE158" s="2">
        <v>0</v>
      </c>
      <c r="AF158" s="294">
        <f>13*AK158</f>
        <v>470.48491580160743</v>
      </c>
      <c r="AG158" s="378">
        <f t="shared" si="70"/>
        <v>470.48491580160743</v>
      </c>
      <c r="AH158" s="293">
        <f>0.09/100</f>
        <v>8.9999999999999998E-4</v>
      </c>
      <c r="AI158" s="293">
        <v>606.4</v>
      </c>
      <c r="AJ158" s="58">
        <f t="shared" si="58"/>
        <v>0.54575999999999991</v>
      </c>
      <c r="AK158" s="272">
        <f>2*PI()*4.8^2/4</f>
        <v>36.191147369354418</v>
      </c>
      <c r="AL158" s="2">
        <f>8*$M$3</f>
        <v>203.2</v>
      </c>
      <c r="AM158" s="293">
        <v>0</v>
      </c>
      <c r="AN158" s="2">
        <v>0</v>
      </c>
      <c r="AO158" s="2">
        <v>0</v>
      </c>
      <c r="AP158" s="280">
        <f t="shared" si="100"/>
        <v>550.58974030284003</v>
      </c>
      <c r="AQ158" s="271">
        <f>96.9*$I$3</f>
        <v>0.66810224400000007</v>
      </c>
      <c r="AR158" s="59">
        <f t="shared" si="98"/>
        <v>1.0069803000601896</v>
      </c>
    </row>
    <row r="159" spans="1:45" s="296" customFormat="1" x14ac:dyDescent="0.25">
      <c r="A159" s="296">
        <v>151</v>
      </c>
      <c r="B159" s="296" t="s">
        <v>64</v>
      </c>
      <c r="C159" s="296" t="s">
        <v>586</v>
      </c>
      <c r="D159" s="296" t="s">
        <v>615</v>
      </c>
      <c r="E159" s="296" t="s">
        <v>489</v>
      </c>
      <c r="F159" s="296">
        <v>2640</v>
      </c>
      <c r="G159" s="296">
        <f t="shared" si="89"/>
        <v>5280</v>
      </c>
      <c r="H159" s="296">
        <v>4270</v>
      </c>
      <c r="I159" s="298">
        <f t="shared" si="77"/>
        <v>11272800</v>
      </c>
      <c r="J159" s="296">
        <v>193</v>
      </c>
      <c r="K159" s="302">
        <f t="shared" si="99"/>
        <v>3416</v>
      </c>
      <c r="L159" s="300">
        <f t="shared" si="90"/>
        <v>0.61826697892271665</v>
      </c>
      <c r="M159" s="300">
        <f t="shared" si="91"/>
        <v>1.2365339578454333</v>
      </c>
      <c r="N159" s="301">
        <f>847.5*$M$3^2</f>
        <v>546773.1</v>
      </c>
      <c r="O159" s="298">
        <f t="shared" si="80"/>
        <v>824110</v>
      </c>
      <c r="P159" s="300">
        <f t="shared" si="87"/>
        <v>0.66347101721857515</v>
      </c>
      <c r="R159" s="305">
        <f>3340*$I$3</f>
        <v>23.0284984</v>
      </c>
      <c r="S159" s="302">
        <f t="shared" si="65"/>
        <v>34.709124893715511</v>
      </c>
      <c r="T159" s="343">
        <f t="shared" si="101"/>
        <v>28.6</v>
      </c>
      <c r="U159" s="380"/>
      <c r="V159" s="380"/>
      <c r="W159" s="399"/>
      <c r="X159" s="399"/>
      <c r="Y159" s="296">
        <f>2*2*284+7*129</f>
        <v>2039</v>
      </c>
      <c r="Z159" s="298">
        <f t="shared" si="81"/>
        <v>3.0927303393964399E-3</v>
      </c>
      <c r="AA159" s="297">
        <v>461</v>
      </c>
      <c r="AB159" s="298">
        <f t="shared" si="102"/>
        <v>1.9316906107709215</v>
      </c>
      <c r="AC159" s="296" t="s">
        <v>587</v>
      </c>
      <c r="AD159" s="296">
        <v>1220</v>
      </c>
      <c r="AE159" s="296">
        <v>0</v>
      </c>
      <c r="AF159" s="301">
        <f>13*AK159</f>
        <v>940.96983160321486</v>
      </c>
      <c r="AG159" s="339">
        <f t="shared" si="70"/>
        <v>940.96983160321486</v>
      </c>
      <c r="AH159" s="297">
        <f>0.18/100</f>
        <v>1.8E-3</v>
      </c>
      <c r="AI159" s="297">
        <v>606.4</v>
      </c>
      <c r="AJ159" s="298">
        <f t="shared" si="58"/>
        <v>1.0915199999999998</v>
      </c>
      <c r="AK159" s="299">
        <f>2*2*PI()*4.8^2/4</f>
        <v>72.382294738708836</v>
      </c>
      <c r="AL159" s="296">
        <f>8*$M$3</f>
        <v>203.2</v>
      </c>
      <c r="AM159" s="297">
        <v>0</v>
      </c>
      <c r="AN159" s="296">
        <v>0</v>
      </c>
      <c r="AO159" s="296">
        <v>0</v>
      </c>
      <c r="AP159" s="311">
        <f t="shared" si="100"/>
        <v>518.20210852032005</v>
      </c>
      <c r="AQ159" s="305">
        <f>91.2*$I$3</f>
        <v>0.62880211200000002</v>
      </c>
      <c r="AR159" s="300">
        <f t="shared" si="98"/>
        <v>0.94774616476253137</v>
      </c>
      <c r="AS159" s="361"/>
    </row>
    <row r="160" spans="1:45" x14ac:dyDescent="0.25">
      <c r="A160" s="2">
        <v>152</v>
      </c>
      <c r="B160" s="2" t="s">
        <v>562</v>
      </c>
      <c r="C160" s="2">
        <v>1</v>
      </c>
      <c r="D160" s="2" t="s">
        <v>615</v>
      </c>
      <c r="E160" s="2" t="s">
        <v>490</v>
      </c>
      <c r="F160" s="2">
        <v>1422</v>
      </c>
      <c r="G160" s="2">
        <f t="shared" si="89"/>
        <v>1422</v>
      </c>
      <c r="H160" s="2">
        <v>2845</v>
      </c>
      <c r="I160" s="58">
        <f t="shared" si="77"/>
        <v>4045590</v>
      </c>
      <c r="J160" s="2">
        <v>195</v>
      </c>
      <c r="K160" s="287">
        <f t="shared" si="99"/>
        <v>2276</v>
      </c>
      <c r="L160" s="59">
        <f t="shared" si="90"/>
        <v>0.49982425307557116</v>
      </c>
      <c r="M160" s="59">
        <f t="shared" si="91"/>
        <v>0.49982425307557116</v>
      </c>
      <c r="N160" s="282">
        <f>(2*396/2*J160)+(H160-2*396/2)*(33.7)*2</f>
        <v>242282.6</v>
      </c>
      <c r="O160" s="58">
        <f t="shared" si="80"/>
        <v>554775</v>
      </c>
      <c r="P160" s="337">
        <f t="shared" si="87"/>
        <v>0.43672227479608849</v>
      </c>
      <c r="R160" s="2">
        <v>17.100000000000001</v>
      </c>
      <c r="S160" s="287">
        <f t="shared" si="65"/>
        <v>39.155319036530074</v>
      </c>
      <c r="T160" s="2">
        <v>29.6</v>
      </c>
      <c r="U160" s="381"/>
      <c r="V160" s="381"/>
      <c r="W160" s="400"/>
      <c r="X160" s="400"/>
      <c r="Y160" s="2">
        <f>2*2*284</f>
        <v>1136</v>
      </c>
      <c r="Z160" s="58">
        <f t="shared" si="81"/>
        <v>2.559596232706953E-3</v>
      </c>
      <c r="AA160" s="345">
        <v>400</v>
      </c>
      <c r="AB160" s="58">
        <f t="shared" ref="AB160:AB165" si="103">AA160/M160/J160</f>
        <v>4.1040066356522056</v>
      </c>
      <c r="AC160" s="2">
        <f>2*284</f>
        <v>568</v>
      </c>
      <c r="AD160" s="347">
        <f t="shared" ref="AD160:AD171" si="104">H160-200</f>
        <v>2645</v>
      </c>
      <c r="AE160" s="294">
        <f>2*71</f>
        <v>142</v>
      </c>
      <c r="AF160" s="367">
        <v>0</v>
      </c>
      <c r="AG160" s="338">
        <f t="shared" si="70"/>
        <v>142</v>
      </c>
      <c r="AH160" s="58">
        <f t="shared" ref="AH160:AH165" si="105">AG160/J160/F160</f>
        <v>5.1209924627646148E-4</v>
      </c>
      <c r="AI160" s="345">
        <v>400</v>
      </c>
      <c r="AJ160" s="58">
        <f t="shared" si="58"/>
        <v>0.20483969851058459</v>
      </c>
      <c r="AK160" s="2">
        <v>71</v>
      </c>
      <c r="AL160" s="2">
        <v>700</v>
      </c>
      <c r="AM160" s="2">
        <v>267</v>
      </c>
      <c r="AN160" s="59">
        <f t="shared" ref="AN160:AN171" si="106">AM160/O160*1000</f>
        <v>0.48127619305123698</v>
      </c>
      <c r="AO160" s="59">
        <f t="shared" ref="AO160:AO173" si="107">AM160/N160*1000</f>
        <v>1.1020188820823287</v>
      </c>
      <c r="AP160" s="272">
        <v>187</v>
      </c>
      <c r="AQ160" s="59">
        <f t="shared" ref="AQ160:AQ191" si="108">AP160/(J160*H160)*1000</f>
        <v>0.33707358839169033</v>
      </c>
      <c r="AR160" s="59">
        <f t="shared" si="98"/>
        <v>0.77182595861196801</v>
      </c>
    </row>
    <row r="161" spans="1:45" x14ac:dyDescent="0.25">
      <c r="A161" s="2">
        <v>153</v>
      </c>
      <c r="B161" s="2" t="s">
        <v>562</v>
      </c>
      <c r="C161" s="2">
        <v>3</v>
      </c>
      <c r="D161" s="2" t="s">
        <v>615</v>
      </c>
      <c r="E161" s="2" t="s">
        <v>490</v>
      </c>
      <c r="F161" s="2">
        <v>1422</v>
      </c>
      <c r="G161" s="2">
        <f t="shared" si="89"/>
        <v>1422</v>
      </c>
      <c r="H161" s="2">
        <v>2032</v>
      </c>
      <c r="I161" s="58">
        <f t="shared" si="77"/>
        <v>2889504</v>
      </c>
      <c r="J161" s="2">
        <v>195</v>
      </c>
      <c r="K161" s="287">
        <f t="shared" si="99"/>
        <v>1625.6000000000001</v>
      </c>
      <c r="L161" s="59">
        <f t="shared" si="90"/>
        <v>0.69980314960629919</v>
      </c>
      <c r="M161" s="59">
        <f t="shared" si="91"/>
        <v>0.69980314960629919</v>
      </c>
      <c r="N161" s="282">
        <f t="shared" ref="N161:N171" si="109">(2*396/2*J161)+(H161-2*396/2)*(33.7)*2</f>
        <v>187486.40000000002</v>
      </c>
      <c r="O161" s="58">
        <f t="shared" si="80"/>
        <v>396240</v>
      </c>
      <c r="P161" s="337">
        <f t="shared" si="87"/>
        <v>0.4731637391479912</v>
      </c>
      <c r="R161" s="2">
        <v>17.100000000000001</v>
      </c>
      <c r="S161" s="287">
        <f t="shared" si="65"/>
        <v>36.13970933358366</v>
      </c>
      <c r="T161" s="2">
        <v>29.6</v>
      </c>
      <c r="U161" s="381"/>
      <c r="V161" s="381"/>
      <c r="W161" s="400"/>
      <c r="X161" s="400"/>
      <c r="Y161" s="2">
        <f t="shared" ref="Y161:Y171" si="110">2*2*284</f>
        <v>1136</v>
      </c>
      <c r="Z161" s="58">
        <f t="shared" si="81"/>
        <v>3.5836866545527956E-3</v>
      </c>
      <c r="AA161" s="345">
        <v>400</v>
      </c>
      <c r="AB161" s="58">
        <f t="shared" si="103"/>
        <v>2.9312272350247031</v>
      </c>
      <c r="AC161" s="2">
        <f t="shared" ref="AC161:AC171" si="111">2*284</f>
        <v>568</v>
      </c>
      <c r="AD161" s="347">
        <f t="shared" si="104"/>
        <v>1832</v>
      </c>
      <c r="AE161" s="294">
        <f>2*71</f>
        <v>142</v>
      </c>
      <c r="AF161" s="367">
        <v>0</v>
      </c>
      <c r="AG161" s="338">
        <f t="shared" si="70"/>
        <v>142</v>
      </c>
      <c r="AH161" s="58">
        <f t="shared" si="105"/>
        <v>5.1209924627646148E-4</v>
      </c>
      <c r="AI161" s="345">
        <v>400</v>
      </c>
      <c r="AJ161" s="58">
        <f t="shared" si="58"/>
        <v>0.20483969851058459</v>
      </c>
      <c r="AK161" s="2">
        <v>71</v>
      </c>
      <c r="AL161" s="2">
        <v>700</v>
      </c>
      <c r="AM161" s="2">
        <v>191</v>
      </c>
      <c r="AN161" s="59">
        <f t="shared" si="106"/>
        <v>0.48203109226731272</v>
      </c>
      <c r="AO161" s="59">
        <f t="shared" si="107"/>
        <v>1.0187405593152357</v>
      </c>
      <c r="AP161" s="272">
        <v>245</v>
      </c>
      <c r="AQ161" s="59">
        <f t="shared" si="108"/>
        <v>0.6183121340601655</v>
      </c>
      <c r="AR161" s="59">
        <f t="shared" si="98"/>
        <v>1.3067614504305378</v>
      </c>
    </row>
    <row r="162" spans="1:45" x14ac:dyDescent="0.25">
      <c r="A162" s="2">
        <v>154</v>
      </c>
      <c r="B162" s="2" t="s">
        <v>562</v>
      </c>
      <c r="C162" s="2">
        <v>5</v>
      </c>
      <c r="D162" s="2" t="s">
        <v>615</v>
      </c>
      <c r="E162" s="2" t="s">
        <v>490</v>
      </c>
      <c r="F162" s="2">
        <v>1422</v>
      </c>
      <c r="G162" s="2">
        <f t="shared" si="89"/>
        <v>1422</v>
      </c>
      <c r="H162" s="2">
        <v>1422</v>
      </c>
      <c r="I162" s="58">
        <f t="shared" si="77"/>
        <v>2022084</v>
      </c>
      <c r="J162" s="2">
        <v>195</v>
      </c>
      <c r="K162" s="287">
        <f t="shared" si="99"/>
        <v>1137.6000000000001</v>
      </c>
      <c r="L162" s="59">
        <f t="shared" si="90"/>
        <v>1</v>
      </c>
      <c r="M162" s="59">
        <f t="shared" si="91"/>
        <v>1</v>
      </c>
      <c r="N162" s="282">
        <f t="shared" si="109"/>
        <v>146372.40000000002</v>
      </c>
      <c r="O162" s="58">
        <f t="shared" si="80"/>
        <v>277290</v>
      </c>
      <c r="P162" s="337">
        <f t="shared" si="87"/>
        <v>0.52786757546251228</v>
      </c>
      <c r="R162" s="2">
        <v>17.100000000000001</v>
      </c>
      <c r="S162" s="287">
        <f t="shared" si="65"/>
        <v>32.394488305172281</v>
      </c>
      <c r="T162" s="2">
        <v>29.6</v>
      </c>
      <c r="U162" s="381"/>
      <c r="V162" s="381"/>
      <c r="W162" s="400"/>
      <c r="X162" s="400"/>
      <c r="Y162" s="2">
        <f t="shared" si="110"/>
        <v>1136</v>
      </c>
      <c r="Z162" s="58">
        <f t="shared" si="81"/>
        <v>5.1209924627646135E-3</v>
      </c>
      <c r="AA162" s="345">
        <v>400</v>
      </c>
      <c r="AB162" s="58">
        <f t="shared" si="103"/>
        <v>2.0512820512820511</v>
      </c>
      <c r="AC162" s="2">
        <f t="shared" si="111"/>
        <v>568</v>
      </c>
      <c r="AD162" s="347">
        <f t="shared" si="104"/>
        <v>1222</v>
      </c>
      <c r="AE162" s="294">
        <f>2*71</f>
        <v>142</v>
      </c>
      <c r="AF162" s="367">
        <v>0</v>
      </c>
      <c r="AG162" s="338">
        <f t="shared" si="70"/>
        <v>142</v>
      </c>
      <c r="AH162" s="58">
        <f t="shared" si="105"/>
        <v>5.1209924627646148E-4</v>
      </c>
      <c r="AI162" s="345">
        <v>400</v>
      </c>
      <c r="AJ162" s="58">
        <f t="shared" si="58"/>
        <v>0.20483969851058459</v>
      </c>
      <c r="AK162" s="2">
        <v>71</v>
      </c>
      <c r="AL162" s="2">
        <v>700</v>
      </c>
      <c r="AM162" s="2">
        <v>133</v>
      </c>
      <c r="AN162" s="59">
        <f t="shared" si="106"/>
        <v>0.47964225179415054</v>
      </c>
      <c r="AO162" s="59">
        <f t="shared" si="107"/>
        <v>0.9086412465738074</v>
      </c>
      <c r="AP162" s="272">
        <v>133</v>
      </c>
      <c r="AQ162" s="59">
        <f t="shared" si="108"/>
        <v>0.47964225179415054</v>
      </c>
      <c r="AR162" s="59">
        <f t="shared" si="98"/>
        <v>0.9086412465738074</v>
      </c>
    </row>
    <row r="163" spans="1:45" x14ac:dyDescent="0.25">
      <c r="A163" s="2">
        <v>155</v>
      </c>
      <c r="B163" s="2" t="s">
        <v>562</v>
      </c>
      <c r="C163" s="2">
        <v>7</v>
      </c>
      <c r="D163" s="2" t="s">
        <v>615</v>
      </c>
      <c r="E163" s="2" t="s">
        <v>490</v>
      </c>
      <c r="F163" s="2">
        <v>1422</v>
      </c>
      <c r="G163" s="2">
        <f t="shared" si="89"/>
        <v>1422</v>
      </c>
      <c r="H163" s="2">
        <v>2845</v>
      </c>
      <c r="I163" s="58">
        <f t="shared" si="77"/>
        <v>4045590</v>
      </c>
      <c r="J163" s="2">
        <v>195</v>
      </c>
      <c r="K163" s="287">
        <f t="shared" si="99"/>
        <v>2276</v>
      </c>
      <c r="L163" s="59">
        <f t="shared" si="90"/>
        <v>0.49982425307557116</v>
      </c>
      <c r="M163" s="59">
        <f t="shared" si="91"/>
        <v>0.49982425307557116</v>
      </c>
      <c r="N163" s="282">
        <f t="shared" si="109"/>
        <v>242282.6</v>
      </c>
      <c r="O163" s="58">
        <f t="shared" si="80"/>
        <v>554775</v>
      </c>
      <c r="P163" s="337">
        <f t="shared" si="87"/>
        <v>0.43672227479608849</v>
      </c>
      <c r="R163" s="2">
        <v>17.100000000000001</v>
      </c>
      <c r="S163" s="287">
        <f t="shared" si="65"/>
        <v>39.155319036530074</v>
      </c>
      <c r="T163" s="2">
        <v>29.6</v>
      </c>
      <c r="U163" s="381"/>
      <c r="V163" s="381"/>
      <c r="W163" s="400"/>
      <c r="X163" s="400"/>
      <c r="Y163" s="2">
        <f t="shared" si="110"/>
        <v>1136</v>
      </c>
      <c r="Z163" s="58">
        <f t="shared" si="81"/>
        <v>2.559596232706953E-3</v>
      </c>
      <c r="AA163" s="345">
        <v>400</v>
      </c>
      <c r="AB163" s="58">
        <f t="shared" si="103"/>
        <v>4.1040066356522056</v>
      </c>
      <c r="AC163" s="2">
        <f t="shared" si="111"/>
        <v>568</v>
      </c>
      <c r="AD163" s="347">
        <f t="shared" si="104"/>
        <v>2645</v>
      </c>
      <c r="AE163" s="294">
        <f>129+200</f>
        <v>329</v>
      </c>
      <c r="AF163" s="367">
        <v>0</v>
      </c>
      <c r="AG163" s="338">
        <f t="shared" si="70"/>
        <v>329</v>
      </c>
      <c r="AH163" s="58">
        <f t="shared" si="105"/>
        <v>1.1864834649644776E-3</v>
      </c>
      <c r="AI163" s="345">
        <v>400</v>
      </c>
      <c r="AJ163" s="58">
        <f t="shared" si="58"/>
        <v>0.47459338598579104</v>
      </c>
      <c r="AK163" s="2" t="s">
        <v>588</v>
      </c>
      <c r="AL163" s="2">
        <v>700</v>
      </c>
      <c r="AM163" s="2">
        <v>266</v>
      </c>
      <c r="AN163" s="59">
        <f t="shared" si="106"/>
        <v>0.47947366049299267</v>
      </c>
      <c r="AO163" s="59">
        <f t="shared" si="107"/>
        <v>1.0978914705389491</v>
      </c>
      <c r="AP163" s="272">
        <v>240</v>
      </c>
      <c r="AQ163" s="59">
        <f t="shared" si="108"/>
        <v>0.43260781397863995</v>
      </c>
      <c r="AR163" s="59">
        <f t="shared" si="98"/>
        <v>0.99057877041108189</v>
      </c>
    </row>
    <row r="164" spans="1:45" x14ac:dyDescent="0.25">
      <c r="A164" s="2">
        <v>156</v>
      </c>
      <c r="B164" s="2" t="s">
        <v>562</v>
      </c>
      <c r="C164" s="2">
        <v>9</v>
      </c>
      <c r="D164" s="2" t="s">
        <v>615</v>
      </c>
      <c r="E164" s="2" t="s">
        <v>490</v>
      </c>
      <c r="F164" s="2">
        <v>1422</v>
      </c>
      <c r="G164" s="2">
        <f t="shared" si="89"/>
        <v>1422</v>
      </c>
      <c r="H164" s="342">
        <v>2032</v>
      </c>
      <c r="I164" s="330">
        <f t="shared" si="77"/>
        <v>2889504</v>
      </c>
      <c r="J164" s="342">
        <v>195</v>
      </c>
      <c r="K164" s="287">
        <f t="shared" si="99"/>
        <v>1625.6000000000001</v>
      </c>
      <c r="L164" s="59">
        <f t="shared" si="90"/>
        <v>0.69980314960629919</v>
      </c>
      <c r="M164" s="59">
        <f t="shared" si="91"/>
        <v>0.69980314960629919</v>
      </c>
      <c r="N164" s="349">
        <f t="shared" si="109"/>
        <v>187486.40000000002</v>
      </c>
      <c r="O164" s="330">
        <f t="shared" si="80"/>
        <v>396240</v>
      </c>
      <c r="P164" s="337">
        <f t="shared" si="87"/>
        <v>0.4731637391479912</v>
      </c>
      <c r="R164" s="2">
        <v>17.100000000000001</v>
      </c>
      <c r="S164" s="287">
        <f t="shared" si="65"/>
        <v>36.13970933358366</v>
      </c>
      <c r="T164" s="2">
        <v>29.6</v>
      </c>
      <c r="U164" s="381"/>
      <c r="V164" s="381"/>
      <c r="W164" s="400"/>
      <c r="X164" s="400"/>
      <c r="Y164" s="2">
        <f t="shared" si="110"/>
        <v>1136</v>
      </c>
      <c r="Z164" s="58">
        <f t="shared" si="81"/>
        <v>3.5836866545527956E-3</v>
      </c>
      <c r="AA164" s="345">
        <v>400</v>
      </c>
      <c r="AB164" s="58">
        <f t="shared" si="103"/>
        <v>2.9312272350247031</v>
      </c>
      <c r="AC164" s="2">
        <f t="shared" si="111"/>
        <v>568</v>
      </c>
      <c r="AD164" s="347">
        <f t="shared" si="104"/>
        <v>1832</v>
      </c>
      <c r="AE164" s="294">
        <f>129+200</f>
        <v>329</v>
      </c>
      <c r="AF164" s="367">
        <v>0</v>
      </c>
      <c r="AG164" s="378">
        <f t="shared" si="70"/>
        <v>329</v>
      </c>
      <c r="AH164" s="58">
        <f t="shared" si="105"/>
        <v>1.1864834649644776E-3</v>
      </c>
      <c r="AI164" s="345">
        <v>400</v>
      </c>
      <c r="AJ164" s="58">
        <f t="shared" si="58"/>
        <v>0.47459338598579104</v>
      </c>
      <c r="AK164" s="2" t="s">
        <v>588</v>
      </c>
      <c r="AL164" s="2">
        <v>700</v>
      </c>
      <c r="AM164" s="2">
        <v>177</v>
      </c>
      <c r="AN164" s="59">
        <f t="shared" si="106"/>
        <v>0.44669897032101757</v>
      </c>
      <c r="AO164" s="59">
        <f t="shared" si="107"/>
        <v>0.94406847643349046</v>
      </c>
      <c r="AP164" s="272">
        <v>192</v>
      </c>
      <c r="AQ164" s="337">
        <f t="shared" si="108"/>
        <v>0.48455481526347666</v>
      </c>
      <c r="AR164" s="337">
        <f t="shared" si="98"/>
        <v>1.0240742795210744</v>
      </c>
    </row>
    <row r="165" spans="1:45" s="296" customFormat="1" x14ac:dyDescent="0.25">
      <c r="A165" s="296">
        <v>157</v>
      </c>
      <c r="B165" s="296" t="s">
        <v>562</v>
      </c>
      <c r="C165" s="296">
        <v>11</v>
      </c>
      <c r="D165" s="296" t="s">
        <v>615</v>
      </c>
      <c r="E165" s="296" t="s">
        <v>490</v>
      </c>
      <c r="F165" s="296">
        <v>1422</v>
      </c>
      <c r="G165" s="296">
        <f t="shared" si="89"/>
        <v>1422</v>
      </c>
      <c r="H165" s="296">
        <v>1422</v>
      </c>
      <c r="I165" s="298">
        <f t="shared" si="77"/>
        <v>2022084</v>
      </c>
      <c r="J165" s="296">
        <v>195</v>
      </c>
      <c r="K165" s="302">
        <f t="shared" si="99"/>
        <v>1137.6000000000001</v>
      </c>
      <c r="L165" s="300">
        <f t="shared" si="90"/>
        <v>1</v>
      </c>
      <c r="M165" s="300">
        <f t="shared" si="91"/>
        <v>1</v>
      </c>
      <c r="N165" s="304">
        <f t="shared" si="109"/>
        <v>146372.40000000002</v>
      </c>
      <c r="O165" s="298">
        <f t="shared" si="80"/>
        <v>277290</v>
      </c>
      <c r="P165" s="300">
        <f t="shared" si="87"/>
        <v>0.52786757546251228</v>
      </c>
      <c r="R165" s="296">
        <v>17.100000000000001</v>
      </c>
      <c r="S165" s="302">
        <f t="shared" si="65"/>
        <v>32.394488305172281</v>
      </c>
      <c r="T165" s="296">
        <v>29.6</v>
      </c>
      <c r="U165" s="382"/>
      <c r="V165" s="382"/>
      <c r="W165" s="401"/>
      <c r="X165" s="401"/>
      <c r="Y165" s="296">
        <f t="shared" si="110"/>
        <v>1136</v>
      </c>
      <c r="Z165" s="298">
        <f t="shared" si="81"/>
        <v>5.1209924627646135E-3</v>
      </c>
      <c r="AA165" s="346">
        <v>400</v>
      </c>
      <c r="AB165" s="298">
        <f t="shared" si="103"/>
        <v>2.0512820512820511</v>
      </c>
      <c r="AC165" s="296">
        <f t="shared" si="111"/>
        <v>568</v>
      </c>
      <c r="AD165" s="346">
        <f t="shared" si="104"/>
        <v>1222</v>
      </c>
      <c r="AE165" s="301">
        <f>129+200</f>
        <v>329</v>
      </c>
      <c r="AF165" s="297">
        <v>0</v>
      </c>
      <c r="AG165" s="339">
        <f t="shared" si="70"/>
        <v>329</v>
      </c>
      <c r="AH165" s="298">
        <f t="shared" si="105"/>
        <v>1.1864834649644776E-3</v>
      </c>
      <c r="AI165" s="346">
        <v>400</v>
      </c>
      <c r="AJ165" s="298">
        <f t="shared" si="58"/>
        <v>0.47459338598579104</v>
      </c>
      <c r="AK165" s="296" t="s">
        <v>588</v>
      </c>
      <c r="AL165" s="296">
        <v>700</v>
      </c>
      <c r="AM165" s="296">
        <v>132</v>
      </c>
      <c r="AN165" s="300">
        <f t="shared" si="106"/>
        <v>0.47603591907389375</v>
      </c>
      <c r="AO165" s="300">
        <f t="shared" si="107"/>
        <v>0.901809357501824</v>
      </c>
      <c r="AP165" s="299">
        <v>154</v>
      </c>
      <c r="AQ165" s="300">
        <f t="shared" si="108"/>
        <v>0.55537523891954266</v>
      </c>
      <c r="AR165" s="300">
        <f t="shared" si="98"/>
        <v>1.0521109170854615</v>
      </c>
      <c r="AS165" s="361"/>
    </row>
    <row r="166" spans="1:45" x14ac:dyDescent="0.25">
      <c r="A166" s="2">
        <v>158</v>
      </c>
      <c r="B166" s="2" t="s">
        <v>51</v>
      </c>
      <c r="C166" s="2">
        <v>2</v>
      </c>
      <c r="D166" s="2" t="s">
        <v>615</v>
      </c>
      <c r="E166" s="2" t="s">
        <v>490</v>
      </c>
      <c r="F166" s="2">
        <v>1422</v>
      </c>
      <c r="G166" s="2">
        <f t="shared" si="89"/>
        <v>1422</v>
      </c>
      <c r="H166" s="2">
        <v>2845</v>
      </c>
      <c r="I166" s="58">
        <f t="shared" si="77"/>
        <v>4045590</v>
      </c>
      <c r="J166" s="2">
        <v>195</v>
      </c>
      <c r="K166" s="287">
        <f t="shared" si="99"/>
        <v>2276</v>
      </c>
      <c r="L166" s="59">
        <f t="shared" si="90"/>
        <v>0.49982425307557116</v>
      </c>
      <c r="M166" s="59">
        <f t="shared" si="91"/>
        <v>0.49982425307557116</v>
      </c>
      <c r="N166" s="282">
        <f t="shared" si="109"/>
        <v>242282.6</v>
      </c>
      <c r="O166" s="58">
        <f t="shared" si="80"/>
        <v>554775</v>
      </c>
      <c r="P166" s="59">
        <f t="shared" si="87"/>
        <v>0.43672227479608849</v>
      </c>
      <c r="R166" s="2">
        <v>14.5</v>
      </c>
      <c r="S166" s="287">
        <f t="shared" si="65"/>
        <v>33.201878715186318</v>
      </c>
      <c r="T166" s="2">
        <v>28.2</v>
      </c>
      <c r="U166" s="381"/>
      <c r="V166" s="381"/>
      <c r="W166" s="400"/>
      <c r="X166" s="400"/>
      <c r="Y166" s="2">
        <f>2*2*284</f>
        <v>1136</v>
      </c>
      <c r="Z166" s="58">
        <f t="shared" si="81"/>
        <v>2.559596232706953E-3</v>
      </c>
      <c r="AA166" s="345">
        <v>400</v>
      </c>
      <c r="AB166" s="58">
        <f t="shared" ref="AB166:AB178" si="112">AA166/M166/J166</f>
        <v>4.1040066356522056</v>
      </c>
      <c r="AC166" s="2">
        <f>2*284</f>
        <v>568</v>
      </c>
      <c r="AD166" s="347">
        <f t="shared" si="104"/>
        <v>2645</v>
      </c>
      <c r="AE166" s="349">
        <f>AH166*J166*F166</f>
        <v>155.2824</v>
      </c>
      <c r="AF166" s="367">
        <v>0</v>
      </c>
      <c r="AG166" s="282">
        <f t="shared" si="70"/>
        <v>155.2824</v>
      </c>
      <c r="AH166" s="293">
        <v>5.5999999999999995E-4</v>
      </c>
      <c r="AI166" s="345">
        <v>400</v>
      </c>
      <c r="AJ166" s="58">
        <f t="shared" si="58"/>
        <v>0.22399999999999998</v>
      </c>
      <c r="AK166" s="272">
        <f t="shared" ref="AK166:AK171" si="113">2*PI()*3.97^2/4</f>
        <v>24.757163826981689</v>
      </c>
      <c r="AL166" s="2">
        <v>200</v>
      </c>
      <c r="AM166" s="2">
        <v>265</v>
      </c>
      <c r="AN166" s="59">
        <f t="shared" si="106"/>
        <v>0.47767112793474836</v>
      </c>
      <c r="AO166" s="59">
        <f t="shared" si="107"/>
        <v>1.0937640589955695</v>
      </c>
      <c r="AP166" s="272">
        <v>261.3</v>
      </c>
      <c r="AQ166" s="59">
        <f t="shared" si="108"/>
        <v>0.47100175746924433</v>
      </c>
      <c r="AR166" s="59">
        <f t="shared" si="98"/>
        <v>1.0784926362850655</v>
      </c>
    </row>
    <row r="167" spans="1:45" x14ac:dyDescent="0.25">
      <c r="A167" s="2">
        <v>159</v>
      </c>
      <c r="B167" s="2" t="s">
        <v>51</v>
      </c>
      <c r="C167" s="2">
        <v>4</v>
      </c>
      <c r="D167" s="2" t="s">
        <v>615</v>
      </c>
      <c r="E167" s="2" t="s">
        <v>490</v>
      </c>
      <c r="F167" s="2">
        <v>1422</v>
      </c>
      <c r="G167" s="2">
        <f t="shared" si="89"/>
        <v>1422</v>
      </c>
      <c r="H167" s="2">
        <v>2032</v>
      </c>
      <c r="I167" s="58">
        <f t="shared" si="77"/>
        <v>2889504</v>
      </c>
      <c r="J167" s="2">
        <v>195</v>
      </c>
      <c r="K167" s="287">
        <f t="shared" si="99"/>
        <v>1625.6000000000001</v>
      </c>
      <c r="L167" s="59">
        <f t="shared" si="90"/>
        <v>0.69980314960629919</v>
      </c>
      <c r="M167" s="59">
        <f t="shared" si="91"/>
        <v>0.69980314960629919</v>
      </c>
      <c r="N167" s="282">
        <f t="shared" si="109"/>
        <v>187486.40000000002</v>
      </c>
      <c r="O167" s="58">
        <f t="shared" si="80"/>
        <v>396240</v>
      </c>
      <c r="P167" s="59">
        <f t="shared" si="87"/>
        <v>0.4731637391479912</v>
      </c>
      <c r="R167" s="2">
        <v>14.5</v>
      </c>
      <c r="S167" s="287">
        <f t="shared" si="65"/>
        <v>30.644782768243452</v>
      </c>
      <c r="T167" s="2">
        <v>28.2</v>
      </c>
      <c r="U167" s="381"/>
      <c r="V167" s="381"/>
      <c r="W167" s="400"/>
      <c r="X167" s="400"/>
      <c r="Y167" s="2">
        <f t="shared" si="110"/>
        <v>1136</v>
      </c>
      <c r="Z167" s="58">
        <f t="shared" si="81"/>
        <v>3.5836866545527956E-3</v>
      </c>
      <c r="AA167" s="345">
        <v>400</v>
      </c>
      <c r="AB167" s="58">
        <f t="shared" si="112"/>
        <v>2.9312272350247031</v>
      </c>
      <c r="AC167" s="2">
        <f t="shared" si="111"/>
        <v>568</v>
      </c>
      <c r="AD167" s="347">
        <f t="shared" si="104"/>
        <v>1832</v>
      </c>
      <c r="AE167" s="349">
        <f t="shared" ref="AE167:AE171" si="114">AH167*J167*F167</f>
        <v>155.2824</v>
      </c>
      <c r="AF167" s="367">
        <v>0</v>
      </c>
      <c r="AG167" s="282">
        <f t="shared" si="70"/>
        <v>155.2824</v>
      </c>
      <c r="AH167" s="293">
        <v>5.5999999999999995E-4</v>
      </c>
      <c r="AI167" s="345">
        <v>400</v>
      </c>
      <c r="AJ167" s="58">
        <f t="shared" si="58"/>
        <v>0.22399999999999998</v>
      </c>
      <c r="AK167" s="272">
        <f t="shared" si="113"/>
        <v>24.757163826981689</v>
      </c>
      <c r="AL167" s="2">
        <v>200</v>
      </c>
      <c r="AM167" s="2">
        <v>185.4</v>
      </c>
      <c r="AN167" s="59">
        <f t="shared" si="106"/>
        <v>0.46789824348879466</v>
      </c>
      <c r="AO167" s="59">
        <f t="shared" si="107"/>
        <v>0.98887172616253749</v>
      </c>
      <c r="AP167" s="272">
        <v>253.5</v>
      </c>
      <c r="AQ167" s="59">
        <f t="shared" si="108"/>
        <v>0.63976377952755903</v>
      </c>
      <c r="AR167" s="59">
        <f t="shared" si="98"/>
        <v>1.3520980721801688</v>
      </c>
    </row>
    <row r="168" spans="1:45" x14ac:dyDescent="0.25">
      <c r="A168" s="2">
        <v>160</v>
      </c>
      <c r="B168" s="2" t="s">
        <v>51</v>
      </c>
      <c r="C168" s="2">
        <v>6</v>
      </c>
      <c r="D168" s="2" t="s">
        <v>615</v>
      </c>
      <c r="E168" s="2" t="s">
        <v>490</v>
      </c>
      <c r="F168" s="2">
        <v>1422</v>
      </c>
      <c r="G168" s="2">
        <f t="shared" si="89"/>
        <v>1422</v>
      </c>
      <c r="H168" s="2">
        <v>1422</v>
      </c>
      <c r="I168" s="58">
        <f t="shared" si="77"/>
        <v>2022084</v>
      </c>
      <c r="J168" s="2">
        <v>195</v>
      </c>
      <c r="K168" s="287">
        <f t="shared" si="99"/>
        <v>1137.6000000000001</v>
      </c>
      <c r="L168" s="59">
        <f t="shared" si="90"/>
        <v>1</v>
      </c>
      <c r="M168" s="59">
        <f t="shared" si="91"/>
        <v>1</v>
      </c>
      <c r="N168" s="282">
        <f t="shared" si="109"/>
        <v>146372.40000000002</v>
      </c>
      <c r="O168" s="58">
        <f t="shared" si="80"/>
        <v>277290</v>
      </c>
      <c r="P168" s="59">
        <f t="shared" si="87"/>
        <v>0.52786757546251228</v>
      </c>
      <c r="R168" s="2">
        <v>14.5</v>
      </c>
      <c r="S168" s="287">
        <f t="shared" si="65"/>
        <v>27.469010551169475</v>
      </c>
      <c r="T168" s="2">
        <v>28.2</v>
      </c>
      <c r="U168" s="381"/>
      <c r="V168" s="381"/>
      <c r="W168" s="400"/>
      <c r="X168" s="400"/>
      <c r="Y168" s="2">
        <f t="shared" si="110"/>
        <v>1136</v>
      </c>
      <c r="Z168" s="58">
        <f t="shared" si="81"/>
        <v>5.1209924627646135E-3</v>
      </c>
      <c r="AA168" s="345">
        <v>400</v>
      </c>
      <c r="AB168" s="58">
        <f t="shared" si="112"/>
        <v>2.0512820512820511</v>
      </c>
      <c r="AC168" s="2">
        <f t="shared" si="111"/>
        <v>568</v>
      </c>
      <c r="AD168" s="347">
        <f t="shared" si="104"/>
        <v>1222</v>
      </c>
      <c r="AE168" s="349">
        <f t="shared" si="114"/>
        <v>155.2824</v>
      </c>
      <c r="AF168" s="367">
        <v>0</v>
      </c>
      <c r="AG168" s="282">
        <f t="shared" si="70"/>
        <v>155.2824</v>
      </c>
      <c r="AH168" s="293">
        <v>5.5999999999999995E-4</v>
      </c>
      <c r="AI168" s="345">
        <v>400</v>
      </c>
      <c r="AJ168" s="58">
        <f t="shared" si="58"/>
        <v>0.22399999999999998</v>
      </c>
      <c r="AK168" s="272">
        <f t="shared" si="113"/>
        <v>24.757163826981689</v>
      </c>
      <c r="AL168" s="2">
        <v>200</v>
      </c>
      <c r="AM168" s="2">
        <v>130.19999999999999</v>
      </c>
      <c r="AN168" s="59">
        <f t="shared" si="106"/>
        <v>0.46954452017743153</v>
      </c>
      <c r="AO168" s="59">
        <f t="shared" si="107"/>
        <v>0.88951195717225351</v>
      </c>
      <c r="AP168" s="272">
        <v>175.9</v>
      </c>
      <c r="AQ168" s="59">
        <f t="shared" si="108"/>
        <v>0.63435392549316594</v>
      </c>
      <c r="AR168" s="59">
        <f t="shared" si="98"/>
        <v>1.2017292877619004</v>
      </c>
    </row>
    <row r="169" spans="1:45" x14ac:dyDescent="0.25">
      <c r="A169" s="2">
        <v>161</v>
      </c>
      <c r="B169" s="2" t="s">
        <v>51</v>
      </c>
      <c r="C169" s="2">
        <v>8</v>
      </c>
      <c r="D169" s="2" t="s">
        <v>615</v>
      </c>
      <c r="E169" s="2" t="s">
        <v>490</v>
      </c>
      <c r="F169" s="2">
        <v>1422</v>
      </c>
      <c r="G169" s="2">
        <f t="shared" si="89"/>
        <v>1422</v>
      </c>
      <c r="H169" s="2">
        <v>2845</v>
      </c>
      <c r="I169" s="58">
        <f t="shared" si="77"/>
        <v>4045590</v>
      </c>
      <c r="J169" s="2">
        <v>195</v>
      </c>
      <c r="K169" s="287">
        <f t="shared" si="99"/>
        <v>2276</v>
      </c>
      <c r="L169" s="59">
        <f t="shared" si="90"/>
        <v>0.49982425307557116</v>
      </c>
      <c r="M169" s="59">
        <f t="shared" si="91"/>
        <v>0.49982425307557116</v>
      </c>
      <c r="N169" s="282">
        <f t="shared" si="109"/>
        <v>242282.6</v>
      </c>
      <c r="O169" s="58">
        <f t="shared" si="80"/>
        <v>554775</v>
      </c>
      <c r="P169" s="59">
        <f t="shared" si="87"/>
        <v>0.43672227479608849</v>
      </c>
      <c r="R169" s="2">
        <v>14.5</v>
      </c>
      <c r="S169" s="287">
        <f t="shared" si="65"/>
        <v>33.201878715186318</v>
      </c>
      <c r="T169" s="2">
        <v>28.2</v>
      </c>
      <c r="U169" s="381"/>
      <c r="V169" s="381"/>
      <c r="W169" s="400"/>
      <c r="X169" s="400"/>
      <c r="Y169" s="2">
        <f t="shared" si="110"/>
        <v>1136</v>
      </c>
      <c r="Z169" s="58">
        <f t="shared" si="81"/>
        <v>2.559596232706953E-3</v>
      </c>
      <c r="AA169" s="345">
        <v>400</v>
      </c>
      <c r="AB169" s="58">
        <f t="shared" si="112"/>
        <v>4.1040066356522056</v>
      </c>
      <c r="AC169" s="2">
        <f t="shared" si="111"/>
        <v>568</v>
      </c>
      <c r="AD169" s="347">
        <f t="shared" si="104"/>
        <v>2645</v>
      </c>
      <c r="AE169" s="349">
        <f t="shared" si="114"/>
        <v>305.01900000000006</v>
      </c>
      <c r="AF169" s="367">
        <v>0</v>
      </c>
      <c r="AG169" s="282">
        <f t="shared" si="70"/>
        <v>305.01900000000006</v>
      </c>
      <c r="AH169" s="293">
        <v>1.1000000000000001E-3</v>
      </c>
      <c r="AI169" s="345">
        <v>400</v>
      </c>
      <c r="AJ169" s="58">
        <f t="shared" ref="AJ169:AJ181" si="115">AH169*AI169</f>
        <v>0.44</v>
      </c>
      <c r="AK169" s="272">
        <f t="shared" si="113"/>
        <v>24.757163826981689</v>
      </c>
      <c r="AL169" s="2">
        <v>200</v>
      </c>
      <c r="AM169" s="2">
        <v>265.5</v>
      </c>
      <c r="AN169" s="59">
        <f t="shared" si="106"/>
        <v>0.47857239421387049</v>
      </c>
      <c r="AO169" s="59">
        <f t="shared" si="107"/>
        <v>1.0958277647672594</v>
      </c>
      <c r="AP169" s="272">
        <v>243.4</v>
      </c>
      <c r="AQ169" s="59">
        <f t="shared" si="108"/>
        <v>0.43873642467667073</v>
      </c>
      <c r="AR169" s="59">
        <f t="shared" si="98"/>
        <v>1.0046119696585722</v>
      </c>
    </row>
    <row r="170" spans="1:45" x14ac:dyDescent="0.25">
      <c r="A170" s="2">
        <v>162</v>
      </c>
      <c r="B170" s="2" t="s">
        <v>51</v>
      </c>
      <c r="C170" s="2">
        <v>10</v>
      </c>
      <c r="D170" s="2" t="s">
        <v>615</v>
      </c>
      <c r="E170" s="2" t="s">
        <v>490</v>
      </c>
      <c r="F170" s="2">
        <v>1422</v>
      </c>
      <c r="G170" s="2">
        <f t="shared" si="89"/>
        <v>1422</v>
      </c>
      <c r="H170" s="2">
        <v>2032</v>
      </c>
      <c r="I170" s="58">
        <f t="shared" si="77"/>
        <v>2889504</v>
      </c>
      <c r="J170" s="2">
        <v>195</v>
      </c>
      <c r="K170" s="287">
        <f t="shared" si="99"/>
        <v>1625.6000000000001</v>
      </c>
      <c r="L170" s="59">
        <f t="shared" si="90"/>
        <v>0.69980314960629919</v>
      </c>
      <c r="M170" s="59">
        <f t="shared" si="91"/>
        <v>0.69980314960629919</v>
      </c>
      <c r="N170" s="282">
        <f t="shared" si="109"/>
        <v>187486.40000000002</v>
      </c>
      <c r="O170" s="58">
        <f t="shared" si="80"/>
        <v>396240</v>
      </c>
      <c r="P170" s="59">
        <f t="shared" si="87"/>
        <v>0.4731637391479912</v>
      </c>
      <c r="R170" s="2">
        <v>14.5</v>
      </c>
      <c r="S170" s="287">
        <f t="shared" si="65"/>
        <v>30.644782768243452</v>
      </c>
      <c r="T170" s="2">
        <v>28.2</v>
      </c>
      <c r="U170" s="381"/>
      <c r="V170" s="381"/>
      <c r="W170" s="400"/>
      <c r="X170" s="400"/>
      <c r="Y170" s="2">
        <f t="shared" si="110"/>
        <v>1136</v>
      </c>
      <c r="Z170" s="58">
        <f t="shared" si="81"/>
        <v>3.5836866545527956E-3</v>
      </c>
      <c r="AA170" s="345">
        <v>400</v>
      </c>
      <c r="AB170" s="58">
        <f t="shared" si="112"/>
        <v>2.9312272350247031</v>
      </c>
      <c r="AC170" s="2">
        <f t="shared" si="111"/>
        <v>568</v>
      </c>
      <c r="AD170" s="347">
        <f t="shared" si="104"/>
        <v>1832</v>
      </c>
      <c r="AE170" s="349">
        <f t="shared" si="114"/>
        <v>305.01900000000006</v>
      </c>
      <c r="AF170" s="367">
        <v>0</v>
      </c>
      <c r="AG170" s="349">
        <f t="shared" si="70"/>
        <v>305.01900000000006</v>
      </c>
      <c r="AH170" s="293">
        <v>1.1000000000000001E-3</v>
      </c>
      <c r="AI170" s="345">
        <v>400</v>
      </c>
      <c r="AJ170" s="58">
        <f t="shared" si="115"/>
        <v>0.44</v>
      </c>
      <c r="AK170" s="272">
        <f t="shared" si="113"/>
        <v>24.757163826981689</v>
      </c>
      <c r="AL170" s="2">
        <v>200</v>
      </c>
      <c r="AM170" s="2">
        <v>187.6</v>
      </c>
      <c r="AN170" s="59">
        <f t="shared" si="106"/>
        <v>0.47345043408035531</v>
      </c>
      <c r="AO170" s="59">
        <f t="shared" si="107"/>
        <v>1.0006059106153831</v>
      </c>
      <c r="AP170" s="272">
        <v>270.3</v>
      </c>
      <c r="AQ170" s="59">
        <f t="shared" si="108"/>
        <v>0.68216232586311332</v>
      </c>
      <c r="AR170" s="59">
        <f t="shared" si="98"/>
        <v>1.4417045716382628</v>
      </c>
    </row>
    <row r="171" spans="1:45" s="296" customFormat="1" x14ac:dyDescent="0.25">
      <c r="A171" s="296">
        <v>163</v>
      </c>
      <c r="B171" s="296" t="s">
        <v>51</v>
      </c>
      <c r="C171" s="296">
        <v>12</v>
      </c>
      <c r="D171" s="296" t="s">
        <v>615</v>
      </c>
      <c r="E171" s="296" t="s">
        <v>490</v>
      </c>
      <c r="F171" s="296">
        <v>1422</v>
      </c>
      <c r="G171" s="296">
        <f t="shared" si="89"/>
        <v>1422</v>
      </c>
      <c r="H171" s="296">
        <v>1422</v>
      </c>
      <c r="I171" s="298">
        <f t="shared" si="77"/>
        <v>2022084</v>
      </c>
      <c r="J171" s="296">
        <v>195</v>
      </c>
      <c r="K171" s="302">
        <f t="shared" si="99"/>
        <v>1137.6000000000001</v>
      </c>
      <c r="L171" s="300">
        <f t="shared" si="90"/>
        <v>1</v>
      </c>
      <c r="M171" s="300">
        <f t="shared" si="91"/>
        <v>1</v>
      </c>
      <c r="N171" s="304">
        <f t="shared" si="109"/>
        <v>146372.40000000002</v>
      </c>
      <c r="O171" s="298">
        <f t="shared" si="80"/>
        <v>277290</v>
      </c>
      <c r="P171" s="300">
        <f t="shared" si="87"/>
        <v>0.52786757546251228</v>
      </c>
      <c r="R171" s="296">
        <v>14.5</v>
      </c>
      <c r="S171" s="302">
        <f t="shared" si="65"/>
        <v>27.469010551169475</v>
      </c>
      <c r="T171" s="296">
        <v>28.2</v>
      </c>
      <c r="U171" s="382"/>
      <c r="V171" s="382"/>
      <c r="W171" s="401"/>
      <c r="X171" s="401"/>
      <c r="Y171" s="296">
        <f t="shared" si="110"/>
        <v>1136</v>
      </c>
      <c r="Z171" s="298">
        <f t="shared" si="81"/>
        <v>5.1209924627646135E-3</v>
      </c>
      <c r="AA171" s="346">
        <v>400</v>
      </c>
      <c r="AB171" s="298">
        <f t="shared" si="112"/>
        <v>2.0512820512820511</v>
      </c>
      <c r="AC171" s="296">
        <f t="shared" si="111"/>
        <v>568</v>
      </c>
      <c r="AD171" s="346">
        <f t="shared" si="104"/>
        <v>1222</v>
      </c>
      <c r="AE171" s="304">
        <f t="shared" si="114"/>
        <v>305.01900000000006</v>
      </c>
      <c r="AF171" s="297">
        <v>0</v>
      </c>
      <c r="AG171" s="304">
        <f t="shared" si="70"/>
        <v>305.01900000000006</v>
      </c>
      <c r="AH171" s="297">
        <v>1.1000000000000001E-3</v>
      </c>
      <c r="AI171" s="346">
        <v>400</v>
      </c>
      <c r="AJ171" s="298">
        <f t="shared" si="115"/>
        <v>0.44</v>
      </c>
      <c r="AK171" s="299">
        <f t="shared" si="113"/>
        <v>24.757163826981689</v>
      </c>
      <c r="AL171" s="296">
        <v>200</v>
      </c>
      <c r="AM171" s="296">
        <v>133.19999999999999</v>
      </c>
      <c r="AN171" s="300">
        <f t="shared" si="106"/>
        <v>0.48036351833820184</v>
      </c>
      <c r="AO171" s="300">
        <f t="shared" si="107"/>
        <v>0.91000762438820415</v>
      </c>
      <c r="AP171" s="299">
        <v>211.3</v>
      </c>
      <c r="AQ171" s="300">
        <f t="shared" si="108"/>
        <v>0.7620181037902557</v>
      </c>
      <c r="AR171" s="300">
        <f t="shared" si="98"/>
        <v>1.4435781609101168</v>
      </c>
      <c r="AS171" s="361"/>
    </row>
    <row r="172" spans="1:45" x14ac:dyDescent="0.25">
      <c r="A172" s="2">
        <v>164</v>
      </c>
      <c r="B172" s="2" t="s">
        <v>559</v>
      </c>
      <c r="C172" s="2" t="s">
        <v>589</v>
      </c>
      <c r="D172" s="2" t="s">
        <v>614</v>
      </c>
      <c r="E172" s="2" t="s">
        <v>489</v>
      </c>
      <c r="F172" s="294">
        <f>3.02*12*$M$3</f>
        <v>920.49599999999998</v>
      </c>
      <c r="G172" s="294">
        <f t="shared" si="89"/>
        <v>1840.992</v>
      </c>
      <c r="H172" s="294">
        <f>3.08*12*$M$3</f>
        <v>938.78399999999999</v>
      </c>
      <c r="I172" s="282">
        <f t="shared" si="77"/>
        <v>864146.91686400003</v>
      </c>
      <c r="J172" s="294">
        <f>1.88*M3</f>
        <v>47.751999999999995</v>
      </c>
      <c r="K172" s="287">
        <f t="shared" si="99"/>
        <v>751.02719999999999</v>
      </c>
      <c r="L172" s="59">
        <f t="shared" si="90"/>
        <v>0.98051948051948046</v>
      </c>
      <c r="M172" s="59">
        <f t="shared" si="91"/>
        <v>1.9610389610389609</v>
      </c>
      <c r="N172" s="350">
        <f>(2*396/2/3*J172)+(H172-2*396/2/3)*(33.7/3)*2</f>
        <v>24429.011200000001</v>
      </c>
      <c r="O172" s="282">
        <f t="shared" ref="O172:O177" si="116">J172*H172</f>
        <v>44828.813567999998</v>
      </c>
      <c r="P172" s="59">
        <f t="shared" ref="P172:P177" si="117">N172/O172</f>
        <v>0.54493994499640475</v>
      </c>
      <c r="R172" s="272">
        <f>2800*$I$3</f>
        <v>19.305327999999999</v>
      </c>
      <c r="S172" s="287">
        <f t="shared" si="65"/>
        <v>35.426523926645473</v>
      </c>
      <c r="T172" s="272">
        <f>4100*$I$3</f>
        <v>28.268515999999998</v>
      </c>
      <c r="U172" s="294">
        <v>3</v>
      </c>
      <c r="V172" s="294">
        <v>6</v>
      </c>
      <c r="W172" s="394"/>
      <c r="X172" s="394"/>
      <c r="Y172" s="2">
        <f>4*0.0206*M3^2</f>
        <v>53.161183999999999</v>
      </c>
      <c r="Z172" s="58">
        <f t="shared" si="81"/>
        <v>1.4823385834024131E-3</v>
      </c>
      <c r="AA172" s="294">
        <f>64.2*I3*1000</f>
        <v>442.64359200000001</v>
      </c>
      <c r="AB172" s="58">
        <f t="shared" si="112"/>
        <v>4.7268997691161516</v>
      </c>
      <c r="AC172" s="2">
        <v>129</v>
      </c>
      <c r="AD172" s="294">
        <f>34.4*E3</f>
        <v>0</v>
      </c>
      <c r="AE172" s="294">
        <f>4*0.0206*M3^2</f>
        <v>53.161183999999999</v>
      </c>
      <c r="AF172" s="294">
        <v>0</v>
      </c>
      <c r="AG172" s="378">
        <f t="shared" si="70"/>
        <v>53.161183999999999</v>
      </c>
      <c r="AH172" s="58">
        <f>AG172/J172/F172</f>
        <v>1.2094312150673994E-3</v>
      </c>
      <c r="AI172" s="294">
        <f>64.2*P3*1000</f>
        <v>285.57572400000004</v>
      </c>
      <c r="AJ172" s="58">
        <f t="shared" si="115"/>
        <v>0.34538419487107236</v>
      </c>
      <c r="AK172" s="2">
        <v>129</v>
      </c>
      <c r="AL172" s="294">
        <f>34.4*M3</f>
        <v>873.75999999999988</v>
      </c>
      <c r="AM172" s="287">
        <f>AN172*O172/1000</f>
        <v>30.908391063610363</v>
      </c>
      <c r="AN172" s="271">
        <f>100*I3</f>
        <v>0.68947599999999998</v>
      </c>
      <c r="AO172" s="59">
        <f t="shared" si="107"/>
        <v>1.2652329973801955</v>
      </c>
      <c r="AP172" s="351">
        <f>5.5*P3*1000</f>
        <v>24.465210000000003</v>
      </c>
      <c r="AQ172" s="59">
        <f t="shared" si="108"/>
        <v>0.54574743457997554</v>
      </c>
      <c r="AR172" s="321">
        <f t="shared" si="98"/>
        <v>1.0014817955464363</v>
      </c>
    </row>
    <row r="173" spans="1:45" s="296" customFormat="1" x14ac:dyDescent="0.25">
      <c r="A173" s="296">
        <v>165</v>
      </c>
      <c r="B173" s="296" t="s">
        <v>559</v>
      </c>
      <c r="C173" s="296" t="s">
        <v>590</v>
      </c>
      <c r="D173" s="296" t="s">
        <v>614</v>
      </c>
      <c r="E173" s="296" t="s">
        <v>489</v>
      </c>
      <c r="F173" s="301">
        <f>3.02*12*$M$3</f>
        <v>920.49599999999998</v>
      </c>
      <c r="G173" s="301">
        <f t="shared" si="89"/>
        <v>1840.992</v>
      </c>
      <c r="H173" s="301">
        <f>3.08*12*$M$3</f>
        <v>938.78399999999999</v>
      </c>
      <c r="I173" s="304">
        <f t="shared" si="77"/>
        <v>864146.91686400003</v>
      </c>
      <c r="J173" s="301">
        <f>1.88*M3</f>
        <v>47.751999999999995</v>
      </c>
      <c r="K173" s="302">
        <f t="shared" si="99"/>
        <v>751.02719999999999</v>
      </c>
      <c r="L173" s="300">
        <f t="shared" si="90"/>
        <v>0.98051948051948046</v>
      </c>
      <c r="M173" s="300">
        <f t="shared" si="91"/>
        <v>1.9610389610389609</v>
      </c>
      <c r="N173" s="352">
        <f>(2*396/2/3*J173)+(H173-2*396/2/3)*(33.7/3)*2</f>
        <v>24429.011200000001</v>
      </c>
      <c r="O173" s="304">
        <f t="shared" si="116"/>
        <v>44828.813567999998</v>
      </c>
      <c r="P173" s="300">
        <f t="shared" si="117"/>
        <v>0.54493994499640475</v>
      </c>
      <c r="R173" s="299">
        <f>2800*$I$3</f>
        <v>19.305327999999999</v>
      </c>
      <c r="S173" s="302">
        <f>R173/P173</f>
        <v>35.426523926645473</v>
      </c>
      <c r="T173" s="299">
        <f>4100*$I$3</f>
        <v>28.268515999999998</v>
      </c>
      <c r="U173" s="301">
        <v>3</v>
      </c>
      <c r="V173" s="301">
        <v>6</v>
      </c>
      <c r="W173" s="395"/>
      <c r="X173" s="395"/>
      <c r="Y173" s="296">
        <f>3*0.0289*M3^2</f>
        <v>55.935371999999994</v>
      </c>
      <c r="Z173" s="298">
        <f t="shared" si="81"/>
        <v>1.5596936308372477E-3</v>
      </c>
      <c r="AA173" s="301">
        <f>64.8*I3*1000</f>
        <v>446.78044799999992</v>
      </c>
      <c r="AB173" s="298">
        <f t="shared" si="112"/>
        <v>4.7710764024723762</v>
      </c>
      <c r="AC173" s="296">
        <v>200</v>
      </c>
      <c r="AD173" s="301">
        <f>17*E3</f>
        <v>0</v>
      </c>
      <c r="AE173" s="301">
        <f>3*0.0289*M3^2</f>
        <v>55.935371999999994</v>
      </c>
      <c r="AF173" s="301">
        <v>0</v>
      </c>
      <c r="AG173" s="339">
        <f t="shared" si="70"/>
        <v>55.935371999999994</v>
      </c>
      <c r="AH173" s="298">
        <f>AG173/J173/F173</f>
        <v>1.2725447372129068E-3</v>
      </c>
      <c r="AI173" s="301">
        <f>64.8*P3*1000</f>
        <v>288.24465599999996</v>
      </c>
      <c r="AJ173" s="298">
        <f t="shared" si="115"/>
        <v>0.3668042200225447</v>
      </c>
      <c r="AK173" s="296">
        <v>200</v>
      </c>
      <c r="AL173" s="301">
        <f>17*M3</f>
        <v>431.79999999999995</v>
      </c>
      <c r="AM173" s="302">
        <f>AN173*O173/1000</f>
        <v>30.908391063610363</v>
      </c>
      <c r="AN173" s="305">
        <f>100*I3</f>
        <v>0.68947599999999998</v>
      </c>
      <c r="AO173" s="300">
        <f t="shared" si="107"/>
        <v>1.2652329973801955</v>
      </c>
      <c r="AP173" s="353">
        <f>6.8*P3*1000</f>
        <v>30.247896000000001</v>
      </c>
      <c r="AQ173" s="300">
        <f t="shared" si="108"/>
        <v>0.6747422827534244</v>
      </c>
      <c r="AR173" s="323">
        <f t="shared" si="98"/>
        <v>1.2381956744937757</v>
      </c>
      <c r="AS173" s="361"/>
    </row>
    <row r="174" spans="1:45" x14ac:dyDescent="0.25">
      <c r="A174" s="2">
        <v>166</v>
      </c>
      <c r="B174" s="2" t="s">
        <v>62</v>
      </c>
      <c r="C174" s="2" t="s">
        <v>294</v>
      </c>
      <c r="D174" s="2" t="s">
        <v>615</v>
      </c>
      <c r="E174" s="2" t="s">
        <v>489</v>
      </c>
      <c r="F174" s="2">
        <v>2640</v>
      </c>
      <c r="G174" s="2">
        <f>IF(E174="Cantilever",2*F174,1*F174)</f>
        <v>5280</v>
      </c>
      <c r="H174" s="2">
        <v>3860</v>
      </c>
      <c r="I174" s="282">
        <f t="shared" si="77"/>
        <v>10190400</v>
      </c>
      <c r="J174" s="2">
        <v>200</v>
      </c>
      <c r="K174" s="287">
        <f t="shared" si="99"/>
        <v>3088</v>
      </c>
      <c r="L174" s="59">
        <f t="shared" si="90"/>
        <v>0.68393782383419688</v>
      </c>
      <c r="M174" s="59">
        <f t="shared" si="91"/>
        <v>1.3678756476683938</v>
      </c>
      <c r="N174" s="282">
        <f>(4*390/2*J174)+(H174-4*390/2)*(25.4)*2</f>
        <v>312464</v>
      </c>
      <c r="O174" s="58">
        <f t="shared" si="116"/>
        <v>772000</v>
      </c>
      <c r="P174" s="337">
        <f t="shared" si="117"/>
        <v>0.40474611398963728</v>
      </c>
      <c r="R174" s="272">
        <v>14</v>
      </c>
      <c r="S174" s="287">
        <f t="shared" si="65"/>
        <v>34.589584720159763</v>
      </c>
      <c r="T174" s="272">
        <v>22</v>
      </c>
      <c r="U174" s="272" t="s">
        <v>628</v>
      </c>
      <c r="V174" s="272" t="s">
        <v>629</v>
      </c>
      <c r="W174" s="402"/>
      <c r="X174" s="402"/>
      <c r="Y174" s="2">
        <f>4*284</f>
        <v>1136</v>
      </c>
      <c r="Z174" s="58">
        <f t="shared" si="81"/>
        <v>1.8393782383419688E-3</v>
      </c>
      <c r="AA174" s="57">
        <v>414</v>
      </c>
      <c r="AB174" s="58">
        <f t="shared" si="112"/>
        <v>1.5132954545454547</v>
      </c>
      <c r="AC174" s="2">
        <v>284</v>
      </c>
      <c r="AD174" s="2">
        <v>1220</v>
      </c>
      <c r="AE174" s="2">
        <f>3*284</f>
        <v>852</v>
      </c>
      <c r="AF174" s="2">
        <v>0</v>
      </c>
      <c r="AG174" s="338">
        <f t="shared" si="70"/>
        <v>852</v>
      </c>
      <c r="AH174" s="58">
        <f>AK174/AL174/J174</f>
        <v>1.0757575757575758E-3</v>
      </c>
      <c r="AI174" s="57">
        <v>321</v>
      </c>
      <c r="AJ174" s="58">
        <f t="shared" si="115"/>
        <v>0.34531818181818186</v>
      </c>
      <c r="AK174" s="2">
        <v>284</v>
      </c>
      <c r="AL174" s="2">
        <f>2640/2</f>
        <v>1320</v>
      </c>
      <c r="AM174" s="287">
        <f>AO174*N174/1000</f>
        <v>218.72479999999999</v>
      </c>
      <c r="AN174" s="59">
        <f t="shared" ref="AN174:AN183" si="118">AM174/O174*1000</f>
        <v>0.2833222797927461</v>
      </c>
      <c r="AO174" s="2">
        <v>0.7</v>
      </c>
      <c r="AP174" s="2">
        <v>318</v>
      </c>
      <c r="AQ174" s="59">
        <f t="shared" si="108"/>
        <v>0.41191709844559582</v>
      </c>
      <c r="AR174" s="59">
        <f t="shared" si="98"/>
        <v>1.0177172410261663</v>
      </c>
    </row>
    <row r="175" spans="1:45" x14ac:dyDescent="0.25">
      <c r="A175" s="2">
        <v>167</v>
      </c>
      <c r="B175" s="2" t="s">
        <v>62</v>
      </c>
      <c r="C175" s="2" t="s">
        <v>295</v>
      </c>
      <c r="D175" s="2" t="s">
        <v>615</v>
      </c>
      <c r="E175" s="2" t="s">
        <v>489</v>
      </c>
      <c r="F175" s="2">
        <v>2640</v>
      </c>
      <c r="G175" s="2">
        <f t="shared" ref="G175:G191" si="119">IF(E175="Cantilever",2*F175,1*F175)</f>
        <v>5280</v>
      </c>
      <c r="H175" s="2">
        <v>3860</v>
      </c>
      <c r="I175" s="282">
        <f t="shared" si="77"/>
        <v>10190400</v>
      </c>
      <c r="J175" s="2">
        <v>200</v>
      </c>
      <c r="K175" s="287">
        <f t="shared" si="99"/>
        <v>3088</v>
      </c>
      <c r="L175" s="59">
        <f t="shared" si="90"/>
        <v>0.68393782383419688</v>
      </c>
      <c r="M175" s="59">
        <f t="shared" si="91"/>
        <v>1.3678756476683938</v>
      </c>
      <c r="N175" s="282">
        <f>(4*390/2*J175)+(H175-4*390/2)*(25.4)*2</f>
        <v>312464</v>
      </c>
      <c r="O175" s="58">
        <f t="shared" si="116"/>
        <v>772000</v>
      </c>
      <c r="P175" s="337">
        <f t="shared" si="117"/>
        <v>0.40474611398963728</v>
      </c>
      <c r="R175" s="272">
        <v>14</v>
      </c>
      <c r="S175" s="287">
        <f t="shared" ref="S175:S191" si="120">R175/P175</f>
        <v>34.589584720159763</v>
      </c>
      <c r="T175" s="272">
        <v>22</v>
      </c>
      <c r="U175" s="272" t="s">
        <v>628</v>
      </c>
      <c r="V175" s="272" t="s">
        <v>629</v>
      </c>
      <c r="W175" s="402"/>
      <c r="X175" s="402"/>
      <c r="Y175" s="2">
        <f>4*284</f>
        <v>1136</v>
      </c>
      <c r="Z175" s="58">
        <f t="shared" si="81"/>
        <v>1.8393782383419688E-3</v>
      </c>
      <c r="AA175" s="57">
        <v>414</v>
      </c>
      <c r="AB175" s="58">
        <f t="shared" si="112"/>
        <v>1.5132954545454547</v>
      </c>
      <c r="AC175" s="2">
        <v>284</v>
      </c>
      <c r="AD175" s="2">
        <v>1220</v>
      </c>
      <c r="AE175" s="2">
        <f>3*284</f>
        <v>852</v>
      </c>
      <c r="AF175" s="2">
        <v>0</v>
      </c>
      <c r="AG175" s="338">
        <f t="shared" ref="AG175:AG178" si="121">AF175+AE175</f>
        <v>852</v>
      </c>
      <c r="AH175" s="58">
        <f>AK175/AL175/J175</f>
        <v>1.0757575757575758E-3</v>
      </c>
      <c r="AI175" s="57">
        <v>321</v>
      </c>
      <c r="AJ175" s="58">
        <f t="shared" si="115"/>
        <v>0.34531818181818186</v>
      </c>
      <c r="AK175" s="2">
        <v>284</v>
      </c>
      <c r="AL175" s="2">
        <f>2640/2</f>
        <v>1320</v>
      </c>
      <c r="AM175" s="287">
        <f>AO175*N175/1000</f>
        <v>218.72479999999999</v>
      </c>
      <c r="AN175" s="59">
        <f t="shared" si="118"/>
        <v>0.2833222797927461</v>
      </c>
      <c r="AO175" s="2">
        <v>0.7</v>
      </c>
      <c r="AP175" s="2">
        <v>190</v>
      </c>
      <c r="AQ175" s="59">
        <f t="shared" si="108"/>
        <v>0.24611398963730571</v>
      </c>
      <c r="AR175" s="59">
        <f t="shared" si="98"/>
        <v>0.608070049669722</v>
      </c>
    </row>
    <row r="176" spans="1:45" x14ac:dyDescent="0.25">
      <c r="A176" s="2">
        <v>168</v>
      </c>
      <c r="B176" s="2" t="s">
        <v>62</v>
      </c>
      <c r="C176" s="2" t="s">
        <v>296</v>
      </c>
      <c r="D176" s="2" t="s">
        <v>615</v>
      </c>
      <c r="E176" s="2" t="s">
        <v>490</v>
      </c>
      <c r="F176" s="2">
        <v>2640</v>
      </c>
      <c r="G176" s="2">
        <f t="shared" si="119"/>
        <v>2640</v>
      </c>
      <c r="H176" s="2">
        <v>3860</v>
      </c>
      <c r="I176" s="282">
        <f t="shared" si="77"/>
        <v>10190400</v>
      </c>
      <c r="J176" s="2">
        <v>200</v>
      </c>
      <c r="K176" s="287">
        <f t="shared" si="99"/>
        <v>3088</v>
      </c>
      <c r="L176" s="59">
        <f t="shared" si="90"/>
        <v>0.68393782383419688</v>
      </c>
      <c r="M176" s="59">
        <f t="shared" si="91"/>
        <v>0.68393782383419688</v>
      </c>
      <c r="N176" s="282">
        <f>(4*390/2*J176)+(H176-4*390/2)*(25.4)*2</f>
        <v>312464</v>
      </c>
      <c r="O176" s="58">
        <f t="shared" si="116"/>
        <v>772000</v>
      </c>
      <c r="P176" s="337">
        <f t="shared" si="117"/>
        <v>0.40474611398963728</v>
      </c>
      <c r="R176" s="272">
        <v>14</v>
      </c>
      <c r="S176" s="287">
        <f t="shared" si="120"/>
        <v>34.589584720159763</v>
      </c>
      <c r="T176" s="272">
        <v>22</v>
      </c>
      <c r="U176" s="272" t="s">
        <v>628</v>
      </c>
      <c r="V176" s="272" t="s">
        <v>629</v>
      </c>
      <c r="W176" s="402"/>
      <c r="X176" s="402"/>
      <c r="Y176" s="2">
        <f>4*284</f>
        <v>1136</v>
      </c>
      <c r="Z176" s="58">
        <f t="shared" si="81"/>
        <v>1.8393782383419688E-3</v>
      </c>
      <c r="AA176" s="57">
        <v>414</v>
      </c>
      <c r="AB176" s="58">
        <f t="shared" si="112"/>
        <v>3.0265909090909093</v>
      </c>
      <c r="AC176" s="2">
        <v>284</v>
      </c>
      <c r="AD176" s="2">
        <v>1220</v>
      </c>
      <c r="AE176" s="2">
        <f>3*284</f>
        <v>852</v>
      </c>
      <c r="AF176" s="2">
        <v>0</v>
      </c>
      <c r="AG176" s="378">
        <f t="shared" si="121"/>
        <v>852</v>
      </c>
      <c r="AH176" s="58">
        <f>AK176/AL176/J176</f>
        <v>1.0757575757575758E-3</v>
      </c>
      <c r="AI176" s="57">
        <v>321</v>
      </c>
      <c r="AJ176" s="58">
        <f t="shared" si="115"/>
        <v>0.34531818181818186</v>
      </c>
      <c r="AK176" s="2">
        <v>284</v>
      </c>
      <c r="AL176" s="2">
        <f>2640/2</f>
        <v>1320</v>
      </c>
      <c r="AM176" s="287">
        <f>AO176*N176/1000</f>
        <v>218.72479999999999</v>
      </c>
      <c r="AN176" s="59">
        <f t="shared" si="118"/>
        <v>0.2833222797927461</v>
      </c>
      <c r="AO176" s="2">
        <v>0.7</v>
      </c>
      <c r="AP176" s="2">
        <v>241</v>
      </c>
      <c r="AQ176" s="59">
        <f t="shared" si="108"/>
        <v>0.31217616580310881</v>
      </c>
      <c r="AR176" s="59">
        <f t="shared" si="98"/>
        <v>0.77128885247580514</v>
      </c>
    </row>
    <row r="177" spans="1:45" s="296" customFormat="1" x14ac:dyDescent="0.25">
      <c r="A177" s="296">
        <v>169</v>
      </c>
      <c r="B177" s="296" t="s">
        <v>62</v>
      </c>
      <c r="C177" s="296" t="s">
        <v>297</v>
      </c>
      <c r="D177" s="296" t="s">
        <v>615</v>
      </c>
      <c r="E177" s="296" t="s">
        <v>490</v>
      </c>
      <c r="F177" s="296">
        <v>2640</v>
      </c>
      <c r="G177" s="296">
        <f t="shared" si="119"/>
        <v>2640</v>
      </c>
      <c r="H177" s="296">
        <v>3860</v>
      </c>
      <c r="I177" s="304">
        <f t="shared" si="77"/>
        <v>10190400</v>
      </c>
      <c r="J177" s="296">
        <v>200</v>
      </c>
      <c r="K177" s="302">
        <f t="shared" si="99"/>
        <v>3088</v>
      </c>
      <c r="L177" s="300">
        <f t="shared" si="90"/>
        <v>0.68393782383419688</v>
      </c>
      <c r="M177" s="300">
        <f t="shared" si="91"/>
        <v>0.68393782383419688</v>
      </c>
      <c r="N177" s="304">
        <f>(4*390/2*J177)+(H177-4*390/2)*(25.4)*2</f>
        <v>312464</v>
      </c>
      <c r="O177" s="298">
        <f t="shared" si="116"/>
        <v>772000</v>
      </c>
      <c r="P177" s="300">
        <f t="shared" si="117"/>
        <v>0.40474611398963728</v>
      </c>
      <c r="R177" s="299">
        <v>14</v>
      </c>
      <c r="S177" s="302">
        <f t="shared" si="120"/>
        <v>34.589584720159763</v>
      </c>
      <c r="T177" s="299">
        <v>22</v>
      </c>
      <c r="U177" s="299" t="s">
        <v>628</v>
      </c>
      <c r="V177" s="299" t="s">
        <v>629</v>
      </c>
      <c r="W177" s="403"/>
      <c r="X177" s="403"/>
      <c r="Y177" s="296">
        <f>4*284</f>
        <v>1136</v>
      </c>
      <c r="Z177" s="298">
        <f t="shared" si="81"/>
        <v>1.8393782383419688E-3</v>
      </c>
      <c r="AA177" s="343">
        <v>414</v>
      </c>
      <c r="AB177" s="298">
        <f t="shared" si="112"/>
        <v>3.0265909090909093</v>
      </c>
      <c r="AC177" s="296">
        <v>284</v>
      </c>
      <c r="AD177" s="296">
        <v>1220</v>
      </c>
      <c r="AE177" s="296">
        <f>3*284</f>
        <v>852</v>
      </c>
      <c r="AF177" s="296">
        <v>0</v>
      </c>
      <c r="AG177" s="339">
        <f t="shared" si="121"/>
        <v>852</v>
      </c>
      <c r="AH177" s="298">
        <f>AK177/AL177/J177</f>
        <v>1.0757575757575758E-3</v>
      </c>
      <c r="AI177" s="343">
        <v>321</v>
      </c>
      <c r="AJ177" s="298">
        <f t="shared" si="115"/>
        <v>0.34531818181818186</v>
      </c>
      <c r="AK177" s="296">
        <v>284</v>
      </c>
      <c r="AL177" s="296">
        <f>2640/2</f>
        <v>1320</v>
      </c>
      <c r="AM177" s="302">
        <f>AO177*N177/1000</f>
        <v>218.72479999999999</v>
      </c>
      <c r="AN177" s="300">
        <f t="shared" si="118"/>
        <v>0.2833222797927461</v>
      </c>
      <c r="AO177" s="296">
        <v>0.7</v>
      </c>
      <c r="AP177" s="296">
        <v>230</v>
      </c>
      <c r="AQ177" s="300">
        <f t="shared" si="108"/>
        <v>0.29792746113989638</v>
      </c>
      <c r="AR177" s="300">
        <f t="shared" si="98"/>
        <v>0.73608479696861084</v>
      </c>
      <c r="AS177" s="361"/>
    </row>
    <row r="178" spans="1:45" x14ac:dyDescent="0.25">
      <c r="A178" s="2">
        <v>170</v>
      </c>
      <c r="B178" s="2" t="s">
        <v>83</v>
      </c>
      <c r="C178" s="2" t="s">
        <v>591</v>
      </c>
      <c r="D178" s="2" t="s">
        <v>615</v>
      </c>
      <c r="E178" s="2" t="s">
        <v>489</v>
      </c>
      <c r="F178" s="2">
        <f>((4*12)+8)*$M$3</f>
        <v>1422.3999999999999</v>
      </c>
      <c r="G178" s="2">
        <f t="shared" si="119"/>
        <v>2844.7999999999997</v>
      </c>
      <c r="H178" s="2">
        <f>4*12*$M$3</f>
        <v>1219.1999999999998</v>
      </c>
      <c r="I178" s="282">
        <f t="shared" si="77"/>
        <v>1734190.0799999996</v>
      </c>
      <c r="J178" s="2">
        <f>8*$M$3-10</f>
        <v>193.2</v>
      </c>
      <c r="K178" s="287">
        <f t="shared" si="99"/>
        <v>975.3599999999999</v>
      </c>
      <c r="L178" s="59">
        <f t="shared" si="90"/>
        <v>1.1666666666666667</v>
      </c>
      <c r="M178" s="59">
        <f t="shared" si="91"/>
        <v>2.3333333333333335</v>
      </c>
      <c r="N178" s="338">
        <f>220*M3^2</f>
        <v>141935.19999999998</v>
      </c>
      <c r="O178" s="282">
        <f>J178*H178</f>
        <v>235549.43999999994</v>
      </c>
      <c r="P178" s="337">
        <f t="shared" ref="P178:P191" si="122">N178/O178</f>
        <v>0.60257073844030373</v>
      </c>
      <c r="R178" s="272">
        <f>1710*$I$3</f>
        <v>11.7900396</v>
      </c>
      <c r="S178" s="287">
        <f t="shared" si="120"/>
        <v>19.566233220214745</v>
      </c>
      <c r="T178" s="272">
        <f>3810*I3</f>
        <v>26.269035599999999</v>
      </c>
      <c r="U178" s="294">
        <v>5</v>
      </c>
      <c r="V178" s="294">
        <v>3</v>
      </c>
      <c r="W178" s="394"/>
      <c r="X178" s="394"/>
      <c r="Y178" s="2">
        <v>0</v>
      </c>
      <c r="Z178" s="58">
        <f t="shared" si="81"/>
        <v>0</v>
      </c>
      <c r="AA178" s="2">
        <v>0</v>
      </c>
      <c r="AB178" s="58">
        <f t="shared" si="112"/>
        <v>0</v>
      </c>
      <c r="AC178" s="2">
        <v>0</v>
      </c>
      <c r="AD178" s="2">
        <v>0</v>
      </c>
      <c r="AE178" s="2">
        <v>0</v>
      </c>
      <c r="AF178" s="2">
        <v>0</v>
      </c>
      <c r="AG178" s="338">
        <f t="shared" si="121"/>
        <v>0</v>
      </c>
      <c r="AH178" s="58">
        <v>0</v>
      </c>
      <c r="AI178" s="2">
        <v>0</v>
      </c>
      <c r="AJ178" s="58">
        <v>0</v>
      </c>
      <c r="AK178" s="2">
        <v>0</v>
      </c>
      <c r="AL178" s="2">
        <v>0</v>
      </c>
      <c r="AM178" s="272">
        <f>42.2*$P$3*1000</f>
        <v>187.71488400000004</v>
      </c>
      <c r="AN178" s="59">
        <f t="shared" si="118"/>
        <v>0.7969234993723614</v>
      </c>
      <c r="AO178" s="59">
        <f t="shared" ref="AO178:AO183" si="123">AM178/N178*1000</f>
        <v>1.3225393278059288</v>
      </c>
      <c r="AP178" s="294">
        <f>25.2*1000*$P$3</f>
        <v>112.095144</v>
      </c>
      <c r="AQ178" s="354">
        <f t="shared" si="108"/>
        <v>0.4758879664498461</v>
      </c>
      <c r="AR178" s="354">
        <f t="shared" si="98"/>
        <v>0.78976282134382458</v>
      </c>
    </row>
    <row r="179" spans="1:45" x14ac:dyDescent="0.25">
      <c r="A179" s="2">
        <v>171</v>
      </c>
      <c r="B179" s="2" t="s">
        <v>83</v>
      </c>
      <c r="C179" s="2" t="s">
        <v>592</v>
      </c>
      <c r="D179" s="2" t="s">
        <v>615</v>
      </c>
      <c r="E179" s="2" t="s">
        <v>489</v>
      </c>
      <c r="F179" s="2">
        <f>((4*12)+8)*$M$3</f>
        <v>1422.3999999999999</v>
      </c>
      <c r="G179" s="2">
        <f t="shared" si="119"/>
        <v>2844.7999999999997</v>
      </c>
      <c r="H179" s="2">
        <f>4*12*$M$3</f>
        <v>1219.1999999999998</v>
      </c>
      <c r="I179" s="282">
        <f t="shared" si="77"/>
        <v>1734190.0799999996</v>
      </c>
      <c r="J179" s="2">
        <f>8*$M$3-10</f>
        <v>193.2</v>
      </c>
      <c r="K179" s="287">
        <f t="shared" si="99"/>
        <v>975.3599999999999</v>
      </c>
      <c r="L179" s="59">
        <f t="shared" si="90"/>
        <v>1.1666666666666667</v>
      </c>
      <c r="M179" s="59">
        <f t="shared" si="91"/>
        <v>2.3333333333333335</v>
      </c>
      <c r="N179" s="338">
        <f>220*M3^2</f>
        <v>141935.19999999998</v>
      </c>
      <c r="O179" s="282">
        <f t="shared" ref="O179:O191" si="124">J179*H179</f>
        <v>235549.43999999994</v>
      </c>
      <c r="P179" s="337">
        <f t="shared" si="122"/>
        <v>0.60257073844030373</v>
      </c>
      <c r="R179" s="272">
        <f>1710*$I$3</f>
        <v>11.7900396</v>
      </c>
      <c r="S179" s="287">
        <f t="shared" si="120"/>
        <v>19.566233220214745</v>
      </c>
      <c r="T179" s="272">
        <f>3810*I3</f>
        <v>26.269035599999999</v>
      </c>
      <c r="U179" s="294">
        <v>5</v>
      </c>
      <c r="V179" s="294">
        <v>3</v>
      </c>
      <c r="W179" s="394"/>
      <c r="X179" s="394"/>
      <c r="Y179" s="2">
        <f>2*200</f>
        <v>400</v>
      </c>
      <c r="Z179" s="58">
        <f t="shared" si="81"/>
        <v>2.1226966194443091E-3</v>
      </c>
      <c r="AA179" s="294">
        <f>70.81*1000*I3</f>
        <v>488.21795559999998</v>
      </c>
      <c r="AB179" s="58">
        <f>AA179/M179/J179</f>
        <v>1.0830034507542148</v>
      </c>
      <c r="AC179" s="2">
        <v>200</v>
      </c>
      <c r="AD179" s="2">
        <f>(3*12+6)*$M$3</f>
        <v>1066.8</v>
      </c>
      <c r="AE179" s="2">
        <f>1*200</f>
        <v>200</v>
      </c>
      <c r="AF179" s="2">
        <v>0</v>
      </c>
      <c r="AG179" s="338">
        <f t="shared" ref="AG179:AG181" si="125">AF179+AE179</f>
        <v>200</v>
      </c>
      <c r="AH179" s="58">
        <f>AK179/AL179/J179</f>
        <v>1.4555633961903832E-3</v>
      </c>
      <c r="AI179" s="294">
        <f>47.91*1000*I3</f>
        <v>330.32795160000001</v>
      </c>
      <c r="AJ179" s="58">
        <f t="shared" si="115"/>
        <v>0.48081327508750854</v>
      </c>
      <c r="AK179" s="2">
        <v>200</v>
      </c>
      <c r="AL179" s="294">
        <f>0.5*F179</f>
        <v>711.19999999999993</v>
      </c>
      <c r="AM179" s="272">
        <f>30.2*$P$3*1000</f>
        <v>134.33624399999999</v>
      </c>
      <c r="AN179" s="59">
        <f t="shared" si="118"/>
        <v>0.57031018201529171</v>
      </c>
      <c r="AO179" s="59">
        <f t="shared" si="123"/>
        <v>0.94646179383267859</v>
      </c>
      <c r="AP179" s="294">
        <f>46.8*1000*$P$3</f>
        <v>208.17669599999999</v>
      </c>
      <c r="AQ179" s="354">
        <f t="shared" si="108"/>
        <v>0.88379193769257125</v>
      </c>
      <c r="AR179" s="354">
        <f t="shared" si="98"/>
        <v>1.4667023824956744</v>
      </c>
    </row>
    <row r="180" spans="1:45" x14ac:dyDescent="0.25">
      <c r="A180" s="2">
        <v>172</v>
      </c>
      <c r="B180" s="2" t="s">
        <v>83</v>
      </c>
      <c r="C180" s="2" t="s">
        <v>593</v>
      </c>
      <c r="D180" s="2" t="s">
        <v>615</v>
      </c>
      <c r="E180" s="2" t="s">
        <v>489</v>
      </c>
      <c r="F180" s="2">
        <f>((4*12)+8)*$M$3</f>
        <v>1422.3999999999999</v>
      </c>
      <c r="G180" s="2">
        <f t="shared" si="119"/>
        <v>2844.7999999999997</v>
      </c>
      <c r="H180" s="2">
        <f>4*12*$M$3</f>
        <v>1219.1999999999998</v>
      </c>
      <c r="I180" s="282">
        <f t="shared" si="77"/>
        <v>1734190.0799999996</v>
      </c>
      <c r="J180" s="2">
        <f>8*$M$3-10</f>
        <v>193.2</v>
      </c>
      <c r="K180" s="287">
        <f t="shared" si="99"/>
        <v>975.3599999999999</v>
      </c>
      <c r="L180" s="59">
        <f t="shared" si="90"/>
        <v>1.1666666666666667</v>
      </c>
      <c r="M180" s="59">
        <f t="shared" si="91"/>
        <v>2.3333333333333335</v>
      </c>
      <c r="N180" s="338">
        <f>220*M3^2</f>
        <v>141935.19999999998</v>
      </c>
      <c r="O180" s="282">
        <f t="shared" si="124"/>
        <v>235549.43999999994</v>
      </c>
      <c r="P180" s="337">
        <f t="shared" si="122"/>
        <v>0.60257073844030373</v>
      </c>
      <c r="R180" s="272">
        <f>1710*$I$3</f>
        <v>11.7900396</v>
      </c>
      <c r="S180" s="287">
        <f t="shared" si="120"/>
        <v>19.566233220214745</v>
      </c>
      <c r="T180" s="272">
        <f>6850*I3</f>
        <v>47.229106000000002</v>
      </c>
      <c r="U180" s="294">
        <v>5</v>
      </c>
      <c r="V180" s="294">
        <v>3</v>
      </c>
      <c r="W180" s="394"/>
      <c r="X180" s="394"/>
      <c r="Y180" s="2">
        <f>2*509</f>
        <v>1018</v>
      </c>
      <c r="Z180" s="58">
        <f t="shared" si="81"/>
        <v>5.4022628964857664E-3</v>
      </c>
      <c r="AA180" s="294">
        <f>69.2*1000*I3</f>
        <v>477.117392</v>
      </c>
      <c r="AB180" s="58">
        <f>AA180/M180/J180</f>
        <v>1.0583793078970718</v>
      </c>
      <c r="AC180" s="2">
        <v>509</v>
      </c>
      <c r="AD180" s="2">
        <f>(3*12+6)*$M$3</f>
        <v>1066.8</v>
      </c>
      <c r="AE180" s="2">
        <v>0</v>
      </c>
      <c r="AF180" s="2">
        <v>0</v>
      </c>
      <c r="AG180" s="378">
        <f t="shared" si="125"/>
        <v>0</v>
      </c>
      <c r="AH180" s="58">
        <v>0</v>
      </c>
      <c r="AI180" s="2">
        <v>0</v>
      </c>
      <c r="AJ180" s="58">
        <v>0</v>
      </c>
      <c r="AK180" s="2">
        <v>0</v>
      </c>
      <c r="AL180" s="2">
        <v>0</v>
      </c>
      <c r="AM180" s="272">
        <f>29.2*$P$3*1000</f>
        <v>129.888024</v>
      </c>
      <c r="AN180" s="59">
        <f t="shared" si="118"/>
        <v>0.55142573890220259</v>
      </c>
      <c r="AO180" s="59">
        <f t="shared" si="123"/>
        <v>0.9151219993349079</v>
      </c>
      <c r="AP180" s="294">
        <f>36.8*1000*$P$3</f>
        <v>163.69449600000002</v>
      </c>
      <c r="AQ180" s="354">
        <f t="shared" si="108"/>
        <v>0.69494750656168003</v>
      </c>
      <c r="AR180" s="354">
        <f t="shared" si="98"/>
        <v>1.1533044375179662</v>
      </c>
    </row>
    <row r="181" spans="1:45" s="296" customFormat="1" x14ac:dyDescent="0.25">
      <c r="A181" s="296">
        <v>173</v>
      </c>
      <c r="B181" s="296" t="s">
        <v>83</v>
      </c>
      <c r="C181" s="296" t="s">
        <v>594</v>
      </c>
      <c r="D181" s="296" t="s">
        <v>615</v>
      </c>
      <c r="E181" s="296" t="s">
        <v>489</v>
      </c>
      <c r="F181" s="296">
        <f>((4*12)+8)*$M$3</f>
        <v>1422.3999999999999</v>
      </c>
      <c r="G181" s="296">
        <f t="shared" si="119"/>
        <v>2844.7999999999997</v>
      </c>
      <c r="H181" s="296">
        <f>4*12*$M$3</f>
        <v>1219.1999999999998</v>
      </c>
      <c r="I181" s="304">
        <f t="shared" si="77"/>
        <v>1734190.0799999996</v>
      </c>
      <c r="J181" s="296">
        <f>8*$M$3-10</f>
        <v>193.2</v>
      </c>
      <c r="K181" s="302">
        <f t="shared" si="99"/>
        <v>975.3599999999999</v>
      </c>
      <c r="L181" s="300">
        <f t="shared" si="90"/>
        <v>1.1666666666666667</v>
      </c>
      <c r="M181" s="300">
        <f t="shared" si="91"/>
        <v>2.3333333333333335</v>
      </c>
      <c r="N181" s="339">
        <f>220*M3^2</f>
        <v>141935.19999999998</v>
      </c>
      <c r="O181" s="304">
        <f t="shared" si="124"/>
        <v>235549.43999999994</v>
      </c>
      <c r="P181" s="300">
        <f t="shared" si="122"/>
        <v>0.60257073844030373</v>
      </c>
      <c r="R181" s="299">
        <f>1710*$I$3</f>
        <v>11.7900396</v>
      </c>
      <c r="S181" s="302">
        <f t="shared" si="120"/>
        <v>19.566233220214745</v>
      </c>
      <c r="T181" s="299">
        <f>6895*I3</f>
        <v>47.5393702</v>
      </c>
      <c r="U181" s="301">
        <v>5</v>
      </c>
      <c r="V181" s="301">
        <v>3</v>
      </c>
      <c r="W181" s="395"/>
      <c r="X181" s="395"/>
      <c r="Y181" s="296">
        <f>2*509</f>
        <v>1018</v>
      </c>
      <c r="Z181" s="298">
        <f t="shared" si="81"/>
        <v>5.4022628964857664E-3</v>
      </c>
      <c r="AA181" s="301">
        <f>69.2*1000*I3</f>
        <v>477.117392</v>
      </c>
      <c r="AB181" s="298">
        <f>AA181/M181/J181</f>
        <v>1.0583793078970718</v>
      </c>
      <c r="AC181" s="296">
        <v>509</v>
      </c>
      <c r="AD181" s="296">
        <f>(3*12+6)*$M$3</f>
        <v>1066.8</v>
      </c>
      <c r="AE181" s="296">
        <f>2*200</f>
        <v>400</v>
      </c>
      <c r="AF181" s="296">
        <v>0</v>
      </c>
      <c r="AG181" s="339">
        <f t="shared" si="125"/>
        <v>400</v>
      </c>
      <c r="AH181" s="298">
        <f>AK181/AL181/J181</f>
        <v>2.1833450942855752E-3</v>
      </c>
      <c r="AI181" s="301">
        <f>47.91*1000*I3</f>
        <v>330.32795160000001</v>
      </c>
      <c r="AJ181" s="298">
        <f t="shared" si="115"/>
        <v>0.72121991263126295</v>
      </c>
      <c r="AK181" s="296">
        <v>200</v>
      </c>
      <c r="AL181" s="301">
        <f>1/3*F181</f>
        <v>474.13333333333327</v>
      </c>
      <c r="AM181" s="299">
        <f>31.2*$P$3*1000</f>
        <v>138.78446399999999</v>
      </c>
      <c r="AN181" s="300">
        <f t="shared" si="118"/>
        <v>0.58919462512838072</v>
      </c>
      <c r="AO181" s="300">
        <f t="shared" si="123"/>
        <v>0.97780158833044939</v>
      </c>
      <c r="AP181" s="301">
        <f>48.7*1000*$P$3</f>
        <v>216.62831400000002</v>
      </c>
      <c r="AQ181" s="355">
        <f t="shared" si="108"/>
        <v>0.91967237960744075</v>
      </c>
      <c r="AR181" s="355">
        <f t="shared" si="98"/>
        <v>1.5262479920414389</v>
      </c>
      <c r="AS181" s="361"/>
    </row>
    <row r="182" spans="1:45" x14ac:dyDescent="0.25">
      <c r="A182" s="2">
        <v>174</v>
      </c>
      <c r="B182" s="2" t="s">
        <v>43</v>
      </c>
      <c r="C182" s="2">
        <v>5</v>
      </c>
      <c r="D182" s="2" t="s">
        <v>615</v>
      </c>
      <c r="E182" s="2" t="s">
        <v>489</v>
      </c>
      <c r="F182" s="2">
        <v>1800</v>
      </c>
      <c r="G182" s="2">
        <f t="shared" si="119"/>
        <v>3600</v>
      </c>
      <c r="H182" s="2">
        <v>1800</v>
      </c>
      <c r="I182" s="282">
        <f t="shared" si="77"/>
        <v>3240000</v>
      </c>
      <c r="J182" s="2">
        <v>140</v>
      </c>
      <c r="K182" s="287">
        <f t="shared" si="99"/>
        <v>1440</v>
      </c>
      <c r="L182" s="59">
        <f t="shared" si="90"/>
        <v>1</v>
      </c>
      <c r="M182" s="59">
        <f t="shared" si="91"/>
        <v>2</v>
      </c>
      <c r="N182" s="282">
        <f>(5*390/2*J182)+(H182-5*390/2)*(30)*2</f>
        <v>186000</v>
      </c>
      <c r="O182" s="282">
        <f t="shared" si="124"/>
        <v>252000</v>
      </c>
      <c r="P182" s="337">
        <f t="shared" si="122"/>
        <v>0.73809523809523814</v>
      </c>
      <c r="R182" s="2">
        <v>18.5</v>
      </c>
      <c r="S182" s="287">
        <f t="shared" si="120"/>
        <v>25.064516129032256</v>
      </c>
      <c r="T182" s="356">
        <v>22</v>
      </c>
      <c r="U182" s="338">
        <v>3</v>
      </c>
      <c r="V182" s="381"/>
      <c r="W182" s="400"/>
      <c r="X182" s="400"/>
      <c r="Y182" s="2">
        <f>5*300</f>
        <v>1500</v>
      </c>
      <c r="Z182" s="58">
        <f t="shared" si="81"/>
        <v>7.4404761904761901E-3</v>
      </c>
      <c r="AA182" s="2">
        <v>320</v>
      </c>
      <c r="AB182" s="58">
        <f>AA182/M182/J182</f>
        <v>1.1428571428571428</v>
      </c>
      <c r="AC182" s="2">
        <v>300</v>
      </c>
      <c r="AD182" s="57">
        <f>(1800-200)/5</f>
        <v>320</v>
      </c>
      <c r="AE182" s="2">
        <v>0</v>
      </c>
      <c r="AF182" s="2">
        <v>0</v>
      </c>
      <c r="AG182" s="2">
        <v>0</v>
      </c>
      <c r="AH182" s="2">
        <v>0</v>
      </c>
      <c r="AI182" s="2">
        <v>0</v>
      </c>
      <c r="AJ182" s="2">
        <v>0</v>
      </c>
      <c r="AK182" s="2">
        <v>0</v>
      </c>
      <c r="AL182" s="2">
        <v>0</v>
      </c>
      <c r="AM182" s="287">
        <f>AP182/0.4</f>
        <v>357.5</v>
      </c>
      <c r="AN182" s="59">
        <f t="shared" si="118"/>
        <v>1.4186507936507935</v>
      </c>
      <c r="AO182" s="59">
        <f t="shared" si="123"/>
        <v>1.9220430107526882</v>
      </c>
      <c r="AP182" s="2">
        <v>143</v>
      </c>
      <c r="AQ182" s="59">
        <f t="shared" si="108"/>
        <v>0.56746031746031744</v>
      </c>
      <c r="AR182" s="59">
        <f t="shared" si="98"/>
        <v>0.76881720430107525</v>
      </c>
    </row>
    <row r="183" spans="1:45" s="296" customFormat="1" x14ac:dyDescent="0.25">
      <c r="A183" s="296">
        <v>175</v>
      </c>
      <c r="B183" s="296" t="s">
        <v>43</v>
      </c>
      <c r="C183" s="296">
        <v>6</v>
      </c>
      <c r="D183" s="296" t="s">
        <v>615</v>
      </c>
      <c r="E183" s="296" t="s">
        <v>489</v>
      </c>
      <c r="F183" s="296">
        <v>1800</v>
      </c>
      <c r="G183" s="296">
        <f t="shared" si="119"/>
        <v>3600</v>
      </c>
      <c r="H183" s="296">
        <v>1800</v>
      </c>
      <c r="I183" s="304">
        <f t="shared" si="77"/>
        <v>3240000</v>
      </c>
      <c r="J183" s="296">
        <v>140</v>
      </c>
      <c r="K183" s="302">
        <f t="shared" si="99"/>
        <v>1440</v>
      </c>
      <c r="L183" s="300">
        <f t="shared" si="90"/>
        <v>1</v>
      </c>
      <c r="M183" s="300">
        <f t="shared" si="91"/>
        <v>2</v>
      </c>
      <c r="N183" s="304">
        <f>(5*390/2*J183)+(H183-5*390/2)*(30)*2</f>
        <v>186000</v>
      </c>
      <c r="O183" s="304">
        <f t="shared" si="124"/>
        <v>252000</v>
      </c>
      <c r="P183" s="300">
        <f t="shared" si="122"/>
        <v>0.73809523809523814</v>
      </c>
      <c r="R183" s="296">
        <v>18.5</v>
      </c>
      <c r="S183" s="302">
        <f t="shared" si="120"/>
        <v>25.064516129032256</v>
      </c>
      <c r="T183" s="357">
        <v>22</v>
      </c>
      <c r="U183" s="339">
        <v>3</v>
      </c>
      <c r="V183" s="382"/>
      <c r="W183" s="401"/>
      <c r="X183" s="401"/>
      <c r="Y183" s="296">
        <f>5*300</f>
        <v>1500</v>
      </c>
      <c r="Z183" s="298">
        <f t="shared" si="81"/>
        <v>7.4404761904761901E-3</v>
      </c>
      <c r="AA183" s="296">
        <v>320</v>
      </c>
      <c r="AB183" s="298">
        <f>AA183/M183/J183</f>
        <v>1.1428571428571428</v>
      </c>
      <c r="AC183" s="296">
        <v>300</v>
      </c>
      <c r="AD183" s="343">
        <f>(1800-200)/5</f>
        <v>320</v>
      </c>
      <c r="AE183" s="296">
        <v>0</v>
      </c>
      <c r="AF183" s="296">
        <v>0</v>
      </c>
      <c r="AG183" s="296">
        <v>0</v>
      </c>
      <c r="AH183" s="296">
        <v>0</v>
      </c>
      <c r="AI183" s="296">
        <v>0</v>
      </c>
      <c r="AJ183" s="296">
        <v>0</v>
      </c>
      <c r="AK183" s="296">
        <v>0</v>
      </c>
      <c r="AL183" s="296">
        <v>0</v>
      </c>
      <c r="AM183" s="302">
        <f>AP183/0.64</f>
        <v>145.3125</v>
      </c>
      <c r="AN183" s="300">
        <f t="shared" si="118"/>
        <v>0.57663690476190477</v>
      </c>
      <c r="AO183" s="300">
        <f t="shared" si="123"/>
        <v>0.78125</v>
      </c>
      <c r="AP183" s="296">
        <v>93</v>
      </c>
      <c r="AQ183" s="300">
        <f t="shared" si="108"/>
        <v>0.36904761904761907</v>
      </c>
      <c r="AR183" s="300">
        <f t="shared" ref="AR183:AR191" si="126">AP183/N183*1000</f>
        <v>0.5</v>
      </c>
      <c r="AS183" s="361"/>
    </row>
    <row r="184" spans="1:45" x14ac:dyDescent="0.25">
      <c r="A184" s="2">
        <v>176</v>
      </c>
      <c r="B184" s="2" t="s">
        <v>603</v>
      </c>
      <c r="C184" s="2" t="s">
        <v>606</v>
      </c>
      <c r="D184" s="2" t="s">
        <v>614</v>
      </c>
      <c r="E184" s="2" t="s">
        <v>489</v>
      </c>
      <c r="F184" s="2">
        <v>2408</v>
      </c>
      <c r="G184" s="342">
        <f t="shared" si="119"/>
        <v>4816</v>
      </c>
      <c r="H184" s="342">
        <v>2870</v>
      </c>
      <c r="I184" s="349">
        <f t="shared" si="77"/>
        <v>6910960</v>
      </c>
      <c r="J184" s="342">
        <v>150</v>
      </c>
      <c r="K184" s="365">
        <f>0.8*H184</f>
        <v>2296</v>
      </c>
      <c r="L184" s="337">
        <f t="shared" ref="L184:L191" si="127">F184/H184</f>
        <v>0.83902439024390241</v>
      </c>
      <c r="M184" s="337">
        <f t="shared" ref="M184:M191" si="128">G184/H184</f>
        <v>1.6780487804878048</v>
      </c>
      <c r="N184" s="330">
        <f>(4*320/2*J184)+(H184-4*320/2)*(35)*2</f>
        <v>252100</v>
      </c>
      <c r="O184" s="282">
        <f t="shared" si="124"/>
        <v>430500</v>
      </c>
      <c r="P184" s="337">
        <f t="shared" si="122"/>
        <v>0.58559814169570268</v>
      </c>
      <c r="R184" s="2">
        <v>12.5</v>
      </c>
      <c r="S184" s="287">
        <f t="shared" si="120"/>
        <v>21.345696152320507</v>
      </c>
      <c r="T184" s="2">
        <v>18.399999999999999</v>
      </c>
      <c r="U184" s="2">
        <v>4</v>
      </c>
      <c r="V184" s="2">
        <v>3</v>
      </c>
      <c r="Y184" s="294">
        <f>4*(PI()*12^2/4)</f>
        <v>452.38934211693021</v>
      </c>
      <c r="Z184" s="58">
        <f t="shared" si="81"/>
        <v>1.3135579039399831E-3</v>
      </c>
      <c r="AA184" s="58">
        <v>500</v>
      </c>
      <c r="AB184" s="58">
        <f t="shared" ref="AB184:AB191" si="129">AA184/M184/J184</f>
        <v>1.9864341085271318</v>
      </c>
      <c r="AC184" s="294">
        <f>PI()*12^2/4</f>
        <v>113.09733552923255</v>
      </c>
      <c r="AD184" s="2">
        <v>1280</v>
      </c>
      <c r="AE184" s="2">
        <v>0</v>
      </c>
      <c r="AF184" s="2">
        <v>0</v>
      </c>
      <c r="AG184" s="2">
        <v>0</v>
      </c>
      <c r="AH184" s="2">
        <v>0</v>
      </c>
      <c r="AI184" s="2">
        <v>0</v>
      </c>
      <c r="AJ184" s="2">
        <v>0</v>
      </c>
      <c r="AK184" s="2">
        <v>0</v>
      </c>
      <c r="AL184" s="2">
        <v>0</v>
      </c>
      <c r="AM184" s="2">
        <v>0</v>
      </c>
      <c r="AN184" s="2">
        <v>0</v>
      </c>
      <c r="AO184" s="2">
        <v>0</v>
      </c>
      <c r="AP184" s="2">
        <v>179.1</v>
      </c>
      <c r="AQ184" s="59">
        <f t="shared" si="108"/>
        <v>0.41602787456445994</v>
      </c>
      <c r="AR184" s="59">
        <f t="shared" si="126"/>
        <v>0.71043236810789367</v>
      </c>
    </row>
    <row r="185" spans="1:45" x14ac:dyDescent="0.25">
      <c r="A185" s="2">
        <v>177</v>
      </c>
      <c r="B185" s="2" t="s">
        <v>603</v>
      </c>
      <c r="C185" s="2" t="s">
        <v>607</v>
      </c>
      <c r="D185" s="2" t="s">
        <v>615</v>
      </c>
      <c r="E185" s="2" t="s">
        <v>489</v>
      </c>
      <c r="F185" s="2">
        <v>2408</v>
      </c>
      <c r="G185" s="342">
        <f t="shared" si="119"/>
        <v>4816</v>
      </c>
      <c r="H185" s="342">
        <v>2870</v>
      </c>
      <c r="I185" s="349">
        <f t="shared" ref="I185:I191" si="130">H185*F185</f>
        <v>6910960</v>
      </c>
      <c r="J185" s="342">
        <v>150</v>
      </c>
      <c r="K185" s="365">
        <f t="shared" si="99"/>
        <v>2296</v>
      </c>
      <c r="L185" s="337">
        <f t="shared" si="127"/>
        <v>0.83902439024390241</v>
      </c>
      <c r="M185" s="337">
        <f t="shared" si="128"/>
        <v>1.6780487804878048</v>
      </c>
      <c r="N185" s="330">
        <f t="shared" ref="N185:N191" si="131">(4*320/2*J185)+(H185-4*320/2)*(35)*2</f>
        <v>252100</v>
      </c>
      <c r="O185" s="282">
        <f t="shared" si="124"/>
        <v>430500</v>
      </c>
      <c r="P185" s="337">
        <f t="shared" si="122"/>
        <v>0.58559814169570268</v>
      </c>
      <c r="R185" s="2">
        <v>14.4</v>
      </c>
      <c r="S185" s="287">
        <f t="shared" si="120"/>
        <v>24.590241967473226</v>
      </c>
      <c r="T185" s="2">
        <v>23.6</v>
      </c>
      <c r="U185" s="2">
        <v>4</v>
      </c>
      <c r="V185" s="2">
        <v>3</v>
      </c>
      <c r="Y185" s="294">
        <f t="shared" ref="Y185:Y191" si="132">4*(PI()*12^2/4)</f>
        <v>452.38934211693021</v>
      </c>
      <c r="Z185" s="58">
        <f t="shared" ref="Z185:Z191" si="133">Y185/J185/K185</f>
        <v>1.3135579039399831E-3</v>
      </c>
      <c r="AA185" s="58">
        <v>500</v>
      </c>
      <c r="AB185" s="58">
        <f t="shared" si="129"/>
        <v>1.9864341085271318</v>
      </c>
      <c r="AC185" s="294">
        <f t="shared" ref="AC185:AC191" si="134">PI()*12^2/4</f>
        <v>113.09733552923255</v>
      </c>
      <c r="AD185" s="2">
        <v>1280</v>
      </c>
      <c r="AE185" s="2">
        <v>0</v>
      </c>
      <c r="AF185" s="2">
        <v>0</v>
      </c>
      <c r="AG185" s="2">
        <v>0</v>
      </c>
      <c r="AH185" s="2">
        <v>0</v>
      </c>
      <c r="AI185" s="2">
        <v>0</v>
      </c>
      <c r="AJ185" s="2">
        <v>0</v>
      </c>
      <c r="AK185" s="2">
        <v>0</v>
      </c>
      <c r="AL185" s="2">
        <v>0</v>
      </c>
      <c r="AM185" s="2">
        <v>0</v>
      </c>
      <c r="AN185" s="2">
        <v>0</v>
      </c>
      <c r="AO185" s="2">
        <v>0</v>
      </c>
      <c r="AP185" s="2">
        <v>161</v>
      </c>
      <c r="AQ185" s="59">
        <f t="shared" si="108"/>
        <v>0.37398373983739835</v>
      </c>
      <c r="AR185" s="59">
        <f t="shared" si="126"/>
        <v>0.63863546211820699</v>
      </c>
    </row>
    <row r="186" spans="1:45" x14ac:dyDescent="0.25">
      <c r="A186" s="2">
        <v>178</v>
      </c>
      <c r="B186" s="2" t="s">
        <v>603</v>
      </c>
      <c r="C186" s="2" t="s">
        <v>608</v>
      </c>
      <c r="D186" s="2" t="s">
        <v>614</v>
      </c>
      <c r="E186" s="2" t="s">
        <v>489</v>
      </c>
      <c r="F186" s="2">
        <v>2408</v>
      </c>
      <c r="G186" s="342">
        <f t="shared" si="119"/>
        <v>4816</v>
      </c>
      <c r="H186" s="342">
        <v>2870</v>
      </c>
      <c r="I186" s="349">
        <f t="shared" si="130"/>
        <v>6910960</v>
      </c>
      <c r="J186" s="342">
        <v>150</v>
      </c>
      <c r="K186" s="365">
        <f t="shared" si="99"/>
        <v>2296</v>
      </c>
      <c r="L186" s="337">
        <f t="shared" si="127"/>
        <v>0.83902439024390241</v>
      </c>
      <c r="M186" s="337">
        <f t="shared" si="128"/>
        <v>1.6780487804878048</v>
      </c>
      <c r="N186" s="330">
        <f t="shared" si="131"/>
        <v>252100</v>
      </c>
      <c r="O186" s="282">
        <f t="shared" si="124"/>
        <v>430500</v>
      </c>
      <c r="P186" s="337">
        <f t="shared" si="122"/>
        <v>0.58559814169570268</v>
      </c>
      <c r="R186" s="2">
        <v>13.7</v>
      </c>
      <c r="S186" s="287">
        <f t="shared" si="120"/>
        <v>23.394882982943276</v>
      </c>
      <c r="T186" s="2">
        <v>29.5</v>
      </c>
      <c r="U186" s="2">
        <v>4</v>
      </c>
      <c r="V186" s="2">
        <v>3</v>
      </c>
      <c r="Y186" s="294">
        <f t="shared" si="132"/>
        <v>452.38934211693021</v>
      </c>
      <c r="Z186" s="58">
        <f>Y186/J186/K186</f>
        <v>1.3135579039399831E-3</v>
      </c>
      <c r="AA186" s="58">
        <v>500</v>
      </c>
      <c r="AB186" s="58">
        <f t="shared" si="129"/>
        <v>1.9864341085271318</v>
      </c>
      <c r="AC186" s="294">
        <f t="shared" si="134"/>
        <v>113.09733552923255</v>
      </c>
      <c r="AD186" s="2">
        <v>960</v>
      </c>
      <c r="AE186" s="2">
        <v>0</v>
      </c>
      <c r="AF186" s="2">
        <v>0</v>
      </c>
      <c r="AG186" s="2">
        <v>0</v>
      </c>
      <c r="AH186" s="2">
        <v>0</v>
      </c>
      <c r="AI186" s="2">
        <v>0</v>
      </c>
      <c r="AJ186" s="2">
        <v>0</v>
      </c>
      <c r="AK186" s="2">
        <v>0</v>
      </c>
      <c r="AL186" s="2">
        <v>0</v>
      </c>
      <c r="AM186" s="2">
        <v>0</v>
      </c>
      <c r="AN186" s="2">
        <v>0</v>
      </c>
      <c r="AO186" s="2">
        <v>0</v>
      </c>
      <c r="AP186" s="2">
        <v>180.3</v>
      </c>
      <c r="AQ186" s="59">
        <f t="shared" si="108"/>
        <v>0.41881533101045298</v>
      </c>
      <c r="AR186" s="59">
        <f t="shared" si="126"/>
        <v>0.71519238397461327</v>
      </c>
    </row>
    <row r="187" spans="1:45" x14ac:dyDescent="0.25">
      <c r="A187" s="2">
        <v>179</v>
      </c>
      <c r="B187" s="2" t="s">
        <v>603</v>
      </c>
      <c r="C187" s="2" t="s">
        <v>609</v>
      </c>
      <c r="D187" s="2" t="s">
        <v>615</v>
      </c>
      <c r="E187" s="2" t="s">
        <v>489</v>
      </c>
      <c r="F187" s="2">
        <v>2408</v>
      </c>
      <c r="G187" s="342">
        <f t="shared" si="119"/>
        <v>4816</v>
      </c>
      <c r="H187" s="342">
        <v>2870</v>
      </c>
      <c r="I187" s="349">
        <f t="shared" si="130"/>
        <v>6910960</v>
      </c>
      <c r="J187" s="342">
        <v>150</v>
      </c>
      <c r="K187" s="365">
        <f t="shared" si="99"/>
        <v>2296</v>
      </c>
      <c r="L187" s="337">
        <f t="shared" si="127"/>
        <v>0.83902439024390241</v>
      </c>
      <c r="M187" s="337">
        <f t="shared" si="128"/>
        <v>1.6780487804878048</v>
      </c>
      <c r="N187" s="330">
        <f t="shared" si="131"/>
        <v>252100</v>
      </c>
      <c r="O187" s="282">
        <f t="shared" si="124"/>
        <v>430500</v>
      </c>
      <c r="P187" s="337">
        <f t="shared" si="122"/>
        <v>0.58559814169570268</v>
      </c>
      <c r="R187" s="2">
        <v>14.4</v>
      </c>
      <c r="S187" s="287">
        <f t="shared" si="120"/>
        <v>24.590241967473226</v>
      </c>
      <c r="T187" s="2">
        <v>31.5</v>
      </c>
      <c r="U187" s="2">
        <v>4</v>
      </c>
      <c r="V187" s="2">
        <v>3</v>
      </c>
      <c r="Y187" s="294">
        <f t="shared" si="132"/>
        <v>452.38934211693021</v>
      </c>
      <c r="Z187" s="58">
        <f t="shared" si="133"/>
        <v>1.3135579039399831E-3</v>
      </c>
      <c r="AA187" s="58">
        <v>500</v>
      </c>
      <c r="AB187" s="58">
        <f t="shared" si="129"/>
        <v>1.9864341085271318</v>
      </c>
      <c r="AC187" s="294">
        <f t="shared" si="134"/>
        <v>113.09733552923255</v>
      </c>
      <c r="AD187" s="2">
        <v>960</v>
      </c>
      <c r="AE187" s="2">
        <v>0</v>
      </c>
      <c r="AF187" s="2">
        <v>0</v>
      </c>
      <c r="AG187" s="2">
        <v>0</v>
      </c>
      <c r="AH187" s="2">
        <v>0</v>
      </c>
      <c r="AI187" s="2">
        <v>0</v>
      </c>
      <c r="AJ187" s="2">
        <v>0</v>
      </c>
      <c r="AK187" s="2">
        <v>0</v>
      </c>
      <c r="AL187" s="2">
        <v>0</v>
      </c>
      <c r="AM187" s="2">
        <v>0</v>
      </c>
      <c r="AN187" s="2">
        <v>0</v>
      </c>
      <c r="AO187" s="2">
        <v>0</v>
      </c>
      <c r="AP187" s="2">
        <v>190.7</v>
      </c>
      <c r="AQ187" s="59">
        <f t="shared" si="108"/>
        <v>0.44297328687572585</v>
      </c>
      <c r="AR187" s="59">
        <f t="shared" si="126"/>
        <v>0.75644585481951609</v>
      </c>
    </row>
    <row r="188" spans="1:45" x14ac:dyDescent="0.25">
      <c r="A188" s="2">
        <v>180</v>
      </c>
      <c r="B188" s="2" t="s">
        <v>603</v>
      </c>
      <c r="C188" s="2" t="s">
        <v>610</v>
      </c>
      <c r="D188" s="2" t="s">
        <v>614</v>
      </c>
      <c r="E188" s="2" t="s">
        <v>489</v>
      </c>
      <c r="F188" s="2">
        <v>2408</v>
      </c>
      <c r="G188" s="342">
        <f t="shared" si="119"/>
        <v>4816</v>
      </c>
      <c r="H188" s="342">
        <v>2870</v>
      </c>
      <c r="I188" s="349">
        <f t="shared" si="130"/>
        <v>6910960</v>
      </c>
      <c r="J188" s="342">
        <v>150</v>
      </c>
      <c r="K188" s="365">
        <f t="shared" si="99"/>
        <v>2296</v>
      </c>
      <c r="L188" s="337">
        <f t="shared" si="127"/>
        <v>0.83902439024390241</v>
      </c>
      <c r="M188" s="337">
        <f t="shared" si="128"/>
        <v>1.6780487804878048</v>
      </c>
      <c r="N188" s="330">
        <f t="shared" si="131"/>
        <v>252100</v>
      </c>
      <c r="O188" s="282">
        <f t="shared" si="124"/>
        <v>430500</v>
      </c>
      <c r="P188" s="337">
        <f t="shared" si="122"/>
        <v>0.58559814169570268</v>
      </c>
      <c r="R188" s="2">
        <v>15.5</v>
      </c>
      <c r="S188" s="287">
        <f t="shared" si="120"/>
        <v>26.468663228877428</v>
      </c>
      <c r="T188" s="2">
        <v>34.799999999999997</v>
      </c>
      <c r="U188" s="2">
        <v>4</v>
      </c>
      <c r="V188" s="2">
        <v>3</v>
      </c>
      <c r="Y188" s="294">
        <f t="shared" si="132"/>
        <v>452.38934211693021</v>
      </c>
      <c r="Z188" s="58">
        <f t="shared" si="133"/>
        <v>1.3135579039399831E-3</v>
      </c>
      <c r="AA188" s="58">
        <v>500</v>
      </c>
      <c r="AB188" s="58">
        <f t="shared" si="129"/>
        <v>1.9864341085271318</v>
      </c>
      <c r="AC188" s="294">
        <f t="shared" si="134"/>
        <v>113.09733552923255</v>
      </c>
      <c r="AD188" s="2">
        <v>1140</v>
      </c>
      <c r="AE188" s="2">
        <v>0</v>
      </c>
      <c r="AF188" s="2">
        <v>0</v>
      </c>
      <c r="AG188" s="2">
        <v>0</v>
      </c>
      <c r="AH188" s="2">
        <v>0</v>
      </c>
      <c r="AI188" s="2">
        <v>0</v>
      </c>
      <c r="AJ188" s="2">
        <v>0</v>
      </c>
      <c r="AK188" s="2">
        <v>0</v>
      </c>
      <c r="AL188" s="2">
        <v>0</v>
      </c>
      <c r="AM188" s="2">
        <v>0</v>
      </c>
      <c r="AN188" s="2">
        <v>0</v>
      </c>
      <c r="AO188" s="2">
        <v>0</v>
      </c>
      <c r="AP188" s="2">
        <v>155.69999999999999</v>
      </c>
      <c r="AQ188" s="59">
        <f t="shared" si="108"/>
        <v>0.36167247386759577</v>
      </c>
      <c r="AR188" s="59">
        <f t="shared" si="126"/>
        <v>0.61761205870686231</v>
      </c>
    </row>
    <row r="189" spans="1:45" x14ac:dyDescent="0.25">
      <c r="A189" s="2">
        <v>181</v>
      </c>
      <c r="B189" s="2" t="s">
        <v>603</v>
      </c>
      <c r="C189" s="2" t="s">
        <v>611</v>
      </c>
      <c r="D189" s="2" t="s">
        <v>615</v>
      </c>
      <c r="E189" s="2" t="s">
        <v>489</v>
      </c>
      <c r="F189" s="2">
        <v>2408</v>
      </c>
      <c r="G189" s="342">
        <f t="shared" si="119"/>
        <v>4816</v>
      </c>
      <c r="H189" s="342">
        <v>2870</v>
      </c>
      <c r="I189" s="349">
        <f t="shared" si="130"/>
        <v>6910960</v>
      </c>
      <c r="J189" s="342">
        <v>150</v>
      </c>
      <c r="K189" s="365">
        <f t="shared" si="99"/>
        <v>2296</v>
      </c>
      <c r="L189" s="337">
        <f t="shared" si="127"/>
        <v>0.83902439024390241</v>
      </c>
      <c r="M189" s="337">
        <f t="shared" si="128"/>
        <v>1.6780487804878048</v>
      </c>
      <c r="N189" s="330">
        <f t="shared" si="131"/>
        <v>252100</v>
      </c>
      <c r="O189" s="282">
        <f t="shared" si="124"/>
        <v>430500</v>
      </c>
      <c r="P189" s="337">
        <f t="shared" si="122"/>
        <v>0.58559814169570268</v>
      </c>
      <c r="R189" s="2">
        <v>15.7</v>
      </c>
      <c r="S189" s="287">
        <f t="shared" si="120"/>
        <v>26.810194367314555</v>
      </c>
      <c r="T189" s="2">
        <v>39.700000000000003</v>
      </c>
      <c r="U189" s="2">
        <v>4</v>
      </c>
      <c r="V189" s="2">
        <v>3</v>
      </c>
      <c r="Y189" s="294">
        <f t="shared" si="132"/>
        <v>452.38934211693021</v>
      </c>
      <c r="Z189" s="58">
        <f t="shared" si="133"/>
        <v>1.3135579039399831E-3</v>
      </c>
      <c r="AA189" s="58">
        <v>500</v>
      </c>
      <c r="AB189" s="58">
        <f t="shared" si="129"/>
        <v>1.9864341085271318</v>
      </c>
      <c r="AC189" s="294">
        <f t="shared" si="134"/>
        <v>113.09733552923255</v>
      </c>
      <c r="AD189" s="2">
        <v>1140</v>
      </c>
      <c r="AE189" s="2">
        <v>0</v>
      </c>
      <c r="AF189" s="2">
        <v>0</v>
      </c>
      <c r="AG189" s="2">
        <v>0</v>
      </c>
      <c r="AH189" s="2">
        <v>0</v>
      </c>
      <c r="AI189" s="2">
        <v>0</v>
      </c>
      <c r="AJ189" s="2">
        <v>0</v>
      </c>
      <c r="AK189" s="2">
        <v>0</v>
      </c>
      <c r="AL189" s="2">
        <v>0</v>
      </c>
      <c r="AM189" s="2">
        <v>0</v>
      </c>
      <c r="AN189" s="2">
        <v>0</v>
      </c>
      <c r="AO189" s="2">
        <v>0</v>
      </c>
      <c r="AP189" s="2">
        <v>191</v>
      </c>
      <c r="AQ189" s="59">
        <f t="shared" si="108"/>
        <v>0.44367015098722412</v>
      </c>
      <c r="AR189" s="59">
        <f t="shared" si="126"/>
        <v>0.75763585878619588</v>
      </c>
    </row>
    <row r="190" spans="1:45" x14ac:dyDescent="0.25">
      <c r="A190" s="2">
        <v>182</v>
      </c>
      <c r="B190" s="2" t="s">
        <v>603</v>
      </c>
      <c r="C190" s="2" t="s">
        <v>612</v>
      </c>
      <c r="D190" s="2" t="s">
        <v>614</v>
      </c>
      <c r="E190" s="2" t="s">
        <v>489</v>
      </c>
      <c r="F190" s="2">
        <v>2408</v>
      </c>
      <c r="G190" s="342">
        <f t="shared" si="119"/>
        <v>4816</v>
      </c>
      <c r="H190" s="342">
        <v>2870</v>
      </c>
      <c r="I190" s="349">
        <f t="shared" si="130"/>
        <v>6910960</v>
      </c>
      <c r="J190" s="342">
        <v>150</v>
      </c>
      <c r="K190" s="365">
        <f t="shared" si="99"/>
        <v>2296</v>
      </c>
      <c r="L190" s="337">
        <f t="shared" si="127"/>
        <v>0.83902439024390241</v>
      </c>
      <c r="M190" s="337">
        <f t="shared" si="128"/>
        <v>1.6780487804878048</v>
      </c>
      <c r="N190" s="330">
        <f t="shared" si="131"/>
        <v>252100</v>
      </c>
      <c r="O190" s="282">
        <f t="shared" si="124"/>
        <v>430500</v>
      </c>
      <c r="P190" s="337">
        <f t="shared" si="122"/>
        <v>0.58559814169570268</v>
      </c>
      <c r="R190" s="2">
        <v>18.399999999999999</v>
      </c>
      <c r="S190" s="287">
        <f t="shared" si="120"/>
        <v>31.420864736215783</v>
      </c>
      <c r="T190" s="2">
        <v>36.5</v>
      </c>
      <c r="U190" s="2">
        <v>4</v>
      </c>
      <c r="V190" s="2">
        <v>3</v>
      </c>
      <c r="Y190" s="294">
        <f t="shared" si="132"/>
        <v>452.38934211693021</v>
      </c>
      <c r="Z190" s="58">
        <f t="shared" si="133"/>
        <v>1.3135579039399831E-3</v>
      </c>
      <c r="AA190" s="58">
        <v>500</v>
      </c>
      <c r="AB190" s="58">
        <f t="shared" si="129"/>
        <v>1.9864341085271318</v>
      </c>
      <c r="AC190" s="294">
        <f t="shared" si="134"/>
        <v>113.09733552923255</v>
      </c>
      <c r="AD190" s="2">
        <v>2000</v>
      </c>
      <c r="AE190" s="2">
        <v>0</v>
      </c>
      <c r="AF190" s="2">
        <v>0</v>
      </c>
      <c r="AG190" s="2">
        <v>0</v>
      </c>
      <c r="AH190" s="2">
        <v>0</v>
      </c>
      <c r="AI190" s="2">
        <v>0</v>
      </c>
      <c r="AJ190" s="2">
        <v>0</v>
      </c>
      <c r="AK190" s="2">
        <v>0</v>
      </c>
      <c r="AL190" s="2">
        <v>0</v>
      </c>
      <c r="AM190" s="2">
        <v>0</v>
      </c>
      <c r="AN190" s="2">
        <v>0</v>
      </c>
      <c r="AO190" s="2">
        <v>0</v>
      </c>
      <c r="AP190" s="2">
        <v>129.19999999999999</v>
      </c>
      <c r="AQ190" s="59">
        <f t="shared" si="108"/>
        <v>0.30011614401858305</v>
      </c>
      <c r="AR190" s="59">
        <f t="shared" si="126"/>
        <v>0.51249504165013882</v>
      </c>
    </row>
    <row r="191" spans="1:45" s="296" customFormat="1" x14ac:dyDescent="0.25">
      <c r="A191" s="296">
        <v>183</v>
      </c>
      <c r="B191" s="296" t="s">
        <v>603</v>
      </c>
      <c r="C191" s="296" t="s">
        <v>613</v>
      </c>
      <c r="D191" s="296" t="s">
        <v>615</v>
      </c>
      <c r="E191" s="296" t="s">
        <v>489</v>
      </c>
      <c r="F191" s="296">
        <v>2408</v>
      </c>
      <c r="G191" s="296">
        <f t="shared" si="119"/>
        <v>4816</v>
      </c>
      <c r="H191" s="296">
        <v>2870</v>
      </c>
      <c r="I191" s="304">
        <f t="shared" si="130"/>
        <v>6910960</v>
      </c>
      <c r="J191" s="296">
        <v>150</v>
      </c>
      <c r="K191" s="302">
        <f t="shared" si="99"/>
        <v>2296</v>
      </c>
      <c r="L191" s="300">
        <f t="shared" si="127"/>
        <v>0.83902439024390241</v>
      </c>
      <c r="M191" s="300">
        <f t="shared" si="128"/>
        <v>1.6780487804878048</v>
      </c>
      <c r="N191" s="298">
        <f t="shared" si="131"/>
        <v>252100</v>
      </c>
      <c r="O191" s="304">
        <f t="shared" si="124"/>
        <v>430500</v>
      </c>
      <c r="P191" s="300">
        <f t="shared" si="122"/>
        <v>0.58559814169570268</v>
      </c>
      <c r="R191" s="296">
        <v>18.100000000000001</v>
      </c>
      <c r="S191" s="302">
        <f t="shared" si="120"/>
        <v>30.908568028560097</v>
      </c>
      <c r="T191" s="296">
        <v>34.700000000000003</v>
      </c>
      <c r="U191" s="296">
        <v>4</v>
      </c>
      <c r="V191" s="296">
        <v>3</v>
      </c>
      <c r="W191" s="391"/>
      <c r="X191" s="391"/>
      <c r="Y191" s="301">
        <f t="shared" si="132"/>
        <v>452.38934211693021</v>
      </c>
      <c r="Z191" s="298">
        <f t="shared" si="133"/>
        <v>1.3135579039399831E-3</v>
      </c>
      <c r="AA191" s="298">
        <v>500</v>
      </c>
      <c r="AB191" s="298">
        <f t="shared" si="129"/>
        <v>1.9864341085271318</v>
      </c>
      <c r="AC191" s="301">
        <f t="shared" si="134"/>
        <v>113.09733552923255</v>
      </c>
      <c r="AD191" s="296">
        <v>2000</v>
      </c>
      <c r="AE191" s="296">
        <v>0</v>
      </c>
      <c r="AF191" s="296">
        <v>0</v>
      </c>
      <c r="AG191" s="296">
        <v>0</v>
      </c>
      <c r="AH191" s="296">
        <v>0</v>
      </c>
      <c r="AI191" s="296">
        <v>0</v>
      </c>
      <c r="AJ191" s="296">
        <v>0</v>
      </c>
      <c r="AK191" s="296">
        <v>0</v>
      </c>
      <c r="AL191" s="296">
        <v>0</v>
      </c>
      <c r="AM191" s="296">
        <v>0</v>
      </c>
      <c r="AN191" s="296">
        <v>0</v>
      </c>
      <c r="AO191" s="296">
        <v>0</v>
      </c>
      <c r="AP191" s="296">
        <v>153.1</v>
      </c>
      <c r="AQ191" s="300">
        <f t="shared" si="108"/>
        <v>0.35563298490127754</v>
      </c>
      <c r="AR191" s="368">
        <f t="shared" si="126"/>
        <v>0.6072986909956366</v>
      </c>
      <c r="AS191" s="361"/>
    </row>
    <row r="192" spans="1:45" x14ac:dyDescent="0.25">
      <c r="A192" s="2">
        <v>184</v>
      </c>
    </row>
    <row r="193" spans="1:1" x14ac:dyDescent="0.25">
      <c r="A193" s="2">
        <v>185</v>
      </c>
    </row>
    <row r="194" spans="1:1" x14ac:dyDescent="0.25">
      <c r="A194" s="2">
        <v>186</v>
      </c>
    </row>
    <row r="195" spans="1:1" x14ac:dyDescent="0.25">
      <c r="A195" s="2">
        <v>187</v>
      </c>
    </row>
    <row r="196" spans="1:1" x14ac:dyDescent="0.25">
      <c r="A196" s="2">
        <v>188</v>
      </c>
    </row>
    <row r="197" spans="1:1" x14ac:dyDescent="0.25">
      <c r="A197" s="2">
        <v>189</v>
      </c>
    </row>
    <row r="198" spans="1:1" x14ac:dyDescent="0.25">
      <c r="A198" s="2">
        <v>190</v>
      </c>
    </row>
    <row r="199" spans="1:1" x14ac:dyDescent="0.25">
      <c r="A199" s="2">
        <v>191</v>
      </c>
    </row>
    <row r="200" spans="1:1" x14ac:dyDescent="0.25">
      <c r="A200" s="2">
        <v>192</v>
      </c>
    </row>
    <row r="201" spans="1:1" x14ac:dyDescent="0.25">
      <c r="A201" s="2">
        <v>193</v>
      </c>
    </row>
    <row r="202" spans="1:1" x14ac:dyDescent="0.25">
      <c r="A202" s="2">
        <v>194</v>
      </c>
    </row>
    <row r="203" spans="1:1" x14ac:dyDescent="0.25">
      <c r="A203" s="2">
        <v>195</v>
      </c>
    </row>
    <row r="204" spans="1:1" x14ac:dyDescent="0.25">
      <c r="A204" s="2">
        <v>196</v>
      </c>
    </row>
    <row r="205" spans="1:1" x14ac:dyDescent="0.25">
      <c r="A205" s="2">
        <v>197</v>
      </c>
    </row>
    <row r="206" spans="1:1" x14ac:dyDescent="0.25">
      <c r="A206" s="2">
        <v>198</v>
      </c>
    </row>
    <row r="207" spans="1:1" x14ac:dyDescent="0.25">
      <c r="A207" s="2">
        <v>199</v>
      </c>
    </row>
    <row r="208" spans="1:1" x14ac:dyDescent="0.25">
      <c r="A208" s="2">
        <v>200</v>
      </c>
    </row>
    <row r="209" spans="1:1" x14ac:dyDescent="0.25">
      <c r="A209" s="2">
        <v>201</v>
      </c>
    </row>
    <row r="210" spans="1:1" x14ac:dyDescent="0.25">
      <c r="A210" s="2">
        <v>202</v>
      </c>
    </row>
    <row r="211" spans="1:1" x14ac:dyDescent="0.25">
      <c r="A211" s="2">
        <v>203</v>
      </c>
    </row>
    <row r="212" spans="1:1" x14ac:dyDescent="0.25">
      <c r="A212" s="2">
        <v>204</v>
      </c>
    </row>
    <row r="213" spans="1:1" x14ac:dyDescent="0.25">
      <c r="A213" s="2">
        <v>205</v>
      </c>
    </row>
    <row r="214" spans="1:1" x14ac:dyDescent="0.25">
      <c r="A214" s="2">
        <v>206</v>
      </c>
    </row>
    <row r="215" spans="1:1" x14ac:dyDescent="0.25">
      <c r="A215" s="2">
        <v>207</v>
      </c>
    </row>
    <row r="216" spans="1:1" x14ac:dyDescent="0.25">
      <c r="A216" s="2">
        <v>208</v>
      </c>
    </row>
    <row r="217" spans="1:1" x14ac:dyDescent="0.25">
      <c r="A217" s="2">
        <v>209</v>
      </c>
    </row>
    <row r="218" spans="1:1" x14ac:dyDescent="0.25">
      <c r="A218" s="2">
        <v>210</v>
      </c>
    </row>
    <row r="219" spans="1:1" x14ac:dyDescent="0.25">
      <c r="A219" s="2">
        <v>211</v>
      </c>
    </row>
    <row r="220" spans="1:1" x14ac:dyDescent="0.25">
      <c r="A220" s="2">
        <v>212</v>
      </c>
    </row>
    <row r="221" spans="1:1" x14ac:dyDescent="0.25">
      <c r="A221" s="2">
        <v>213</v>
      </c>
    </row>
    <row r="222" spans="1:1" x14ac:dyDescent="0.25">
      <c r="A222" s="2">
        <v>214</v>
      </c>
    </row>
    <row r="223" spans="1:1" x14ac:dyDescent="0.25">
      <c r="A223" s="2">
        <v>215</v>
      </c>
    </row>
    <row r="224" spans="1:1" x14ac:dyDescent="0.25">
      <c r="A224" s="2">
        <v>216</v>
      </c>
    </row>
    <row r="225" spans="1:1" x14ac:dyDescent="0.25">
      <c r="A225" s="2">
        <v>217</v>
      </c>
    </row>
    <row r="226" spans="1:1" x14ac:dyDescent="0.25">
      <c r="A226" s="2">
        <v>218</v>
      </c>
    </row>
    <row r="227" spans="1:1" x14ac:dyDescent="0.25">
      <c r="A227" s="2">
        <v>219</v>
      </c>
    </row>
    <row r="228" spans="1:1" x14ac:dyDescent="0.25">
      <c r="A228" s="2">
        <v>220</v>
      </c>
    </row>
    <row r="229" spans="1:1" x14ac:dyDescent="0.25">
      <c r="A229" s="2">
        <v>221</v>
      </c>
    </row>
    <row r="230" spans="1:1" x14ac:dyDescent="0.25">
      <c r="A230" s="2">
        <v>222</v>
      </c>
    </row>
    <row r="231" spans="1:1" x14ac:dyDescent="0.25">
      <c r="A231" s="2">
        <v>223</v>
      </c>
    </row>
    <row r="232" spans="1:1" x14ac:dyDescent="0.25">
      <c r="A232" s="2">
        <v>224</v>
      </c>
    </row>
    <row r="233" spans="1:1" x14ac:dyDescent="0.25">
      <c r="A233" s="2">
        <v>225</v>
      </c>
    </row>
    <row r="234" spans="1:1" x14ac:dyDescent="0.25">
      <c r="A234" s="2">
        <v>226</v>
      </c>
    </row>
    <row r="235" spans="1:1" x14ac:dyDescent="0.25">
      <c r="A235" s="2">
        <v>227</v>
      </c>
    </row>
    <row r="236" spans="1:1" x14ac:dyDescent="0.25">
      <c r="A236" s="2">
        <v>228</v>
      </c>
    </row>
    <row r="237" spans="1:1" x14ac:dyDescent="0.25">
      <c r="A237" s="2">
        <v>229</v>
      </c>
    </row>
    <row r="238" spans="1:1" x14ac:dyDescent="0.25">
      <c r="A238" s="2">
        <v>230</v>
      </c>
    </row>
    <row r="239" spans="1:1" x14ac:dyDescent="0.25">
      <c r="A239" s="2">
        <v>231</v>
      </c>
    </row>
    <row r="240" spans="1:1" x14ac:dyDescent="0.25">
      <c r="A240" s="2">
        <v>232</v>
      </c>
    </row>
    <row r="241" spans="1:1" x14ac:dyDescent="0.25">
      <c r="A241" s="2">
        <v>233</v>
      </c>
    </row>
    <row r="242" spans="1:1" x14ac:dyDescent="0.25">
      <c r="A242" s="2">
        <v>234</v>
      </c>
    </row>
    <row r="243" spans="1:1" x14ac:dyDescent="0.25">
      <c r="A243" s="2">
        <v>235</v>
      </c>
    </row>
    <row r="244" spans="1:1" x14ac:dyDescent="0.25">
      <c r="A244" s="2">
        <v>236</v>
      </c>
    </row>
    <row r="245" spans="1:1" x14ac:dyDescent="0.25">
      <c r="A245" s="2">
        <v>237</v>
      </c>
    </row>
    <row r="246" spans="1:1" x14ac:dyDescent="0.25">
      <c r="A246" s="2">
        <v>238</v>
      </c>
    </row>
    <row r="247" spans="1:1" x14ac:dyDescent="0.25">
      <c r="A247" s="2">
        <v>239</v>
      </c>
    </row>
    <row r="248" spans="1:1" x14ac:dyDescent="0.25">
      <c r="A248" s="2">
        <v>240</v>
      </c>
    </row>
  </sheetData>
  <autoFilter ref="A8:AR8" xr:uid="{00000000-0009-0000-0000-000003000000}"/>
  <mergeCells count="8">
    <mergeCell ref="AS7:AU7"/>
    <mergeCell ref="AP7:AR7"/>
    <mergeCell ref="Y7:AD7"/>
    <mergeCell ref="F7:M7"/>
    <mergeCell ref="N7:P7"/>
    <mergeCell ref="AM7:AO7"/>
    <mergeCell ref="Q7:V7"/>
    <mergeCell ref="AE7:AL7"/>
  </mergeCells>
  <conditionalFormatting sqref="A9:XFD130 A131:AF177 A178:AE181 AH131:XFD181 A182:XFD2000">
    <cfRule type="expression" dxfId="84" priority="115">
      <formula>MOD(ROW(),2)=1</formula>
    </cfRule>
  </conditionalFormatting>
  <conditionalFormatting sqref="AI122">
    <cfRule type="expression" dxfId="83" priority="103">
      <formula>MOD(ROW(),2)=1</formula>
    </cfRule>
  </conditionalFormatting>
  <conditionalFormatting sqref="N122">
    <cfRule type="expression" dxfId="82" priority="102">
      <formula>MOD(ROW(),2)=1</formula>
    </cfRule>
  </conditionalFormatting>
  <conditionalFormatting sqref="AK167:AK171">
    <cfRule type="expression" dxfId="81" priority="67">
      <formula>MOD(ROW(),2)=1</formula>
    </cfRule>
  </conditionalFormatting>
  <conditionalFormatting sqref="E160:E170">
    <cfRule type="expression" dxfId="80" priority="101">
      <formula>MOD(ROW(),2)=1</formula>
    </cfRule>
  </conditionalFormatting>
  <conditionalFormatting sqref="B167:B171">
    <cfRule type="expression" dxfId="79" priority="100">
      <formula>MOD(ROW(),2)=1</formula>
    </cfRule>
  </conditionalFormatting>
  <conditionalFormatting sqref="E171">
    <cfRule type="expression" dxfId="78" priority="99">
      <formula>MOD(ROW(),2)=1</formula>
    </cfRule>
  </conditionalFormatting>
  <conditionalFormatting sqref="AK165">
    <cfRule type="expression" dxfId="77" priority="98">
      <formula>MOD(ROW(),2)=1</formula>
    </cfRule>
  </conditionalFormatting>
  <conditionalFormatting sqref="I160:I171">
    <cfRule type="expression" dxfId="76" priority="96">
      <formula>MOD(ROW(),2)=1</formula>
    </cfRule>
  </conditionalFormatting>
  <conditionalFormatting sqref="N160:N165">
    <cfRule type="expression" dxfId="75" priority="95">
      <formula>MOD(ROW(),2)=1</formula>
    </cfRule>
  </conditionalFormatting>
  <conditionalFormatting sqref="P160:P165">
    <cfRule type="expression" dxfId="74" priority="94">
      <formula>MOD(ROW(),2)=1</formula>
    </cfRule>
  </conditionalFormatting>
  <conditionalFormatting sqref="T161:X165">
    <cfRule type="expression" dxfId="73" priority="93">
      <formula>MOD(ROW(),2)=1</formula>
    </cfRule>
  </conditionalFormatting>
  <conditionalFormatting sqref="S160:S165">
    <cfRule type="expression" dxfId="72" priority="92">
      <formula>MOD(ROW(),2)=1</formula>
    </cfRule>
  </conditionalFormatting>
  <conditionalFormatting sqref="Y161:Y165">
    <cfRule type="expression" dxfId="71" priority="91">
      <formula>MOD(ROW(),2)=1</formula>
    </cfRule>
  </conditionalFormatting>
  <conditionalFormatting sqref="AC161:AC165">
    <cfRule type="expression" dxfId="70" priority="90">
      <formula>MOD(ROW(),2)=1</formula>
    </cfRule>
  </conditionalFormatting>
  <conditionalFormatting sqref="AA160:AB165">
    <cfRule type="expression" dxfId="69" priority="89">
      <formula>MOD(ROW(),2)=1</formula>
    </cfRule>
  </conditionalFormatting>
  <conditionalFormatting sqref="AQ160:AR165">
    <cfRule type="expression" dxfId="68" priority="87">
      <formula>MOD(ROW(),2)=1</formula>
    </cfRule>
  </conditionalFormatting>
  <conditionalFormatting sqref="AH161:AH164">
    <cfRule type="expression" dxfId="67" priority="86">
      <formula>MOD(ROW(),2)=1</formula>
    </cfRule>
  </conditionalFormatting>
  <conditionalFormatting sqref="AH165">
    <cfRule type="expression" dxfId="66" priority="85">
      <formula>MOD(ROW(),2)=1</formula>
    </cfRule>
  </conditionalFormatting>
  <conditionalFormatting sqref="AI160:AI165">
    <cfRule type="expression" dxfId="65" priority="84">
      <formula>MOD(ROW(),2)=1</formula>
    </cfRule>
  </conditionalFormatting>
  <conditionalFormatting sqref="AI166:AI171">
    <cfRule type="expression" dxfId="64" priority="82">
      <formula>MOD(ROW(),2)=1</formula>
    </cfRule>
  </conditionalFormatting>
  <conditionalFormatting sqref="AJ160:AJ165">
    <cfRule type="expression" dxfId="63" priority="81">
      <formula>MOD(ROW(),2)=1</formula>
    </cfRule>
  </conditionalFormatting>
  <conditionalFormatting sqref="AM160:AM165">
    <cfRule type="expression" dxfId="62" priority="80">
      <formula>MOD(ROW(),2)=1</formula>
    </cfRule>
  </conditionalFormatting>
  <conditionalFormatting sqref="Y166 AC166:AF166 AD167:AF171">
    <cfRule type="expression" dxfId="61" priority="79">
      <formula>MOD(ROW(),2)=1</formula>
    </cfRule>
  </conditionalFormatting>
  <conditionalFormatting sqref="Y167:Y171">
    <cfRule type="expression" dxfId="60" priority="78">
      <formula>MOD(ROW(),2)=1</formula>
    </cfRule>
  </conditionalFormatting>
  <conditionalFormatting sqref="AC167:AC171">
    <cfRule type="expression" dxfId="59" priority="77">
      <formula>MOD(ROW(),2)=1</formula>
    </cfRule>
  </conditionalFormatting>
  <conditionalFormatting sqref="AA166:AB171">
    <cfRule type="expression" dxfId="58" priority="76">
      <formula>MOD(ROW(),2)=1</formula>
    </cfRule>
  </conditionalFormatting>
  <conditionalFormatting sqref="AJ166:AJ171">
    <cfRule type="expression" dxfId="57" priority="75">
      <formula>MOD(ROW(),2)=1</formula>
    </cfRule>
  </conditionalFormatting>
  <conditionalFormatting sqref="AH166:AH171">
    <cfRule type="expression" dxfId="56" priority="74">
      <formula>MOD(ROW(),2)=1</formula>
    </cfRule>
  </conditionalFormatting>
  <conditionalFormatting sqref="AK166">
    <cfRule type="expression" dxfId="55" priority="68">
      <formula>MOD(ROW(),2)=1</formula>
    </cfRule>
  </conditionalFormatting>
  <conditionalFormatting sqref="I172">
    <cfRule type="expression" dxfId="54" priority="66">
      <formula>MOD(ROW(),2)=1</formula>
    </cfRule>
  </conditionalFormatting>
  <conditionalFormatting sqref="I173">
    <cfRule type="expression" dxfId="53" priority="65">
      <formula>MOD(ROW(),2)=1</formula>
    </cfRule>
  </conditionalFormatting>
  <conditionalFormatting sqref="AM172">
    <cfRule type="expression" dxfId="52" priority="64">
      <formula>MOD(ROW(),2)=1</formula>
    </cfRule>
  </conditionalFormatting>
  <conditionalFormatting sqref="AO172:AO173">
    <cfRule type="expression" dxfId="51" priority="63">
      <formula>MOD(ROW(),2)=1</formula>
    </cfRule>
  </conditionalFormatting>
  <conditionalFormatting sqref="N172:P173">
    <cfRule type="expression" dxfId="50" priority="62">
      <formula>MOD(ROW(),2)=1</formula>
    </cfRule>
  </conditionalFormatting>
  <conditionalFormatting sqref="AB172:AB173">
    <cfRule type="expression" dxfId="49" priority="59">
      <formula>MOD(ROW(),2)=1</formula>
    </cfRule>
  </conditionalFormatting>
  <conditionalFormatting sqref="AI172:AI173">
    <cfRule type="expression" dxfId="48" priority="58">
      <formula>MOD(ROW(),2)=1</formula>
    </cfRule>
  </conditionalFormatting>
  <conditionalFormatting sqref="AK172:AK173">
    <cfRule type="expression" dxfId="47" priority="57">
      <formula>MOD(ROW(),2)=1</formula>
    </cfRule>
  </conditionalFormatting>
  <conditionalFormatting sqref="AH172:AH173">
    <cfRule type="expression" dxfId="46" priority="53">
      <formula>MOD(ROW(),2)=1</formula>
    </cfRule>
  </conditionalFormatting>
  <conditionalFormatting sqref="AD172:AF173">
    <cfRule type="expression" dxfId="45" priority="52">
      <formula>MOD(ROW(),2)=1</formula>
    </cfRule>
  </conditionalFormatting>
  <conditionalFormatting sqref="AJ172:AJ173">
    <cfRule type="expression" dxfId="44" priority="50">
      <formula>MOD(ROW(),2)=1</formula>
    </cfRule>
  </conditionalFormatting>
  <conditionalFormatting sqref="I174:I177">
    <cfRule type="expression" dxfId="43" priority="49">
      <formula>MOD(ROW(),2)=1</formula>
    </cfRule>
  </conditionalFormatting>
  <conditionalFormatting sqref="P174:P177">
    <cfRule type="expression" dxfId="42" priority="48">
      <formula>MOD(ROW(),2)=1</formula>
    </cfRule>
  </conditionalFormatting>
  <conditionalFormatting sqref="AB174:AB177">
    <cfRule type="expression" dxfId="41" priority="46">
      <formula>MOD(ROW(),2)=1</formula>
    </cfRule>
  </conditionalFormatting>
  <conditionalFormatting sqref="AH174:AH177">
    <cfRule type="expression" dxfId="40" priority="43">
      <formula>MOD(ROW(),2)=1</formula>
    </cfRule>
  </conditionalFormatting>
  <conditionalFormatting sqref="AJ174:AJ177">
    <cfRule type="expression" dxfId="39" priority="44">
      <formula>MOD(ROW(),2)=1</formula>
    </cfRule>
  </conditionalFormatting>
  <conditionalFormatting sqref="AN174:AN177">
    <cfRule type="expression" dxfId="38" priority="41">
      <formula>MOD(ROW(),2)=1</formula>
    </cfRule>
  </conditionalFormatting>
  <conditionalFormatting sqref="I178:I181">
    <cfRule type="expression" dxfId="37" priority="40">
      <formula>MOD(ROW(),2)=1</formula>
    </cfRule>
  </conditionalFormatting>
  <conditionalFormatting sqref="N178:O181">
    <cfRule type="expression" dxfId="36" priority="39">
      <formula>MOD(ROW(),2)=1</formula>
    </cfRule>
  </conditionalFormatting>
  <conditionalFormatting sqref="P178:P181">
    <cfRule type="expression" dxfId="35" priority="38">
      <formula>MOD(ROW(),2)=1</formula>
    </cfRule>
  </conditionalFormatting>
  <conditionalFormatting sqref="AB178:AB181">
    <cfRule type="expression" dxfId="34" priority="36">
      <formula>MOD(ROW(),2)=1</formula>
    </cfRule>
  </conditionalFormatting>
  <conditionalFormatting sqref="AH178:AH181">
    <cfRule type="expression" dxfId="33" priority="35">
      <formula>MOD(ROW(),2)=1</formula>
    </cfRule>
  </conditionalFormatting>
  <conditionalFormatting sqref="AJ178:AJ181">
    <cfRule type="expression" dxfId="32" priority="34">
      <formula>MOD(ROW(),2)=1</formula>
    </cfRule>
  </conditionalFormatting>
  <conditionalFormatting sqref="I182:I191">
    <cfRule type="expression" dxfId="31" priority="33">
      <formula>MOD(ROW(),2)=1</formula>
    </cfRule>
  </conditionalFormatting>
  <conditionalFormatting sqref="AB182:AB183">
    <cfRule type="expression" dxfId="30" priority="32">
      <formula>MOD(ROW(),2)=1</formula>
    </cfRule>
  </conditionalFormatting>
  <conditionalFormatting sqref="O182">
    <cfRule type="expression" dxfId="29" priority="30">
      <formula>MOD(ROW(),2)=1</formula>
    </cfRule>
  </conditionalFormatting>
  <conditionalFormatting sqref="P182">
    <cfRule type="expression" dxfId="28" priority="29">
      <formula>MOD(ROW(),2)=1</formula>
    </cfRule>
  </conditionalFormatting>
  <conditionalFormatting sqref="O183">
    <cfRule type="expression" dxfId="27" priority="28">
      <formula>MOD(ROW(),2)=1</formula>
    </cfRule>
  </conditionalFormatting>
  <conditionalFormatting sqref="P183">
    <cfRule type="expression" dxfId="26" priority="27">
      <formula>MOD(ROW(),2)=1</formula>
    </cfRule>
  </conditionalFormatting>
  <conditionalFormatting sqref="K152:K191">
    <cfRule type="expression" dxfId="25" priority="26">
      <formula>MOD(ROW(),2)=1</formula>
    </cfRule>
  </conditionalFormatting>
  <conditionalFormatting sqref="L9:L191">
    <cfRule type="expression" dxfId="24" priority="25">
      <formula>MOD(ROW(),2)=1</formula>
    </cfRule>
  </conditionalFormatting>
  <conditionalFormatting sqref="AB184:AB191">
    <cfRule type="expression" dxfId="23" priority="22">
      <formula>MOD(ROW(),2)=1</formula>
    </cfRule>
  </conditionalFormatting>
  <conditionalFormatting sqref="O184:O191">
    <cfRule type="expression" dxfId="22" priority="24">
      <formula>MOD(ROW(),2)=1</formula>
    </cfRule>
  </conditionalFormatting>
  <conditionalFormatting sqref="P184:P191">
    <cfRule type="expression" dxfId="21" priority="23">
      <formula>MOD(ROW(),2)=1</formula>
    </cfRule>
  </conditionalFormatting>
  <conditionalFormatting sqref="AG131:AG139">
    <cfRule type="expression" dxfId="20" priority="21">
      <formula>MOD(ROW(),2)=1</formula>
    </cfRule>
  </conditionalFormatting>
  <conditionalFormatting sqref="AG140">
    <cfRule type="expression" dxfId="19" priority="20">
      <formula>MOD(ROW(),2)=1</formula>
    </cfRule>
  </conditionalFormatting>
  <conditionalFormatting sqref="AG141:AG144">
    <cfRule type="expression" dxfId="18" priority="19">
      <formula>MOD(ROW(),2)=1</formula>
    </cfRule>
  </conditionalFormatting>
  <conditionalFormatting sqref="AG145">
    <cfRule type="expression" dxfId="17" priority="18">
      <formula>MOD(ROW(),2)=1</formula>
    </cfRule>
  </conditionalFormatting>
  <conditionalFormatting sqref="AG147:AG150">
    <cfRule type="expression" dxfId="16" priority="17">
      <formula>MOD(ROW(),2)=1</formula>
    </cfRule>
  </conditionalFormatting>
  <conditionalFormatting sqref="AG151">
    <cfRule type="expression" dxfId="15" priority="16">
      <formula>MOD(ROW(),2)=1</formula>
    </cfRule>
  </conditionalFormatting>
  <conditionalFormatting sqref="AG146">
    <cfRule type="expression" dxfId="14" priority="15">
      <formula>MOD(ROW(),2)=1</formula>
    </cfRule>
  </conditionalFormatting>
  <conditionalFormatting sqref="AG152:AG158">
    <cfRule type="expression" dxfId="13" priority="14">
      <formula>MOD(ROW(),2)=1</formula>
    </cfRule>
  </conditionalFormatting>
  <conditionalFormatting sqref="AG159">
    <cfRule type="expression" dxfId="12" priority="13">
      <formula>MOD(ROW(),2)=1</formula>
    </cfRule>
  </conditionalFormatting>
  <conditionalFormatting sqref="AE164:AE165">
    <cfRule type="expression" dxfId="11" priority="12">
      <formula>MOD(ROW(),2)=1</formula>
    </cfRule>
  </conditionalFormatting>
  <conditionalFormatting sqref="AG160:AG164">
    <cfRule type="expression" dxfId="10" priority="11">
      <formula>MOD(ROW(),2)=1</formula>
    </cfRule>
  </conditionalFormatting>
  <conditionalFormatting sqref="AG165">
    <cfRule type="expression" dxfId="9" priority="10">
      <formula>MOD(ROW(),2)=1</formula>
    </cfRule>
  </conditionalFormatting>
  <conditionalFormatting sqref="AG166:AG170">
    <cfRule type="expression" dxfId="8" priority="9">
      <formula>MOD(ROW(),2)=1</formula>
    </cfRule>
  </conditionalFormatting>
  <conditionalFormatting sqref="AG171">
    <cfRule type="expression" dxfId="7" priority="8">
      <formula>MOD(ROW(),2)=1</formula>
    </cfRule>
  </conditionalFormatting>
  <conditionalFormatting sqref="AG172">
    <cfRule type="expression" dxfId="6" priority="7">
      <formula>MOD(ROW(),2)=1</formula>
    </cfRule>
  </conditionalFormatting>
  <conditionalFormatting sqref="AG173">
    <cfRule type="expression" dxfId="5" priority="6">
      <formula>MOD(ROW(),2)=1</formula>
    </cfRule>
  </conditionalFormatting>
  <conditionalFormatting sqref="AG174:AG176">
    <cfRule type="expression" dxfId="4" priority="5">
      <formula>MOD(ROW(),2)=1</formula>
    </cfRule>
  </conditionalFormatting>
  <conditionalFormatting sqref="AG177">
    <cfRule type="expression" dxfId="3" priority="4">
      <formula>MOD(ROW(),2)=1</formula>
    </cfRule>
  </conditionalFormatting>
  <conditionalFormatting sqref="AF178:AF181">
    <cfRule type="expression" dxfId="2" priority="3">
      <formula>MOD(ROW(),2)=1</formula>
    </cfRule>
  </conditionalFormatting>
  <conditionalFormatting sqref="AG178:AG180">
    <cfRule type="expression" dxfId="1" priority="2">
      <formula>MOD(ROW(),2)=1</formula>
    </cfRule>
  </conditionalFormatting>
  <conditionalFormatting sqref="AG181">
    <cfRule type="expression" dxfId="0" priority="1">
      <formula>MOD(ROW(),2)=1</formula>
    </cfRule>
  </conditionalFormatting>
  <pageMargins left="0.7" right="0.7" top="0.75" bottom="0.75" header="0.3" footer="0.3"/>
  <pageSetup orientation="portrait" r:id="rId1"/>
  <ignoredErrors>
    <ignoredError sqref="Y125 R155" formula="1"/>
  </ignoredErrors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disablePrompts="1" count="5">
        <x14:dataValidation type="list" allowBlank="1" showInputMessage="1" showErrorMessage="1" xr:uid="{00000000-0002-0000-0300-000000000000}">
          <x14:formula1>
            <xm:f>Lists!$A$4:$A$20</xm:f>
          </x14:formula1>
          <xm:sqref>B267:B512</xm:sqref>
        </x14:dataValidation>
        <x14:dataValidation type="list" allowBlank="1" showInputMessage="1" showErrorMessage="1" xr:uid="{00000000-0002-0000-0300-000001000000}">
          <x14:formula1>
            <xm:f>Lists!$A$29:$A$30</xm:f>
          </x14:formula1>
          <xm:sqref>E9:E228</xm:sqref>
        </x14:dataValidation>
        <x14:dataValidation type="list" allowBlank="1" showInputMessage="1" showErrorMessage="1" xr:uid="{00000000-0002-0000-0300-000002000000}">
          <x14:formula1>
            <xm:f>Lists!$A$4:$A$24</xm:f>
          </x14:formula1>
          <xm:sqref>B249:B266</xm:sqref>
        </x14:dataValidation>
        <x14:dataValidation type="list" allowBlank="1" showInputMessage="1" showErrorMessage="1" xr:uid="{00000000-0002-0000-0300-000003000000}">
          <x14:formula1>
            <xm:f>Lists!$A$4:$A$25</xm:f>
          </x14:formula1>
          <xm:sqref>B9:B248</xm:sqref>
        </x14:dataValidation>
        <x14:dataValidation type="list" allowBlank="1" showInputMessage="1" showErrorMessage="1" xr:uid="{00000000-0002-0000-0300-000004000000}">
          <x14:formula1>
            <xm:f>Lists!$A$33:$A$34</xm:f>
          </x14:formula1>
          <xm:sqref>D248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topLeftCell="A16" workbookViewId="0">
      <selection activeCell="J43" sqref="J43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12">
    <tabColor theme="5"/>
  </sheetPr>
  <dimension ref="B164:C256"/>
  <sheetViews>
    <sheetView zoomScale="85" zoomScaleNormal="85" workbookViewId="0">
      <selection activeCell="I122" sqref="I122"/>
    </sheetView>
  </sheetViews>
  <sheetFormatPr defaultRowHeight="15" x14ac:dyDescent="0.25"/>
  <sheetData>
    <row r="164" spans="2:2" x14ac:dyDescent="0.25">
      <c r="B164" t="s">
        <v>616</v>
      </c>
    </row>
    <row r="196" spans="3:3" x14ac:dyDescent="0.25">
      <c r="C196" t="s">
        <v>617</v>
      </c>
    </row>
    <row r="240" spans="3:3" x14ac:dyDescent="0.25">
      <c r="C240" t="s">
        <v>618</v>
      </c>
    </row>
    <row r="256" spans="3:3" x14ac:dyDescent="0.25">
      <c r="C256" t="s">
        <v>619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2">
    <tabColor theme="0"/>
  </sheetPr>
  <dimension ref="A1:B34"/>
  <sheetViews>
    <sheetView topLeftCell="A4" zoomScaleNormal="100" workbookViewId="0">
      <selection activeCell="B26" sqref="B26"/>
    </sheetView>
  </sheetViews>
  <sheetFormatPr defaultRowHeight="15" x14ac:dyDescent="0.25"/>
  <cols>
    <col min="1" max="1" width="32.28515625" customWidth="1"/>
    <col min="2" max="2" width="116.85546875" customWidth="1"/>
  </cols>
  <sheetData>
    <row r="1" spans="1:2" ht="30" x14ac:dyDescent="0.45">
      <c r="A1" s="273" t="s">
        <v>103</v>
      </c>
    </row>
    <row r="2" spans="1:2" ht="2.25" customHeight="1" x14ac:dyDescent="0.45">
      <c r="A2" s="273"/>
    </row>
    <row r="3" spans="1:2" x14ac:dyDescent="0.25">
      <c r="A3" s="274" t="s">
        <v>488</v>
      </c>
    </row>
    <row r="4" spans="1:2" x14ac:dyDescent="0.25">
      <c r="A4" s="48" t="s">
        <v>43</v>
      </c>
      <c r="B4" s="290" t="s">
        <v>74</v>
      </c>
    </row>
    <row r="5" spans="1:2" x14ac:dyDescent="0.25">
      <c r="A5" s="48" t="s">
        <v>44</v>
      </c>
      <c r="B5" s="290" t="s">
        <v>75</v>
      </c>
    </row>
    <row r="6" spans="1:2" x14ac:dyDescent="0.25">
      <c r="A6" s="48" t="s">
        <v>62</v>
      </c>
      <c r="B6" s="290" t="s">
        <v>76</v>
      </c>
    </row>
    <row r="7" spans="1:2" x14ac:dyDescent="0.25">
      <c r="A7" s="48" t="s">
        <v>101</v>
      </c>
      <c r="B7" s="291" t="s">
        <v>85</v>
      </c>
    </row>
    <row r="8" spans="1:2" ht="28.5" x14ac:dyDescent="0.25">
      <c r="A8" s="52" t="s">
        <v>83</v>
      </c>
      <c r="B8" s="358" t="s">
        <v>77</v>
      </c>
    </row>
    <row r="9" spans="1:2" x14ac:dyDescent="0.25">
      <c r="A9" s="52" t="s">
        <v>49</v>
      </c>
      <c r="B9" s="291" t="s">
        <v>78</v>
      </c>
    </row>
    <row r="10" spans="1:2" x14ac:dyDescent="0.25">
      <c r="A10" s="48" t="s">
        <v>51</v>
      </c>
      <c r="B10" s="291" t="s">
        <v>79</v>
      </c>
    </row>
    <row r="11" spans="1:2" x14ac:dyDescent="0.25">
      <c r="A11" s="364" t="s">
        <v>53</v>
      </c>
      <c r="B11" s="47" t="s">
        <v>86</v>
      </c>
    </row>
    <row r="12" spans="1:2" x14ac:dyDescent="0.25">
      <c r="A12" s="51" t="s">
        <v>55</v>
      </c>
      <c r="B12" s="47" t="s">
        <v>87</v>
      </c>
    </row>
    <row r="13" spans="1:2" x14ac:dyDescent="0.25">
      <c r="A13" s="364" t="s">
        <v>57</v>
      </c>
      <c r="B13" s="47" t="s">
        <v>88</v>
      </c>
    </row>
    <row r="14" spans="1:2" x14ac:dyDescent="0.25">
      <c r="A14" s="51" t="s">
        <v>59</v>
      </c>
      <c r="B14" s="47" t="s">
        <v>89</v>
      </c>
    </row>
    <row r="15" spans="1:2" x14ac:dyDescent="0.25">
      <c r="A15" s="51" t="s">
        <v>60</v>
      </c>
      <c r="B15" s="49" t="s">
        <v>90</v>
      </c>
    </row>
    <row r="16" spans="1:2" x14ac:dyDescent="0.25">
      <c r="A16" s="48" t="s">
        <v>13</v>
      </c>
      <c r="B16" s="291" t="s">
        <v>84</v>
      </c>
    </row>
    <row r="17" spans="1:2" x14ac:dyDescent="0.25">
      <c r="A17" s="48" t="s">
        <v>63</v>
      </c>
      <c r="B17" s="290" t="s">
        <v>80</v>
      </c>
    </row>
    <row r="18" spans="1:2" x14ac:dyDescent="0.25">
      <c r="A18" s="48" t="s">
        <v>64</v>
      </c>
      <c r="B18" s="344" t="s">
        <v>81</v>
      </c>
    </row>
    <row r="19" spans="1:2" x14ac:dyDescent="0.25">
      <c r="A19" s="48" t="s">
        <v>65</v>
      </c>
      <c r="B19" s="291" t="s">
        <v>82</v>
      </c>
    </row>
    <row r="20" spans="1:2" x14ac:dyDescent="0.25">
      <c r="A20" s="48" t="s">
        <v>91</v>
      </c>
      <c r="B20" s="291" t="s">
        <v>92</v>
      </c>
    </row>
    <row r="21" spans="1:2" x14ac:dyDescent="0.25">
      <c r="A21" s="48" t="s">
        <v>511</v>
      </c>
      <c r="B21" s="290" t="s">
        <v>512</v>
      </c>
    </row>
    <row r="22" spans="1:2" x14ac:dyDescent="0.25">
      <c r="A22" s="48" t="s">
        <v>559</v>
      </c>
      <c r="B22" s="290" t="s">
        <v>569</v>
      </c>
    </row>
    <row r="23" spans="1:2" x14ac:dyDescent="0.25">
      <c r="A23" s="48" t="s">
        <v>562</v>
      </c>
      <c r="B23" s="290" t="s">
        <v>568</v>
      </c>
    </row>
    <row r="24" spans="1:2" x14ac:dyDescent="0.25">
      <c r="A24" s="48" t="s">
        <v>571</v>
      </c>
      <c r="B24" s="290" t="s">
        <v>570</v>
      </c>
    </row>
    <row r="25" spans="1:2" x14ac:dyDescent="0.25">
      <c r="A25" s="48" t="s">
        <v>603</v>
      </c>
      <c r="B25" s="291" t="s">
        <v>604</v>
      </c>
    </row>
    <row r="28" spans="1:2" x14ac:dyDescent="0.25">
      <c r="A28" s="274" t="s">
        <v>104</v>
      </c>
    </row>
    <row r="29" spans="1:2" x14ac:dyDescent="0.25">
      <c r="A29" t="s">
        <v>489</v>
      </c>
    </row>
    <row r="30" spans="1:2" x14ac:dyDescent="0.25">
      <c r="A30" t="s">
        <v>490</v>
      </c>
    </row>
    <row r="32" spans="1:2" x14ac:dyDescent="0.25">
      <c r="A32" s="274" t="s">
        <v>605</v>
      </c>
    </row>
    <row r="33" spans="1:1" x14ac:dyDescent="0.25">
      <c r="A33" t="s">
        <v>614</v>
      </c>
    </row>
    <row r="34" spans="1:1" x14ac:dyDescent="0.25">
      <c r="A34" t="s">
        <v>615</v>
      </c>
    </row>
  </sheetData>
  <pageMargins left="0.7" right="0.7" top="0.75" bottom="0.75" header="0.3" footer="0.3"/>
  <pageSetup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3">
    <tabColor theme="5"/>
  </sheetPr>
  <dimension ref="A1"/>
  <sheetViews>
    <sheetView topLeftCell="A10" zoomScale="115" zoomScaleNormal="115" workbookViewId="0">
      <selection activeCell="R35" sqref="R35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4">
    <tabColor theme="5"/>
  </sheetPr>
  <dimension ref="A1"/>
  <sheetViews>
    <sheetView zoomScale="70" zoomScaleNormal="70" workbookViewId="0">
      <selection activeCell="W129" sqref="W12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15">
    <tabColor theme="5"/>
  </sheetPr>
  <dimension ref="AA10:AI12"/>
  <sheetViews>
    <sheetView topLeftCell="A10" zoomScale="70" zoomScaleNormal="70" workbookViewId="0">
      <selection activeCell="AC23" sqref="AC23"/>
    </sheetView>
  </sheetViews>
  <sheetFormatPr defaultRowHeight="15" x14ac:dyDescent="0.25"/>
  <sheetData>
    <row r="10" spans="27:35" x14ac:dyDescent="0.25">
      <c r="AA10" t="s">
        <v>627</v>
      </c>
    </row>
    <row r="12" spans="27:35" x14ac:dyDescent="0.25">
      <c r="AI12" t="s">
        <v>626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6">
    <tabColor theme="5"/>
  </sheetPr>
  <dimension ref="A1"/>
  <sheetViews>
    <sheetView workbookViewId="0">
      <selection activeCell="E24" sqref="E2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17">
    <tabColor theme="5"/>
  </sheetPr>
  <dimension ref="A1"/>
  <sheetViews>
    <sheetView topLeftCell="A25" workbookViewId="0">
      <selection activeCell="U54" sqref="U5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8">
    <tabColor theme="5"/>
  </sheetPr>
  <dimension ref="A1"/>
  <sheetViews>
    <sheetView topLeftCell="A4" workbookViewId="0">
      <selection activeCell="H34" sqref="H3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9">
    <tabColor theme="5"/>
  </sheetPr>
  <dimension ref="A1"/>
  <sheetViews>
    <sheetView zoomScale="85" zoomScaleNormal="85" workbookViewId="0">
      <selection activeCell="T77" sqref="T7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20">
    <tabColor theme="5"/>
  </sheetPr>
  <dimension ref="A1"/>
  <sheetViews>
    <sheetView topLeftCell="M1" zoomScale="85" zoomScaleNormal="85" workbookViewId="0">
      <selection activeCell="AO75" sqref="AO75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7">
    <tabColor theme="5"/>
  </sheetPr>
  <dimension ref="A1"/>
  <sheetViews>
    <sheetView topLeftCell="A13" zoomScale="115" zoomScaleNormal="115" workbookViewId="0">
      <selection activeCell="Q37" sqref="Q3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8">
    <tabColor theme="5"/>
  </sheetPr>
  <dimension ref="A1"/>
  <sheetViews>
    <sheetView topLeftCell="A31" zoomScale="70" zoomScaleNormal="70" workbookViewId="0">
      <selection activeCell="AJ66" sqref="AJ66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Sheet9">
    <tabColor theme="5"/>
  </sheetPr>
  <dimension ref="A1"/>
  <sheetViews>
    <sheetView topLeftCell="A16" zoomScale="70" zoomScaleNormal="70" workbookViewId="0">
      <selection activeCell="AE42" sqref="AE4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Sheet10">
    <tabColor theme="5"/>
  </sheetPr>
  <dimension ref="A1"/>
  <sheetViews>
    <sheetView zoomScale="70" zoomScaleNormal="70" workbookViewId="0">
      <selection activeCell="N94" sqref="N9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Sheet11">
    <tabColor theme="5"/>
  </sheetPr>
  <dimension ref="A5:S32"/>
  <sheetViews>
    <sheetView zoomScaleNormal="100" workbookViewId="0">
      <selection activeCell="U27" sqref="U27"/>
    </sheetView>
  </sheetViews>
  <sheetFormatPr defaultRowHeight="15" x14ac:dyDescent="0.25"/>
  <cols>
    <col min="13" max="15" width="13.85546875" customWidth="1"/>
    <col min="16" max="16" width="18.140625" customWidth="1"/>
  </cols>
  <sheetData>
    <row r="5" spans="13:19" x14ac:dyDescent="0.25">
      <c r="S5" t="s">
        <v>538</v>
      </c>
    </row>
    <row r="15" spans="13:19" ht="17.25" x14ac:dyDescent="0.25">
      <c r="M15" s="316" t="s">
        <v>542</v>
      </c>
      <c r="N15" s="316" t="s">
        <v>541</v>
      </c>
      <c r="O15" s="316" t="s">
        <v>540</v>
      </c>
      <c r="P15" s="316" t="s">
        <v>543</v>
      </c>
      <c r="R15" s="292" t="s">
        <v>525</v>
      </c>
      <c r="S15" s="292" t="s">
        <v>526</v>
      </c>
    </row>
    <row r="16" spans="13:19" x14ac:dyDescent="0.25">
      <c r="M16" s="313">
        <f>5/8*S16</f>
        <v>15.875</v>
      </c>
      <c r="N16" s="314">
        <f>M16^2*PI()/4</f>
        <v>197.93260902246004</v>
      </c>
      <c r="O16" s="315">
        <f>12700*$S$20*1000</f>
        <v>56492.394000000008</v>
      </c>
      <c r="P16" s="315">
        <f>O16/N16</f>
        <v>285.41226369420332</v>
      </c>
      <c r="R16" s="2">
        <v>1</v>
      </c>
      <c r="S16" s="2">
        <v>25.4</v>
      </c>
    </row>
    <row r="17" spans="1:19" x14ac:dyDescent="0.25">
      <c r="M17" s="313">
        <f>5/8*S16</f>
        <v>15.875</v>
      </c>
      <c r="N17" s="314">
        <f>M17^2*PI()/4</f>
        <v>197.93260902246004</v>
      </c>
      <c r="O17" s="315">
        <f>12900*S20*1000</f>
        <v>57382.038</v>
      </c>
      <c r="P17" s="315">
        <f>O17/N17</f>
        <v>289.9069450122222</v>
      </c>
      <c r="R17" s="2">
        <v>3.9370099999999998E-2</v>
      </c>
      <c r="S17" s="2">
        <v>1</v>
      </c>
    </row>
    <row r="18" spans="1:19" x14ac:dyDescent="0.25">
      <c r="M18" s="313">
        <f>1/2*S16</f>
        <v>12.7</v>
      </c>
      <c r="N18" s="314">
        <f>M18^2*PI()/4</f>
        <v>126.67686977437442</v>
      </c>
      <c r="O18" s="315">
        <f>8600*S20*1000</f>
        <v>38254.691999999995</v>
      </c>
      <c r="P18" s="315">
        <f>O18/N18</f>
        <v>301.98640105439807</v>
      </c>
    </row>
    <row r="19" spans="1:19" x14ac:dyDescent="0.25">
      <c r="M19" s="313">
        <f>1/2*S16</f>
        <v>12.7</v>
      </c>
      <c r="N19" s="314">
        <f>M19^2*PI()/4</f>
        <v>126.67686977437442</v>
      </c>
      <c r="O19" s="315">
        <f>8600*S20*1000</f>
        <v>38254.691999999995</v>
      </c>
      <c r="P19" s="315">
        <f>O19/N19</f>
        <v>301.98640105439807</v>
      </c>
      <c r="R19" s="292" t="s">
        <v>527</v>
      </c>
      <c r="S19" s="292" t="s">
        <v>528</v>
      </c>
    </row>
    <row r="20" spans="1:19" x14ac:dyDescent="0.25">
      <c r="R20" s="2">
        <v>1</v>
      </c>
      <c r="S20" s="2">
        <f>4.44822/1000</f>
        <v>4.4482200000000001E-3</v>
      </c>
    </row>
    <row r="21" spans="1:19" x14ac:dyDescent="0.25">
      <c r="R21" s="2">
        <f>0.224809*1000</f>
        <v>224.809</v>
      </c>
      <c r="S21" s="2">
        <v>1</v>
      </c>
    </row>
    <row r="32" spans="1:19" x14ac:dyDescent="0.25">
      <c r="A32" t="s">
        <v>548</v>
      </c>
    </row>
  </sheetData>
  <pageMargins left="0.7" right="0.7" top="0.75" bottom="0.75" header="0.3" footer="0.3"/>
  <pageSetup orientation="portrait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Sheet4">
    <tabColor theme="5"/>
  </sheetPr>
  <dimension ref="A1"/>
  <sheetViews>
    <sheetView zoomScale="55" zoomScaleNormal="55" workbookViewId="0">
      <selection activeCell="AM48" sqref="AM48"/>
    </sheetView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22</vt:i4>
      </vt:variant>
    </vt:vector>
  </HeadingPairs>
  <TitlesOfParts>
    <vt:vector size="22" baseType="lpstr">
      <vt:lpstr>OAN DATABASE</vt:lpstr>
      <vt:lpstr>AGUILAR DATABASE</vt:lpstr>
      <vt:lpstr>Sheet2</vt:lpstr>
      <vt:lpstr>COMPILED</vt:lpstr>
      <vt:lpstr>Prism Correction</vt:lpstr>
      <vt:lpstr>Luders</vt:lpstr>
      <vt:lpstr>Haider</vt:lpstr>
      <vt:lpstr>Lists</vt:lpstr>
      <vt:lpstr>Voon</vt:lpstr>
      <vt:lpstr>ChenHidalgo</vt:lpstr>
      <vt:lpstr>Minaie</vt:lpstr>
      <vt:lpstr>Ghanem</vt:lpstr>
      <vt:lpstr>Schultz</vt:lpstr>
      <vt:lpstr>BaenzigerPorter</vt:lpstr>
      <vt:lpstr>Elmapruk</vt:lpstr>
      <vt:lpstr>Maleki</vt:lpstr>
      <vt:lpstr>Matsumara</vt:lpstr>
      <vt:lpstr>Oan</vt:lpstr>
      <vt:lpstr>Nolph</vt:lpstr>
      <vt:lpstr>YanceyScribner</vt:lpstr>
      <vt:lpstr>Scrivener</vt:lpstr>
      <vt:lpstr>Ramirez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Jellyfish</dc:creator>
  <cp:lastModifiedBy>Dr. Lobo</cp:lastModifiedBy>
  <cp:lastPrinted>2017-01-09T15:14:45Z</cp:lastPrinted>
  <dcterms:created xsi:type="dcterms:W3CDTF">2016-11-17T22:50:36Z</dcterms:created>
  <dcterms:modified xsi:type="dcterms:W3CDTF">2022-01-17T00:00:29Z</dcterms:modified>
</cp:coreProperties>
</file>