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1.xml" ContentType="application/vnd.openxmlformats-officedocument.spreadsheetml.comments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pivotTables/pivotTable3.xml" ContentType="application/vnd.openxmlformats-officedocument.spreadsheetml.pivotTable+xml"/>
  <Override PartName="/xl/pivotTables/pivotTable4.xml" ContentType="application/vnd.openxmlformats-officedocument.spreadsheetml.pivotTable+xml"/>
  <Override PartName="/xl/pivotTables/pivotTable5.xml" ContentType="application/vnd.openxmlformats-officedocument.spreadsheetml.pivotTable+xml"/>
  <Override PartName="/xl/pivotTables/pivotTable6.xml" ContentType="application/vnd.openxmlformats-officedocument.spreadsheetml.pivotTable+xml"/>
  <Override PartName="/xl/pivotTables/pivotTable7.xml" ContentType="application/vnd.openxmlformats-officedocument.spreadsheetml.pivotTable+xml"/>
  <Override PartName="/xl/pivotTables/pivotTable8.xml" ContentType="application/vnd.openxmlformats-officedocument.spreadsheetml.pivotTable+xml"/>
  <Override PartName="/xl/pivotTables/pivotTable9.xml" ContentType="application/vnd.openxmlformats-officedocument.spreadsheetml.pivotTable+xml"/>
  <Override PartName="/xl/pivotTables/pivotTable10.xml" ContentType="application/vnd.openxmlformats-officedocument.spreadsheetml.pivotTable+xml"/>
  <Override PartName="/xl/pivotTables/pivotTable11.xml" ContentType="application/vnd.openxmlformats-officedocument.spreadsheetml.pivotTable+xml"/>
  <Override PartName="/xl/pivotTables/pivotTable12.xml" ContentType="application/vnd.openxmlformats-officedocument.spreadsheetml.pivotTable+xml"/>
  <Override PartName="/xl/pivotTables/pivotTable13.xml" ContentType="application/vnd.openxmlformats-officedocument.spreadsheetml.pivotTable+xml"/>
  <Override PartName="/xl/pivotTables/pivotTable14.xml" ContentType="application/vnd.openxmlformats-officedocument.spreadsheetml.pivotTable+xml"/>
  <Override PartName="/xl/pivotTables/pivotTable15.xml" ContentType="application/vnd.openxmlformats-officedocument.spreadsheetml.pivotTable+xml"/>
  <Override PartName="/xl/pivotTables/pivotTable16.xml" ContentType="application/vnd.openxmlformats-officedocument.spreadsheetml.pivotTable+xml"/>
  <Override PartName="/xl/pivotTables/pivotTable17.xml" ContentType="application/vnd.openxmlformats-officedocument.spreadsheetml.pivotTable+xml"/>
  <Override PartName="/xl/drawings/drawing6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calcChain.xml" ContentType="application/vnd.openxmlformats-officedocument.spreadsheetml.calcChain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729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Dr. Lobo\Downloads\"/>
    </mc:Choice>
  </mc:AlternateContent>
  <xr:revisionPtr revIDLastSave="0" documentId="8_{698E0931-B7D0-4064-9EBD-8117CFA716CA}" xr6:coauthVersionLast="47" xr6:coauthVersionMax="47" xr10:uidLastSave="{00000000-0000-0000-0000-000000000000}"/>
  <bookViews>
    <workbookView xWindow="-120" yWindow="-120" windowWidth="38640" windowHeight="15840" firstSheet="3" activeTab="5" xr2:uid="{00000000-000D-0000-FFFF-FFFF00000000}"/>
  </bookViews>
  <sheets>
    <sheet name="Prisms" sheetId="25" state="hidden" r:id="rId1"/>
    <sheet name="OAN DATABASE" sheetId="2" state="hidden" r:id="rId2"/>
    <sheet name="AGUILAR DATABASE" sheetId="6" state="hidden" r:id="rId3"/>
    <sheet name="Lists" sheetId="5" r:id="rId4"/>
    <sheet name="#ofWalls" sheetId="4" state="hidden" r:id="rId5"/>
    <sheet name="COMPILED" sheetId="1" r:id="rId6"/>
    <sheet name="Histograms" sheetId="34" state="hidden" r:id="rId7"/>
    <sheet name="Scrivener67" sheetId="12" state="hidden" r:id="rId8"/>
    <sheet name="Meli68" sheetId="29" state="hidden" r:id="rId9"/>
    <sheet name="Meli69" sheetId="30" state="hidden" r:id="rId10"/>
    <sheet name="Mayes76" sheetId="26" state="hidden" r:id="rId11"/>
    <sheet name="ChenHidalgo78" sheetId="20" state="hidden" r:id="rId12"/>
    <sheet name="Thurston82" sheetId="24" state="hidden" r:id="rId13"/>
    <sheet name="Matsumara87" sheetId="7" state="hidden" r:id="rId14"/>
    <sheet name="TomazevicLutman88" sheetId="27" state="hidden" r:id="rId15"/>
    <sheet name="JohalAnderson88" sheetId="31" state="hidden" r:id="rId16"/>
    <sheet name="YanceyScribner89" sheetId="11" state="hidden" r:id="rId17"/>
    <sheet name="Ghanem92" sheetId="18" state="hidden" r:id="rId18"/>
    <sheet name="Ghanem93" sheetId="33" state="hidden" r:id="rId19"/>
    <sheet name="Tomazevic96" sheetId="41" state="hidden" r:id="rId20"/>
    <sheet name="Schultz96,98" sheetId="17" state="hidden" r:id="rId21"/>
    <sheet name="Voon06" sheetId="21" state="hidden" r:id="rId22"/>
    <sheet name="Haach07" sheetId="32" state="hidden" r:id="rId23"/>
    <sheet name="Maleki09" sheetId="14" state="hidden" r:id="rId24"/>
    <sheet name="Elmapruk10" sheetId="15" state="hidden" r:id="rId25"/>
    <sheet name="Minaie10" sheetId="19" state="hidden" r:id="rId26"/>
    <sheet name="BaenzigerPorter11" sheetId="16" state="hidden" r:id="rId27"/>
    <sheet name="Nolph12" sheetId="10" state="hidden" r:id="rId28"/>
    <sheet name="Oan13" sheetId="8" state="hidden" r:id="rId29"/>
    <sheet name="Hoque13" sheetId="37" state="hidden" r:id="rId30"/>
    <sheet name="Hamedzadeh13" sheetId="39" state="hidden" r:id="rId31"/>
    <sheet name="Rizaee15" sheetId="38" state="hidden" r:id="rId32"/>
    <sheet name="Ramirez16" sheetId="13" state="hidden" r:id="rId33"/>
  </sheets>
  <definedNames>
    <definedName name="_xlnm._FilterDatabase" localSheetId="2" hidden="1">'AGUILAR DATABASE'!$A$1:$CF$260</definedName>
    <definedName name="_xlnm._FilterDatabase" localSheetId="5" hidden="1">COMPILED!$A$8:$BN$8</definedName>
    <definedName name="_xlnm._FilterDatabase" localSheetId="1" hidden="1">'OAN DATABASE'!$A$1:$P$198</definedName>
    <definedName name="Z_6A3968C5_0A0A_44BD_9D91_8A632DB179F3_.wvu.Cols" localSheetId="2" hidden="1">'AGUILAR DATABASE'!$AF:$BS</definedName>
    <definedName name="Z_6A3968C5_0A0A_44BD_9D91_8A632DB179F3_.wvu.Cols" localSheetId="5" hidden="1">COMPILED!$W:$W,COMPILED!$Y:$Y</definedName>
    <definedName name="Z_6A3968C5_0A0A_44BD_9D91_8A632DB179F3_.wvu.FilterData" localSheetId="2" hidden="1">'AGUILAR DATABASE'!$A$1:$CF$260</definedName>
    <definedName name="Z_6A3968C5_0A0A_44BD_9D91_8A632DB179F3_.wvu.FilterData" localSheetId="5" hidden="1">COMPILED!$A$8:$BN$8</definedName>
    <definedName name="Z_6A3968C5_0A0A_44BD_9D91_8A632DB179F3_.wvu.FilterData" localSheetId="1" hidden="1">'OAN DATABASE'!$A$1:$P$198</definedName>
    <definedName name="Z_F952AE04_5FFA_4EC5_9AC4_659942525BDB_.wvu.Cols" localSheetId="2" hidden="1">'AGUILAR DATABASE'!$AF:$BS</definedName>
    <definedName name="Z_F952AE04_5FFA_4EC5_9AC4_659942525BDB_.wvu.Cols" localSheetId="5" hidden="1">COMPILED!$W:$W,COMPILED!$Y:$Y</definedName>
    <definedName name="Z_F952AE04_5FFA_4EC5_9AC4_659942525BDB_.wvu.FilterData" localSheetId="2" hidden="1">'AGUILAR DATABASE'!$A$1:$CF$260</definedName>
    <definedName name="Z_F952AE04_5FFA_4EC5_9AC4_659942525BDB_.wvu.FilterData" localSheetId="5" hidden="1">COMPILED!$A$8:$BN$8</definedName>
    <definedName name="Z_F952AE04_5FFA_4EC5_9AC4_659942525BDB_.wvu.FilterData" localSheetId="1" hidden="1">'OAN DATABASE'!$A$1:$P$198</definedName>
  </definedNames>
  <calcPr calcId="191029"/>
  <customWorkbookViews>
    <customWorkbookView name="Show All Worksheets" guid="{6A3968C5-0A0A-44BD-9D91-8A632DB179F3}" maximized="1" xWindow="-8" yWindow="-8" windowWidth="1936" windowHeight="1056" activeSheetId="1"/>
    <customWorkbookView name="Compiled Only" guid="{F952AE04-5FFA-4EC5-9AC4-659942525BDB}" maximized="1" xWindow="1912" yWindow="-8" windowWidth="1936" windowHeight="1056" activeSheetId="1"/>
  </customWorkbookViews>
  <pivotCaches>
    <pivotCache cacheId="0" r:id="rId34"/>
  </pivotCaches>
  <fileRecoveryPr autoRecover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T238" i="1" l="1"/>
  <c r="BT239" i="1"/>
  <c r="BT240" i="1"/>
  <c r="BT241" i="1"/>
  <c r="BT242" i="1"/>
  <c r="BT243" i="1"/>
  <c r="BT244" i="1"/>
  <c r="BT245" i="1"/>
  <c r="BT246" i="1"/>
  <c r="BT247" i="1"/>
  <c r="BT248" i="1"/>
  <c r="BT249" i="1"/>
  <c r="BT250" i="1"/>
  <c r="BT251" i="1"/>
  <c r="BT252" i="1"/>
  <c r="BT253" i="1"/>
  <c r="BT254" i="1"/>
  <c r="BT255" i="1"/>
  <c r="BT256" i="1"/>
  <c r="BT257" i="1"/>
  <c r="BT258" i="1"/>
  <c r="BT259" i="1"/>
  <c r="BT260" i="1"/>
  <c r="BT261" i="1"/>
  <c r="BT262" i="1"/>
  <c r="BT263" i="1"/>
  <c r="BT264" i="1"/>
  <c r="BT265" i="1"/>
  <c r="BT266" i="1"/>
  <c r="BT267" i="1"/>
  <c r="BT268" i="1"/>
  <c r="BT269" i="1"/>
  <c r="BT270" i="1"/>
  <c r="BT271" i="1"/>
  <c r="BT272" i="1"/>
  <c r="BT273" i="1"/>
  <c r="BT274" i="1"/>
  <c r="BT275" i="1"/>
  <c r="BT276" i="1"/>
  <c r="BT277" i="1"/>
  <c r="BT278" i="1"/>
  <c r="BT279" i="1"/>
  <c r="BT280" i="1"/>
  <c r="BT281" i="1"/>
  <c r="BT282" i="1"/>
  <c r="BT283" i="1"/>
  <c r="BT284" i="1"/>
  <c r="BT285" i="1"/>
  <c r="BT286" i="1"/>
  <c r="BT287" i="1"/>
  <c r="BT288" i="1"/>
  <c r="BT289" i="1"/>
  <c r="BT290" i="1"/>
  <c r="BT291" i="1"/>
  <c r="BT292" i="1"/>
  <c r="BT293" i="1"/>
  <c r="BT294" i="1"/>
  <c r="BT295" i="1"/>
  <c r="BT296" i="1"/>
  <c r="BT297" i="1"/>
  <c r="BT298" i="1"/>
  <c r="BT299" i="1"/>
  <c r="BT300" i="1"/>
  <c r="AB300" i="1" l="1"/>
  <c r="AB299" i="1"/>
  <c r="AB298" i="1"/>
  <c r="AB297" i="1"/>
  <c r="AB296" i="1"/>
  <c r="AB295" i="1"/>
  <c r="AB294" i="1"/>
  <c r="AB293" i="1"/>
  <c r="AB292" i="1"/>
  <c r="AB291" i="1"/>
  <c r="AH20" i="1"/>
  <c r="AH19" i="1"/>
  <c r="AH18" i="1"/>
  <c r="AH17" i="1"/>
  <c r="AH16" i="1"/>
  <c r="AH15" i="1"/>
  <c r="AH14" i="1"/>
  <c r="AH13" i="1"/>
  <c r="AH12" i="1"/>
  <c r="AH11" i="1"/>
  <c r="AH10" i="1"/>
  <c r="AH9" i="1"/>
  <c r="S38" i="1"/>
  <c r="S36" i="1"/>
  <c r="S41" i="1"/>
  <c r="S40" i="1"/>
  <c r="S39" i="1"/>
  <c r="S37" i="1"/>
  <c r="S35" i="1"/>
  <c r="S34" i="1"/>
  <c r="S33" i="1"/>
  <c r="S32" i="1"/>
  <c r="S31" i="1"/>
  <c r="T41" i="1"/>
  <c r="T40" i="1"/>
  <c r="T39" i="1"/>
  <c r="T38" i="1"/>
  <c r="T37" i="1"/>
  <c r="T36" i="1"/>
  <c r="T35" i="1"/>
  <c r="T34" i="1"/>
  <c r="T33" i="1"/>
  <c r="T32" i="1"/>
  <c r="T31" i="1"/>
  <c r="T30" i="1"/>
  <c r="T29" i="1"/>
  <c r="T28" i="1"/>
  <c r="T27" i="1"/>
  <c r="T26" i="1"/>
  <c r="T25" i="1"/>
  <c r="T24" i="1"/>
  <c r="T23" i="1"/>
  <c r="T22" i="1"/>
  <c r="T21" i="1"/>
  <c r="X30" i="1"/>
  <c r="X29" i="1"/>
  <c r="X28" i="1"/>
  <c r="X27" i="1"/>
  <c r="X26" i="1"/>
  <c r="X25" i="1"/>
  <c r="X24" i="1"/>
  <c r="X23" i="1"/>
  <c r="X22" i="1"/>
  <c r="X21" i="1"/>
  <c r="AB41" i="1"/>
  <c r="AB40" i="1"/>
  <c r="AB39" i="1"/>
  <c r="AB38" i="1"/>
  <c r="AB37" i="1"/>
  <c r="AB36" i="1"/>
  <c r="AB35" i="1"/>
  <c r="AB34" i="1"/>
  <c r="AB33" i="1"/>
  <c r="AB32" i="1"/>
  <c r="AB31" i="1"/>
  <c r="AB30" i="1"/>
  <c r="AB29" i="1"/>
  <c r="AB28" i="1"/>
  <c r="AB27" i="1"/>
  <c r="AB26" i="1"/>
  <c r="AB25" i="1"/>
  <c r="AB24" i="1"/>
  <c r="AB23" i="1"/>
  <c r="AB22" i="1"/>
  <c r="AB21" i="1"/>
  <c r="AG42" i="1"/>
  <c r="AB43" i="1"/>
  <c r="AH43" i="1" s="1"/>
  <c r="AB42" i="1"/>
  <c r="AH42" i="1" s="1"/>
  <c r="AA43" i="1"/>
  <c r="AG43" i="1" s="1"/>
  <c r="AA42" i="1"/>
  <c r="AA47" i="1"/>
  <c r="AA46" i="1"/>
  <c r="AA45" i="1"/>
  <c r="AA44" i="1"/>
  <c r="T49" i="1" l="1"/>
  <c r="S77" i="1"/>
  <c r="S78" i="1"/>
  <c r="S79" i="1"/>
  <c r="S76" i="1"/>
  <c r="S75" i="1"/>
  <c r="S74" i="1"/>
  <c r="S73" i="1"/>
  <c r="S72" i="1"/>
  <c r="S71" i="1"/>
  <c r="S70" i="1"/>
  <c r="S69" i="1"/>
  <c r="S68" i="1"/>
  <c r="S67" i="1"/>
  <c r="S66" i="1"/>
  <c r="S65" i="1"/>
  <c r="S64" i="1"/>
  <c r="S63" i="1"/>
  <c r="S62" i="1"/>
  <c r="S61" i="1"/>
  <c r="S60" i="1"/>
  <c r="S59" i="1"/>
  <c r="S58" i="1"/>
  <c r="S57" i="1"/>
  <c r="S56" i="1"/>
  <c r="S55" i="1"/>
  <c r="S54" i="1"/>
  <c r="S53" i="1"/>
  <c r="S52" i="1"/>
  <c r="S51" i="1"/>
  <c r="Z79" i="1"/>
  <c r="Z78" i="1"/>
  <c r="Z77" i="1"/>
  <c r="Z76" i="1"/>
  <c r="Z75" i="1"/>
  <c r="Z74" i="1"/>
  <c r="Z73" i="1"/>
  <c r="Z72" i="1"/>
  <c r="Z71" i="1"/>
  <c r="Z70" i="1"/>
  <c r="Z69" i="1"/>
  <c r="Z68" i="1"/>
  <c r="Z67" i="1"/>
  <c r="Z66" i="1"/>
  <c r="Z65" i="1"/>
  <c r="Z64" i="1"/>
  <c r="Z63" i="1"/>
  <c r="Z62" i="1"/>
  <c r="Z61" i="1"/>
  <c r="Z60" i="1"/>
  <c r="Z59" i="1"/>
  <c r="Z58" i="1"/>
  <c r="Z57" i="1"/>
  <c r="Z56" i="1"/>
  <c r="Z55" i="1"/>
  <c r="Z54" i="1"/>
  <c r="Z53" i="1"/>
  <c r="Z52" i="1"/>
  <c r="Z51" i="1"/>
  <c r="S89" i="1" l="1"/>
  <c r="S88" i="1"/>
  <c r="S87" i="1"/>
  <c r="S86" i="1"/>
  <c r="S85" i="1"/>
  <c r="S84" i="1"/>
  <c r="S83" i="1"/>
  <c r="S82" i="1"/>
  <c r="S81" i="1"/>
  <c r="S80" i="1"/>
  <c r="T81" i="1"/>
  <c r="T82" i="1"/>
  <c r="T83" i="1"/>
  <c r="T84" i="1"/>
  <c r="T85" i="1"/>
  <c r="T86" i="1"/>
  <c r="T87" i="1"/>
  <c r="T88" i="1"/>
  <c r="T89" i="1"/>
  <c r="T80" i="1"/>
  <c r="AH88" i="1"/>
  <c r="AG87" i="1"/>
  <c r="AG84" i="1"/>
  <c r="AH83" i="1"/>
  <c r="AH81" i="1"/>
  <c r="AG81" i="1"/>
  <c r="AI81" i="1" s="1"/>
  <c r="AG80" i="1"/>
  <c r="AA89" i="1"/>
  <c r="AG89" i="1" s="1"/>
  <c r="AA88" i="1"/>
  <c r="AG88" i="1" s="1"/>
  <c r="AI88" i="1" s="1"/>
  <c r="AA87" i="1"/>
  <c r="AA86" i="1"/>
  <c r="AG86" i="1" s="1"/>
  <c r="AI86" i="1" s="1"/>
  <c r="AA85" i="1"/>
  <c r="AG85" i="1" s="1"/>
  <c r="AI85" i="1" s="1"/>
  <c r="AA84" i="1"/>
  <c r="AA83" i="1"/>
  <c r="AG83" i="1" s="1"/>
  <c r="AA82" i="1"/>
  <c r="AG82" i="1" s="1"/>
  <c r="AA81" i="1"/>
  <c r="AA80" i="1"/>
  <c r="AB89" i="1"/>
  <c r="AH89" i="1" s="1"/>
  <c r="AB88" i="1"/>
  <c r="AB87" i="1"/>
  <c r="AH87" i="1" s="1"/>
  <c r="AB86" i="1"/>
  <c r="AH86" i="1" s="1"/>
  <c r="AB85" i="1"/>
  <c r="AH85" i="1" s="1"/>
  <c r="AB84" i="1"/>
  <c r="AH84" i="1" s="1"/>
  <c r="AI84" i="1" s="1"/>
  <c r="AB83" i="1"/>
  <c r="AB82" i="1"/>
  <c r="AH82" i="1" s="1"/>
  <c r="AB81" i="1"/>
  <c r="AB80" i="1"/>
  <c r="AH80" i="1" s="1"/>
  <c r="AI82" i="1" l="1"/>
  <c r="AI89" i="1"/>
  <c r="AI80" i="1"/>
  <c r="AI83" i="1"/>
  <c r="AI87" i="1"/>
  <c r="AB92" i="1"/>
  <c r="AB102" i="1"/>
  <c r="AB101" i="1"/>
  <c r="AB100" i="1"/>
  <c r="AB99" i="1"/>
  <c r="AB98" i="1"/>
  <c r="AB94" i="1"/>
  <c r="AB93" i="1"/>
  <c r="Z105" i="1"/>
  <c r="AB105" i="1" s="1"/>
  <c r="Z104" i="1"/>
  <c r="AB104" i="1" s="1"/>
  <c r="Z103" i="1"/>
  <c r="AB103" i="1" s="1"/>
  <c r="Z102" i="1"/>
  <c r="Z101" i="1"/>
  <c r="Z100" i="1"/>
  <c r="Z99" i="1"/>
  <c r="Z98" i="1"/>
  <c r="Z97" i="1"/>
  <c r="AB97" i="1" s="1"/>
  <c r="Z96" i="1"/>
  <c r="AB96" i="1" s="1"/>
  <c r="Z95" i="1"/>
  <c r="AB95" i="1" s="1"/>
  <c r="Z94" i="1"/>
  <c r="Z93" i="1"/>
  <c r="Z92" i="1"/>
  <c r="Z91" i="1"/>
  <c r="AB91" i="1" s="1"/>
  <c r="Z90" i="1"/>
  <c r="AB90" i="1" s="1"/>
  <c r="Z115" i="1" l="1"/>
  <c r="Z114" i="1"/>
  <c r="Z113" i="1"/>
  <c r="Z112" i="1"/>
  <c r="Z111" i="1"/>
  <c r="Z110" i="1"/>
  <c r="Z109" i="1"/>
  <c r="Z108" i="1"/>
  <c r="Z107" i="1"/>
  <c r="Z106" i="1"/>
  <c r="T115" i="1"/>
  <c r="T111" i="1"/>
  <c r="T119" i="1"/>
  <c r="S119" i="1"/>
  <c r="T118" i="1"/>
  <c r="S118" i="1"/>
  <c r="T117" i="1"/>
  <c r="S117" i="1"/>
  <c r="T116" i="1"/>
  <c r="S116" i="1"/>
  <c r="AA119" i="1"/>
  <c r="AA118" i="1"/>
  <c r="AA117" i="1"/>
  <c r="AA116" i="1"/>
  <c r="AB117" i="1"/>
  <c r="AB116" i="1"/>
  <c r="AB119" i="1"/>
  <c r="AB118" i="1"/>
  <c r="AH125" i="1"/>
  <c r="AH124" i="1"/>
  <c r="AH123" i="1"/>
  <c r="AH122" i="1"/>
  <c r="AH121" i="1"/>
  <c r="AH120" i="1"/>
  <c r="T125" i="1"/>
  <c r="T124" i="1"/>
  <c r="T123" i="1"/>
  <c r="T122" i="1"/>
  <c r="T121" i="1"/>
  <c r="T120" i="1"/>
  <c r="S125" i="1"/>
  <c r="S124" i="1"/>
  <c r="S123" i="1"/>
  <c r="S122" i="1"/>
  <c r="S121" i="1"/>
  <c r="S120" i="1"/>
  <c r="T154" i="1"/>
  <c r="T153" i="1"/>
  <c r="T152" i="1"/>
  <c r="T151" i="1"/>
  <c r="T150" i="1"/>
  <c r="T149" i="1"/>
  <c r="S154" i="1"/>
  <c r="S153" i="1"/>
  <c r="S152" i="1"/>
  <c r="S151" i="1"/>
  <c r="S150" i="1"/>
  <c r="S149" i="1"/>
  <c r="S158" i="1"/>
  <c r="S157" i="1"/>
  <c r="S156" i="1"/>
  <c r="S155" i="1"/>
  <c r="T165" i="1"/>
  <c r="T166" i="1"/>
  <c r="T164" i="1"/>
  <c r="T163" i="1"/>
  <c r="T162" i="1"/>
  <c r="T160" i="1"/>
  <c r="T161" i="1"/>
  <c r="T159" i="1"/>
  <c r="S166" i="1"/>
  <c r="S165" i="1"/>
  <c r="S164" i="1"/>
  <c r="S163" i="1"/>
  <c r="S162" i="1"/>
  <c r="S161" i="1"/>
  <c r="S160" i="1"/>
  <c r="S159" i="1"/>
  <c r="T148" i="1" l="1"/>
  <c r="T147" i="1"/>
  <c r="T146" i="1"/>
  <c r="T145" i="1"/>
  <c r="S148" i="1"/>
  <c r="S147" i="1"/>
  <c r="S146" i="1"/>
  <c r="S145" i="1"/>
  <c r="S144" i="1"/>
  <c r="T144" i="1"/>
  <c r="S127" i="1"/>
  <c r="S128" i="1"/>
  <c r="S129" i="1"/>
  <c r="S130" i="1"/>
  <c r="S131" i="1"/>
  <c r="S126" i="1"/>
  <c r="T133" i="1"/>
  <c r="T134" i="1"/>
  <c r="T135" i="1"/>
  <c r="T136" i="1"/>
  <c r="T137" i="1"/>
  <c r="T132" i="1"/>
  <c r="S133" i="1"/>
  <c r="S134" i="1"/>
  <c r="S135" i="1"/>
  <c r="S136" i="1"/>
  <c r="S137" i="1"/>
  <c r="S132" i="1"/>
  <c r="AB155" i="1"/>
  <c r="AB140" i="1"/>
  <c r="AB158" i="1"/>
  <c r="AB157" i="1"/>
  <c r="AB156" i="1"/>
  <c r="AA158" i="1"/>
  <c r="AA157" i="1"/>
  <c r="AA156" i="1"/>
  <c r="AA155" i="1"/>
  <c r="AB141" i="1"/>
  <c r="AB142" i="1"/>
  <c r="AB143" i="1"/>
  <c r="AA167" i="1"/>
  <c r="AB167" i="1"/>
  <c r="AA168" i="1"/>
  <c r="AB168" i="1"/>
  <c r="AB171" i="1" l="1"/>
  <c r="AB170" i="1"/>
  <c r="AB169" i="1"/>
  <c r="AA171" i="1"/>
  <c r="AA170" i="1"/>
  <c r="AA169" i="1"/>
  <c r="AS290" i="1" l="1"/>
  <c r="AW290" i="1" s="1"/>
  <c r="AS289" i="1"/>
  <c r="BK290" i="1"/>
  <c r="BJ290" i="1"/>
  <c r="BH290" i="1"/>
  <c r="BK289" i="1"/>
  <c r="BJ289" i="1"/>
  <c r="BH289" i="1"/>
  <c r="BK288" i="1"/>
  <c r="BJ288" i="1"/>
  <c r="BH288" i="1"/>
  <c r="BK287" i="1"/>
  <c r="BJ287" i="1"/>
  <c r="BH287" i="1"/>
  <c r="BK286" i="1"/>
  <c r="BJ286" i="1"/>
  <c r="BH286" i="1"/>
  <c r="BK285" i="1"/>
  <c r="BJ285" i="1"/>
  <c r="BH285" i="1"/>
  <c r="BK284" i="1"/>
  <c r="BJ284" i="1"/>
  <c r="BH284" i="1"/>
  <c r="BK283" i="1"/>
  <c r="BJ283" i="1"/>
  <c r="BH283" i="1"/>
  <c r="BK282" i="1"/>
  <c r="BJ282" i="1"/>
  <c r="BH282" i="1"/>
  <c r="BK281" i="1"/>
  <c r="BJ281" i="1"/>
  <c r="BH281" i="1"/>
  <c r="BK280" i="1"/>
  <c r="BJ280" i="1"/>
  <c r="BH280" i="1"/>
  <c r="BK279" i="1"/>
  <c r="BJ279" i="1"/>
  <c r="BH279" i="1"/>
  <c r="BK278" i="1"/>
  <c r="BJ278" i="1"/>
  <c r="BH278" i="1"/>
  <c r="BH277" i="1"/>
  <c r="BK277" i="1"/>
  <c r="BJ277" i="1"/>
  <c r="BA290" i="1"/>
  <c r="BA289" i="1"/>
  <c r="BA288" i="1"/>
  <c r="BA287" i="1"/>
  <c r="BA286" i="1"/>
  <c r="BA285" i="1"/>
  <c r="BA284" i="1"/>
  <c r="BA283" i="1"/>
  <c r="BA282" i="1"/>
  <c r="BA281" i="1"/>
  <c r="BA280" i="1"/>
  <c r="BA279" i="1"/>
  <c r="BA278" i="1"/>
  <c r="BZ278" i="1" s="1"/>
  <c r="BA277" i="1"/>
  <c r="AQ290" i="1"/>
  <c r="AQ289" i="1"/>
  <c r="AQ288" i="1"/>
  <c r="AQ287" i="1"/>
  <c r="AQ286" i="1"/>
  <c r="AQ285" i="1"/>
  <c r="AQ284" i="1"/>
  <c r="AQ283" i="1"/>
  <c r="AQ282" i="1"/>
  <c r="AQ281" i="1"/>
  <c r="AQ280" i="1"/>
  <c r="AQ279" i="1"/>
  <c r="AQ278" i="1"/>
  <c r="AQ277" i="1"/>
  <c r="AM290" i="1"/>
  <c r="AM289" i="1"/>
  <c r="AM288" i="1"/>
  <c r="AM287" i="1"/>
  <c r="AM286" i="1"/>
  <c r="AM285" i="1"/>
  <c r="AM284" i="1"/>
  <c r="AM283" i="1"/>
  <c r="AM282" i="1"/>
  <c r="AM281" i="1"/>
  <c r="AM280" i="1"/>
  <c r="AM279" i="1"/>
  <c r="AM278" i="1"/>
  <c r="AM277" i="1"/>
  <c r="AX285" i="1"/>
  <c r="AZ285" i="1" s="1"/>
  <c r="BQ285" i="1" s="1"/>
  <c r="AX281" i="1"/>
  <c r="AZ281" i="1" s="1"/>
  <c r="BQ281" i="1" s="1"/>
  <c r="AX278" i="1"/>
  <c r="AZ278" i="1" s="1"/>
  <c r="BQ278" i="1" s="1"/>
  <c r="AS278" i="1"/>
  <c r="AW278" i="1" s="1"/>
  <c r="AS279" i="1"/>
  <c r="AW279" i="1" s="1"/>
  <c r="AS280" i="1"/>
  <c r="AW280" i="1" s="1"/>
  <c r="AS281" i="1"/>
  <c r="AW281" i="1" s="1"/>
  <c r="AS282" i="1"/>
  <c r="AW282" i="1" s="1"/>
  <c r="AS283" i="1"/>
  <c r="AS284" i="1"/>
  <c r="AW284" i="1" s="1"/>
  <c r="AS285" i="1"/>
  <c r="AW285" i="1" s="1"/>
  <c r="AS286" i="1"/>
  <c r="AW286" i="1" s="1"/>
  <c r="AS287" i="1"/>
  <c r="AW287" i="1" s="1"/>
  <c r="AS288" i="1"/>
  <c r="AW288" i="1" s="1"/>
  <c r="AW289" i="1"/>
  <c r="AS277" i="1"/>
  <c r="AW277" i="1" s="1"/>
  <c r="AW283" i="1"/>
  <c r="AD290" i="1"/>
  <c r="AF290" i="1" s="1"/>
  <c r="AH290" i="1" s="1"/>
  <c r="AD289" i="1"/>
  <c r="AF289" i="1" s="1"/>
  <c r="AH289" i="1" s="1"/>
  <c r="AD288" i="1"/>
  <c r="AF288" i="1" s="1"/>
  <c r="AH288" i="1" s="1"/>
  <c r="AD287" i="1"/>
  <c r="AF287" i="1" s="1"/>
  <c r="AH287" i="1" s="1"/>
  <c r="AD286" i="1"/>
  <c r="AF286" i="1" s="1"/>
  <c r="AH286" i="1" s="1"/>
  <c r="AD285" i="1"/>
  <c r="AF285" i="1" s="1"/>
  <c r="AH285" i="1" s="1"/>
  <c r="AD284" i="1"/>
  <c r="AF284" i="1" s="1"/>
  <c r="AH284" i="1" s="1"/>
  <c r="AD283" i="1"/>
  <c r="AF283" i="1" s="1"/>
  <c r="AH283" i="1" s="1"/>
  <c r="AD282" i="1"/>
  <c r="AF282" i="1" s="1"/>
  <c r="AH282" i="1" s="1"/>
  <c r="AD281" i="1"/>
  <c r="AF281" i="1" s="1"/>
  <c r="AH281" i="1" s="1"/>
  <c r="AD280" i="1"/>
  <c r="AF280" i="1" s="1"/>
  <c r="AH280" i="1" s="1"/>
  <c r="AD279" i="1"/>
  <c r="AF279" i="1" s="1"/>
  <c r="AH279" i="1" s="1"/>
  <c r="AD278" i="1"/>
  <c r="AF278" i="1" s="1"/>
  <c r="AH278" i="1" s="1"/>
  <c r="AD277" i="1"/>
  <c r="AF277" i="1" s="1"/>
  <c r="T288" i="1"/>
  <c r="T287" i="1"/>
  <c r="T290" i="1"/>
  <c r="T289" i="1"/>
  <c r="T286" i="1"/>
  <c r="T285" i="1"/>
  <c r="T284" i="1"/>
  <c r="T283" i="1"/>
  <c r="T282" i="1"/>
  <c r="T281" i="1"/>
  <c r="T280" i="1"/>
  <c r="T279" i="1"/>
  <c r="T278" i="1"/>
  <c r="T277" i="1"/>
  <c r="S290" i="1"/>
  <c r="S289" i="1"/>
  <c r="S288" i="1"/>
  <c r="S287" i="1"/>
  <c r="S286" i="1"/>
  <c r="S285" i="1"/>
  <c r="S284" i="1"/>
  <c r="S283" i="1"/>
  <c r="S282" i="1"/>
  <c r="S281" i="1"/>
  <c r="S280" i="1"/>
  <c r="S279" i="1"/>
  <c r="S278" i="1"/>
  <c r="S277" i="1"/>
  <c r="Q290" i="1"/>
  <c r="BB290" i="1" s="1"/>
  <c r="P290" i="1"/>
  <c r="M290" i="1"/>
  <c r="L290" i="1"/>
  <c r="J290" i="1"/>
  <c r="H290" i="1"/>
  <c r="O290" i="1" s="1"/>
  <c r="N290" i="1" s="1"/>
  <c r="BW290" i="1" s="1"/>
  <c r="Q289" i="1"/>
  <c r="P289" i="1"/>
  <c r="M289" i="1"/>
  <c r="L289" i="1"/>
  <c r="J289" i="1"/>
  <c r="H289" i="1"/>
  <c r="O289" i="1" s="1"/>
  <c r="N289" i="1" s="1"/>
  <c r="BW289" i="1" s="1"/>
  <c r="Q288" i="1"/>
  <c r="BB288" i="1" s="1"/>
  <c r="P288" i="1"/>
  <c r="M288" i="1"/>
  <c r="L288" i="1"/>
  <c r="J288" i="1"/>
  <c r="H288" i="1"/>
  <c r="O288" i="1" s="1"/>
  <c r="N288" i="1" s="1"/>
  <c r="Q287" i="1"/>
  <c r="BB287" i="1" s="1"/>
  <c r="P287" i="1"/>
  <c r="M287" i="1"/>
  <c r="L287" i="1"/>
  <c r="J287" i="1"/>
  <c r="H287" i="1"/>
  <c r="O287" i="1" s="1"/>
  <c r="N287" i="1" s="1"/>
  <c r="BW287" i="1" s="1"/>
  <c r="Q286" i="1"/>
  <c r="P286" i="1"/>
  <c r="M286" i="1"/>
  <c r="L286" i="1"/>
  <c r="J286" i="1"/>
  <c r="H286" i="1"/>
  <c r="O286" i="1" s="1"/>
  <c r="N286" i="1" s="1"/>
  <c r="BW286" i="1" s="1"/>
  <c r="Q285" i="1"/>
  <c r="BB285" i="1" s="1"/>
  <c r="P285" i="1"/>
  <c r="M285" i="1"/>
  <c r="L285" i="1"/>
  <c r="AN285" i="1" s="1"/>
  <c r="J285" i="1"/>
  <c r="H285" i="1"/>
  <c r="O285" i="1" s="1"/>
  <c r="N285" i="1" s="1"/>
  <c r="BW285" i="1" s="1"/>
  <c r="Q284" i="1"/>
  <c r="BB284" i="1" s="1"/>
  <c r="P284" i="1"/>
  <c r="M284" i="1"/>
  <c r="L284" i="1"/>
  <c r="J284" i="1"/>
  <c r="H284" i="1"/>
  <c r="O284" i="1" s="1"/>
  <c r="N284" i="1" s="1"/>
  <c r="Q283" i="1"/>
  <c r="BB283" i="1" s="1"/>
  <c r="P283" i="1"/>
  <c r="M283" i="1"/>
  <c r="L283" i="1"/>
  <c r="J283" i="1"/>
  <c r="H283" i="1"/>
  <c r="O283" i="1" s="1"/>
  <c r="N283" i="1" s="1"/>
  <c r="BW283" i="1" s="1"/>
  <c r="Q282" i="1"/>
  <c r="P282" i="1"/>
  <c r="M282" i="1"/>
  <c r="L282" i="1"/>
  <c r="J282" i="1"/>
  <c r="H282" i="1"/>
  <c r="O282" i="1" s="1"/>
  <c r="N282" i="1" s="1"/>
  <c r="BW282" i="1" s="1"/>
  <c r="Q281" i="1"/>
  <c r="BB281" i="1" s="1"/>
  <c r="P281" i="1"/>
  <c r="M281" i="1"/>
  <c r="L281" i="1"/>
  <c r="J281" i="1"/>
  <c r="H281" i="1"/>
  <c r="O281" i="1" s="1"/>
  <c r="N281" i="1" s="1"/>
  <c r="BW281" i="1" s="1"/>
  <c r="Q280" i="1"/>
  <c r="BB280" i="1" s="1"/>
  <c r="P280" i="1"/>
  <c r="M280" i="1"/>
  <c r="L280" i="1"/>
  <c r="J280" i="1"/>
  <c r="H280" i="1"/>
  <c r="O280" i="1" s="1"/>
  <c r="N280" i="1" s="1"/>
  <c r="Q279" i="1"/>
  <c r="BB279" i="1" s="1"/>
  <c r="P279" i="1"/>
  <c r="M279" i="1"/>
  <c r="L279" i="1"/>
  <c r="J279" i="1"/>
  <c r="H279" i="1"/>
  <c r="O279" i="1" s="1"/>
  <c r="N279" i="1" s="1"/>
  <c r="BW279" i="1" s="1"/>
  <c r="Q278" i="1"/>
  <c r="P278" i="1"/>
  <c r="M278" i="1"/>
  <c r="L278" i="1"/>
  <c r="J278" i="1"/>
  <c r="H278" i="1"/>
  <c r="O278" i="1" s="1"/>
  <c r="N278" i="1" s="1"/>
  <c r="BW278" i="1" s="1"/>
  <c r="P277" i="1"/>
  <c r="Q277" i="1"/>
  <c r="H277" i="1"/>
  <c r="O277" i="1" s="1"/>
  <c r="N277" i="1" s="1"/>
  <c r="J277" i="1"/>
  <c r="L277" i="1"/>
  <c r="M277" i="1"/>
  <c r="BK276" i="1"/>
  <c r="BJ276" i="1"/>
  <c r="BK275" i="1"/>
  <c r="BJ275" i="1"/>
  <c r="BK274" i="1"/>
  <c r="BJ274" i="1"/>
  <c r="BK273" i="1"/>
  <c r="BJ273" i="1"/>
  <c r="BK272" i="1"/>
  <c r="BJ272" i="1"/>
  <c r="BK271" i="1"/>
  <c r="BJ271" i="1"/>
  <c r="BK270" i="1"/>
  <c r="BJ270" i="1"/>
  <c r="BK269" i="1"/>
  <c r="BJ269" i="1"/>
  <c r="BK268" i="1"/>
  <c r="BJ268" i="1"/>
  <c r="BK267" i="1"/>
  <c r="BJ267" i="1"/>
  <c r="BK266" i="1"/>
  <c r="BJ266" i="1"/>
  <c r="BK265" i="1"/>
  <c r="BJ265" i="1"/>
  <c r="BK264" i="1"/>
  <c r="BJ264" i="1"/>
  <c r="BK263" i="1"/>
  <c r="BJ263" i="1"/>
  <c r="BK262" i="1"/>
  <c r="BJ262" i="1"/>
  <c r="BK261" i="1"/>
  <c r="BJ261" i="1"/>
  <c r="BK260" i="1"/>
  <c r="BJ260" i="1"/>
  <c r="BK259" i="1"/>
  <c r="BJ259" i="1"/>
  <c r="BK258" i="1"/>
  <c r="BJ258" i="1"/>
  <c r="BK257" i="1"/>
  <c r="BJ257" i="1"/>
  <c r="BK256" i="1"/>
  <c r="BJ256" i="1"/>
  <c r="BH276" i="1"/>
  <c r="BH275" i="1"/>
  <c r="BH274" i="1"/>
  <c r="BH273" i="1"/>
  <c r="BH272" i="1"/>
  <c r="BH271" i="1"/>
  <c r="BH270" i="1"/>
  <c r="BH269" i="1"/>
  <c r="BH268" i="1"/>
  <c r="BH267" i="1"/>
  <c r="BH266" i="1"/>
  <c r="BH265" i="1"/>
  <c r="BH264" i="1"/>
  <c r="BH263" i="1"/>
  <c r="BH262" i="1"/>
  <c r="BH261" i="1"/>
  <c r="BH260" i="1"/>
  <c r="BH259" i="1"/>
  <c r="BH258" i="1"/>
  <c r="BH257" i="1"/>
  <c r="BH256" i="1"/>
  <c r="AX276" i="1"/>
  <c r="AZ276" i="1" s="1"/>
  <c r="BQ276" i="1" s="1"/>
  <c r="AX275" i="1"/>
  <c r="AZ275" i="1" s="1"/>
  <c r="BQ275" i="1" s="1"/>
  <c r="AX274" i="1"/>
  <c r="AZ274" i="1" s="1"/>
  <c r="BQ274" i="1" s="1"/>
  <c r="AX273" i="1"/>
  <c r="AZ273" i="1" s="1"/>
  <c r="BQ273" i="1" s="1"/>
  <c r="AX272" i="1"/>
  <c r="AZ272" i="1" s="1"/>
  <c r="BQ272" i="1" s="1"/>
  <c r="AX271" i="1"/>
  <c r="AZ271" i="1" s="1"/>
  <c r="BQ271" i="1" s="1"/>
  <c r="AX270" i="1"/>
  <c r="AZ270" i="1" s="1"/>
  <c r="BQ270" i="1" s="1"/>
  <c r="AX269" i="1"/>
  <c r="AZ269" i="1" s="1"/>
  <c r="BQ269" i="1" s="1"/>
  <c r="AX268" i="1"/>
  <c r="AZ268" i="1" s="1"/>
  <c r="BQ268" i="1" s="1"/>
  <c r="AX267" i="1"/>
  <c r="AZ267" i="1" s="1"/>
  <c r="BQ267" i="1" s="1"/>
  <c r="AX266" i="1"/>
  <c r="AZ266" i="1" s="1"/>
  <c r="BQ266" i="1" s="1"/>
  <c r="AX265" i="1"/>
  <c r="AZ265" i="1" s="1"/>
  <c r="BQ265" i="1" s="1"/>
  <c r="AX264" i="1"/>
  <c r="AZ264" i="1" s="1"/>
  <c r="BQ264" i="1" s="1"/>
  <c r="AX263" i="1"/>
  <c r="AZ263" i="1" s="1"/>
  <c r="BQ263" i="1" s="1"/>
  <c r="AX262" i="1"/>
  <c r="AZ262" i="1" s="1"/>
  <c r="BQ262" i="1" s="1"/>
  <c r="AX261" i="1"/>
  <c r="AZ261" i="1" s="1"/>
  <c r="BQ261" i="1" s="1"/>
  <c r="AX260" i="1"/>
  <c r="AZ260" i="1" s="1"/>
  <c r="BQ260" i="1" s="1"/>
  <c r="AX259" i="1"/>
  <c r="AZ259" i="1" s="1"/>
  <c r="BQ259" i="1" s="1"/>
  <c r="AX258" i="1"/>
  <c r="AZ258" i="1" s="1"/>
  <c r="BQ258" i="1" s="1"/>
  <c r="AX257" i="1"/>
  <c r="AZ257" i="1" s="1"/>
  <c r="BQ257" i="1" s="1"/>
  <c r="AX256" i="1"/>
  <c r="AZ256" i="1" s="1"/>
  <c r="BQ256" i="1" s="1"/>
  <c r="AW276" i="1"/>
  <c r="AW275" i="1"/>
  <c r="AW274" i="1"/>
  <c r="BZ274" i="1" s="1"/>
  <c r="AW273" i="1"/>
  <c r="AW272" i="1"/>
  <c r="AW271" i="1"/>
  <c r="AW270" i="1"/>
  <c r="BZ270" i="1" s="1"/>
  <c r="AW269" i="1"/>
  <c r="AW268" i="1"/>
  <c r="AW267" i="1"/>
  <c r="AW266" i="1"/>
  <c r="BZ266" i="1" s="1"/>
  <c r="AW265" i="1"/>
  <c r="AW264" i="1"/>
  <c r="AW263" i="1"/>
  <c r="AW262" i="1"/>
  <c r="BZ262" i="1" s="1"/>
  <c r="AW261" i="1"/>
  <c r="AW260" i="1"/>
  <c r="AW259" i="1"/>
  <c r="AW258" i="1"/>
  <c r="BZ258" i="1" s="1"/>
  <c r="AW257" i="1"/>
  <c r="AW256" i="1"/>
  <c r="AM276" i="1"/>
  <c r="AM275" i="1"/>
  <c r="AM274" i="1"/>
  <c r="AM273" i="1"/>
  <c r="AM272" i="1"/>
  <c r="AM271" i="1"/>
  <c r="AM270" i="1"/>
  <c r="AM269" i="1"/>
  <c r="AM268" i="1"/>
  <c r="AM267" i="1"/>
  <c r="AM266" i="1"/>
  <c r="AM265" i="1"/>
  <c r="AM264" i="1"/>
  <c r="AM263" i="1"/>
  <c r="AM262" i="1"/>
  <c r="AM261" i="1"/>
  <c r="AM260" i="1"/>
  <c r="AM259" i="1"/>
  <c r="AM258" i="1"/>
  <c r="AM257" i="1"/>
  <c r="AM256" i="1"/>
  <c r="AD276" i="1"/>
  <c r="AF276" i="1" s="1"/>
  <c r="AD275" i="1"/>
  <c r="AF275" i="1" s="1"/>
  <c r="AH275" i="1" s="1"/>
  <c r="AD274" i="1"/>
  <c r="AF274" i="1" s="1"/>
  <c r="AD273" i="1"/>
  <c r="AF273" i="1" s="1"/>
  <c r="AH273" i="1" s="1"/>
  <c r="AD272" i="1"/>
  <c r="AF272" i="1" s="1"/>
  <c r="AH272" i="1" s="1"/>
  <c r="AD271" i="1"/>
  <c r="AF271" i="1" s="1"/>
  <c r="AD270" i="1"/>
  <c r="AF270" i="1" s="1"/>
  <c r="AH270" i="1" s="1"/>
  <c r="AD269" i="1"/>
  <c r="AF269" i="1" s="1"/>
  <c r="AH269" i="1" s="1"/>
  <c r="AD268" i="1"/>
  <c r="AF268" i="1" s="1"/>
  <c r="AD267" i="1"/>
  <c r="AF267" i="1" s="1"/>
  <c r="AH267" i="1" s="1"/>
  <c r="AD266" i="1"/>
  <c r="AF266" i="1" s="1"/>
  <c r="AD265" i="1"/>
  <c r="AF265" i="1" s="1"/>
  <c r="AD264" i="1"/>
  <c r="AF264" i="1" s="1"/>
  <c r="AG264" i="1" s="1"/>
  <c r="AD263" i="1"/>
  <c r="AF263" i="1" s="1"/>
  <c r="AD262" i="1"/>
  <c r="AF262" i="1" s="1"/>
  <c r="AG262" i="1" s="1"/>
  <c r="AD261" i="1"/>
  <c r="AF261" i="1" s="1"/>
  <c r="AD260" i="1"/>
  <c r="AF260" i="1" s="1"/>
  <c r="AD259" i="1"/>
  <c r="AF259" i="1" s="1"/>
  <c r="AD258" i="1"/>
  <c r="AF258" i="1" s="1"/>
  <c r="AH258" i="1" s="1"/>
  <c r="AD257" i="1"/>
  <c r="AF257" i="1" s="1"/>
  <c r="AH257" i="1" s="1"/>
  <c r="AD256" i="1"/>
  <c r="AF256" i="1" s="1"/>
  <c r="Y256" i="1"/>
  <c r="W256" i="1"/>
  <c r="P276" i="1"/>
  <c r="P275" i="1"/>
  <c r="P274" i="1"/>
  <c r="P273" i="1"/>
  <c r="P272" i="1"/>
  <c r="P271" i="1"/>
  <c r="P270" i="1"/>
  <c r="P269" i="1"/>
  <c r="P268" i="1"/>
  <c r="P261" i="1"/>
  <c r="P260" i="1"/>
  <c r="P259" i="1"/>
  <c r="P256" i="1"/>
  <c r="P258" i="1"/>
  <c r="P257" i="1"/>
  <c r="P267" i="1"/>
  <c r="P266" i="1"/>
  <c r="P265" i="1"/>
  <c r="P264" i="1"/>
  <c r="P263" i="1"/>
  <c r="P262" i="1"/>
  <c r="Q276" i="1"/>
  <c r="BB276" i="1" s="1"/>
  <c r="Q275" i="1"/>
  <c r="BB275" i="1" s="1"/>
  <c r="Q274" i="1"/>
  <c r="BB274" i="1" s="1"/>
  <c r="Q273" i="1"/>
  <c r="Q272" i="1"/>
  <c r="BB272" i="1" s="1"/>
  <c r="Q271" i="1"/>
  <c r="BB271" i="1" s="1"/>
  <c r="Q270" i="1"/>
  <c r="BB270" i="1" s="1"/>
  <c r="Q269" i="1"/>
  <c r="BB269" i="1" s="1"/>
  <c r="Q268" i="1"/>
  <c r="Q267" i="1"/>
  <c r="BB267" i="1" s="1"/>
  <c r="Q266" i="1"/>
  <c r="Q265" i="1"/>
  <c r="BB265" i="1" s="1"/>
  <c r="Q264" i="1"/>
  <c r="BB264" i="1" s="1"/>
  <c r="Q263" i="1"/>
  <c r="Q262" i="1"/>
  <c r="BB262" i="1" s="1"/>
  <c r="Q261" i="1"/>
  <c r="BB261" i="1" s="1"/>
  <c r="Q260" i="1"/>
  <c r="BB260" i="1" s="1"/>
  <c r="Q259" i="1"/>
  <c r="BB259" i="1" s="1"/>
  <c r="Q258" i="1"/>
  <c r="BB258" i="1" s="1"/>
  <c r="Q257" i="1"/>
  <c r="BB257" i="1" s="1"/>
  <c r="Q256" i="1"/>
  <c r="M276" i="1"/>
  <c r="L276" i="1"/>
  <c r="M275" i="1"/>
  <c r="L275" i="1"/>
  <c r="M274" i="1"/>
  <c r="L274" i="1"/>
  <c r="M273" i="1"/>
  <c r="L273" i="1"/>
  <c r="M272" i="1"/>
  <c r="L272" i="1"/>
  <c r="M271" i="1"/>
  <c r="L271" i="1"/>
  <c r="M270" i="1"/>
  <c r="L270" i="1"/>
  <c r="M269" i="1"/>
  <c r="L269" i="1"/>
  <c r="M268" i="1"/>
  <c r="L268" i="1"/>
  <c r="M267" i="1"/>
  <c r="L267" i="1"/>
  <c r="M266" i="1"/>
  <c r="L266" i="1"/>
  <c r="M265" i="1"/>
  <c r="L265" i="1"/>
  <c r="M264" i="1"/>
  <c r="L264" i="1"/>
  <c r="M263" i="1"/>
  <c r="L263" i="1"/>
  <c r="M262" i="1"/>
  <c r="L262" i="1"/>
  <c r="M261" i="1"/>
  <c r="L261" i="1"/>
  <c r="M260" i="1"/>
  <c r="L260" i="1"/>
  <c r="M259" i="1"/>
  <c r="L259" i="1"/>
  <c r="M258" i="1"/>
  <c r="L258" i="1"/>
  <c r="M257" i="1"/>
  <c r="L257" i="1"/>
  <c r="M256" i="1"/>
  <c r="L256" i="1"/>
  <c r="J276" i="1"/>
  <c r="J275" i="1"/>
  <c r="J274" i="1"/>
  <c r="J273" i="1"/>
  <c r="J272" i="1"/>
  <c r="J271" i="1"/>
  <c r="J270" i="1"/>
  <c r="J269" i="1"/>
  <c r="J268" i="1"/>
  <c r="J267" i="1"/>
  <c r="J266" i="1"/>
  <c r="J265" i="1"/>
  <c r="J264" i="1"/>
  <c r="J263" i="1"/>
  <c r="J262" i="1"/>
  <c r="J261" i="1"/>
  <c r="J260" i="1"/>
  <c r="J259" i="1"/>
  <c r="J258" i="1"/>
  <c r="J257" i="1"/>
  <c r="H276" i="1"/>
  <c r="O276" i="1" s="1"/>
  <c r="N276" i="1" s="1"/>
  <c r="BW276" i="1" s="1"/>
  <c r="H275" i="1"/>
  <c r="O275" i="1" s="1"/>
  <c r="N275" i="1" s="1"/>
  <c r="H274" i="1"/>
  <c r="O274" i="1" s="1"/>
  <c r="N274" i="1" s="1"/>
  <c r="BW274" i="1" s="1"/>
  <c r="H273" i="1"/>
  <c r="O273" i="1" s="1"/>
  <c r="N273" i="1" s="1"/>
  <c r="H272" i="1"/>
  <c r="O272" i="1" s="1"/>
  <c r="N272" i="1" s="1"/>
  <c r="BW272" i="1" s="1"/>
  <c r="H271" i="1"/>
  <c r="O271" i="1" s="1"/>
  <c r="N271" i="1" s="1"/>
  <c r="BW271" i="1" s="1"/>
  <c r="H270" i="1"/>
  <c r="O270" i="1" s="1"/>
  <c r="N270" i="1" s="1"/>
  <c r="BW270" i="1" s="1"/>
  <c r="H269" i="1"/>
  <c r="O269" i="1" s="1"/>
  <c r="N269" i="1" s="1"/>
  <c r="H268" i="1"/>
  <c r="O268" i="1" s="1"/>
  <c r="N268" i="1" s="1"/>
  <c r="BW268" i="1" s="1"/>
  <c r="H267" i="1"/>
  <c r="O267" i="1" s="1"/>
  <c r="N267" i="1" s="1"/>
  <c r="H266" i="1"/>
  <c r="O266" i="1" s="1"/>
  <c r="N266" i="1" s="1"/>
  <c r="BW266" i="1" s="1"/>
  <c r="H265" i="1"/>
  <c r="O265" i="1" s="1"/>
  <c r="N265" i="1" s="1"/>
  <c r="H264" i="1"/>
  <c r="O264" i="1" s="1"/>
  <c r="N264" i="1" s="1"/>
  <c r="BW264" i="1" s="1"/>
  <c r="H263" i="1"/>
  <c r="O263" i="1" s="1"/>
  <c r="N263" i="1" s="1"/>
  <c r="BW263" i="1" s="1"/>
  <c r="H262" i="1"/>
  <c r="O262" i="1" s="1"/>
  <c r="N262" i="1" s="1"/>
  <c r="BW262" i="1" s="1"/>
  <c r="H261" i="1"/>
  <c r="O261" i="1" s="1"/>
  <c r="N261" i="1" s="1"/>
  <c r="H260" i="1"/>
  <c r="O260" i="1" s="1"/>
  <c r="N260" i="1" s="1"/>
  <c r="BW260" i="1" s="1"/>
  <c r="H259" i="1"/>
  <c r="O259" i="1" s="1"/>
  <c r="N259" i="1" s="1"/>
  <c r="H258" i="1"/>
  <c r="O258" i="1" s="1"/>
  <c r="N258" i="1" s="1"/>
  <c r="BW258" i="1" s="1"/>
  <c r="H257" i="1"/>
  <c r="O257" i="1" s="1"/>
  <c r="N257" i="1" s="1"/>
  <c r="J256" i="1"/>
  <c r="H256" i="1"/>
  <c r="O256" i="1" s="1"/>
  <c r="N256" i="1" s="1"/>
  <c r="BW256" i="1" s="1"/>
  <c r="BH255" i="1"/>
  <c r="BH254" i="1"/>
  <c r="BK255" i="1"/>
  <c r="BJ255" i="1"/>
  <c r="BK254" i="1"/>
  <c r="BJ254" i="1"/>
  <c r="BK253" i="1"/>
  <c r="BJ253" i="1"/>
  <c r="BK252" i="1"/>
  <c r="BJ252" i="1"/>
  <c r="BK251" i="1"/>
  <c r="BJ251" i="1"/>
  <c r="BK250" i="1"/>
  <c r="BJ250" i="1"/>
  <c r="BK249" i="1"/>
  <c r="BJ249" i="1"/>
  <c r="BK248" i="1"/>
  <c r="BJ248" i="1"/>
  <c r="BK247" i="1"/>
  <c r="BJ247" i="1"/>
  <c r="BK246" i="1"/>
  <c r="BJ246" i="1"/>
  <c r="BK245" i="1"/>
  <c r="BJ245" i="1"/>
  <c r="BK244" i="1"/>
  <c r="BJ244" i="1"/>
  <c r="BK243" i="1"/>
  <c r="BJ243" i="1"/>
  <c r="BK242" i="1"/>
  <c r="BJ242" i="1"/>
  <c r="BK241" i="1"/>
  <c r="BJ241" i="1"/>
  <c r="BK240" i="1"/>
  <c r="BJ240" i="1"/>
  <c r="BK239" i="1"/>
  <c r="BJ239" i="1"/>
  <c r="BK238" i="1"/>
  <c r="BJ238" i="1"/>
  <c r="AX279" i="1" l="1"/>
  <c r="AZ279" i="1" s="1"/>
  <c r="BQ279" i="1" s="1"/>
  <c r="BZ279" i="1"/>
  <c r="BZ263" i="1"/>
  <c r="BZ271" i="1"/>
  <c r="BX278" i="1"/>
  <c r="AX280" i="1"/>
  <c r="AZ280" i="1" s="1"/>
  <c r="BQ280" i="1" s="1"/>
  <c r="BZ280" i="1"/>
  <c r="AX288" i="1"/>
  <c r="AZ288" i="1" s="1"/>
  <c r="BQ288" i="1" s="1"/>
  <c r="BZ288" i="1"/>
  <c r="AX287" i="1"/>
  <c r="AZ287" i="1" s="1"/>
  <c r="BQ287" i="1" s="1"/>
  <c r="BZ287" i="1"/>
  <c r="BW257" i="1"/>
  <c r="BW265" i="1"/>
  <c r="BW273" i="1"/>
  <c r="BX273" i="1" s="1"/>
  <c r="BZ256" i="1"/>
  <c r="BZ264" i="1"/>
  <c r="BZ272" i="1"/>
  <c r="BZ281" i="1"/>
  <c r="AX289" i="1"/>
  <c r="AZ289" i="1" s="1"/>
  <c r="BQ289" i="1" s="1"/>
  <c r="BZ289" i="1"/>
  <c r="BX258" i="1"/>
  <c r="BZ257" i="1"/>
  <c r="BZ265" i="1"/>
  <c r="BZ273" i="1"/>
  <c r="BX281" i="1"/>
  <c r="BX285" i="1"/>
  <c r="AX282" i="1"/>
  <c r="AZ282" i="1" s="1"/>
  <c r="BQ282" i="1" s="1"/>
  <c r="BZ282" i="1"/>
  <c r="AX290" i="1"/>
  <c r="AZ290" i="1" s="1"/>
  <c r="BQ290" i="1" s="1"/>
  <c r="BZ290" i="1"/>
  <c r="BW275" i="1"/>
  <c r="AX283" i="1"/>
  <c r="AZ283" i="1" s="1"/>
  <c r="BQ283" i="1" s="1"/>
  <c r="BZ283" i="1"/>
  <c r="BZ259" i="1"/>
  <c r="BZ267" i="1"/>
  <c r="BZ275" i="1"/>
  <c r="BW280" i="1"/>
  <c r="BW284" i="1"/>
  <c r="AP285" i="1"/>
  <c r="BR285" i="1"/>
  <c r="BW288" i="1"/>
  <c r="BX288" i="1" s="1"/>
  <c r="AX284" i="1"/>
  <c r="AZ284" i="1" s="1"/>
  <c r="BQ284" i="1" s="1"/>
  <c r="BZ284" i="1"/>
  <c r="BW259" i="1"/>
  <c r="BW267" i="1"/>
  <c r="BW261" i="1"/>
  <c r="BW269" i="1"/>
  <c r="BX269" i="1" s="1"/>
  <c r="BZ260" i="1"/>
  <c r="BZ268" i="1"/>
  <c r="BZ276" i="1"/>
  <c r="BW277" i="1"/>
  <c r="AX277" i="1"/>
  <c r="AZ277" i="1" s="1"/>
  <c r="BQ277" i="1" s="1"/>
  <c r="BZ277" i="1"/>
  <c r="BZ285" i="1"/>
  <c r="BZ261" i="1"/>
  <c r="BZ269" i="1"/>
  <c r="BX279" i="1"/>
  <c r="AX286" i="1"/>
  <c r="AZ286" i="1" s="1"/>
  <c r="BQ286" i="1" s="1"/>
  <c r="BZ286" i="1"/>
  <c r="R285" i="1"/>
  <c r="AN258" i="1"/>
  <c r="AN274" i="1"/>
  <c r="R288" i="1"/>
  <c r="BE260" i="1"/>
  <c r="BE264" i="1"/>
  <c r="BE262" i="1"/>
  <c r="R266" i="1"/>
  <c r="BE270" i="1"/>
  <c r="BE261" i="1"/>
  <c r="BE265" i="1"/>
  <c r="BE279" i="1"/>
  <c r="BE281" i="1"/>
  <c r="BE283" i="1"/>
  <c r="BE285" i="1"/>
  <c r="AN266" i="1"/>
  <c r="AN270" i="1"/>
  <c r="BE258" i="1"/>
  <c r="BE271" i="1"/>
  <c r="BE275" i="1"/>
  <c r="BE259" i="1"/>
  <c r="BE267" i="1"/>
  <c r="BL258" i="1"/>
  <c r="BN258" i="1" s="1"/>
  <c r="BL262" i="1"/>
  <c r="BN262" i="1" s="1"/>
  <c r="BL266" i="1"/>
  <c r="BM266" i="1" s="1"/>
  <c r="BL270" i="1"/>
  <c r="BL274" i="1"/>
  <c r="BN274" i="1" s="1"/>
  <c r="R284" i="1"/>
  <c r="BE287" i="1"/>
  <c r="R289" i="1"/>
  <c r="AN281" i="1"/>
  <c r="AN289" i="1"/>
  <c r="AN262" i="1"/>
  <c r="AG267" i="1"/>
  <c r="AI267" i="1" s="1"/>
  <c r="AH260" i="1"/>
  <c r="AG260" i="1"/>
  <c r="R268" i="1"/>
  <c r="BE272" i="1"/>
  <c r="BE276" i="1"/>
  <c r="R257" i="1"/>
  <c r="R274" i="1"/>
  <c r="BL260" i="1"/>
  <c r="BN260" i="1" s="1"/>
  <c r="BL264" i="1"/>
  <c r="BN264" i="1" s="1"/>
  <c r="BL276" i="1"/>
  <c r="BN276" i="1" s="1"/>
  <c r="BE280" i="1"/>
  <c r="AN278" i="1"/>
  <c r="AN282" i="1"/>
  <c r="AN286" i="1"/>
  <c r="BE269" i="1"/>
  <c r="R261" i="1"/>
  <c r="R265" i="1"/>
  <c r="AN259" i="1"/>
  <c r="AN263" i="1"/>
  <c r="AN267" i="1"/>
  <c r="AN271" i="1"/>
  <c r="AN275" i="1"/>
  <c r="R279" i="1"/>
  <c r="R281" i="1"/>
  <c r="R283" i="1"/>
  <c r="BE288" i="1"/>
  <c r="BE290" i="1"/>
  <c r="AN279" i="1"/>
  <c r="AN287" i="1"/>
  <c r="BL279" i="1"/>
  <c r="BM279" i="1" s="1"/>
  <c r="BL283" i="1"/>
  <c r="BM283" i="1" s="1"/>
  <c r="BL287" i="1"/>
  <c r="BM287" i="1" s="1"/>
  <c r="AN256" i="1"/>
  <c r="AN260" i="1"/>
  <c r="AN264" i="1"/>
  <c r="AN268" i="1"/>
  <c r="AN272" i="1"/>
  <c r="AN276" i="1"/>
  <c r="AN277" i="1"/>
  <c r="AN280" i="1"/>
  <c r="AN284" i="1"/>
  <c r="AN288" i="1"/>
  <c r="BB256" i="1"/>
  <c r="BE256" i="1" s="1"/>
  <c r="R256" i="1"/>
  <c r="R260" i="1"/>
  <c r="AH259" i="1"/>
  <c r="AG259" i="1"/>
  <c r="AH263" i="1"/>
  <c r="AG263" i="1"/>
  <c r="AH271" i="1"/>
  <c r="AG271" i="1"/>
  <c r="AH262" i="1"/>
  <c r="AI262" i="1" s="1"/>
  <c r="AG272" i="1"/>
  <c r="AI272" i="1" s="1"/>
  <c r="BX272" i="1" s="1"/>
  <c r="BE274" i="1"/>
  <c r="R278" i="1"/>
  <c r="BB278" i="1"/>
  <c r="BE278" i="1" s="1"/>
  <c r="BE284" i="1"/>
  <c r="BE257" i="1"/>
  <c r="BB273" i="1"/>
  <c r="BE273" i="1" s="1"/>
  <c r="R273" i="1"/>
  <c r="AH264" i="1"/>
  <c r="AI264" i="1" s="1"/>
  <c r="BX264" i="1" s="1"/>
  <c r="AG275" i="1"/>
  <c r="AI275" i="1" s="1"/>
  <c r="AH268" i="1"/>
  <c r="AG268" i="1"/>
  <c r="AN257" i="1"/>
  <c r="AN261" i="1"/>
  <c r="AN265" i="1"/>
  <c r="AN269" i="1"/>
  <c r="AN273" i="1"/>
  <c r="BB277" i="1"/>
  <c r="BE277" i="1" s="1"/>
  <c r="R277" i="1"/>
  <c r="AN290" i="1"/>
  <c r="AG261" i="1"/>
  <c r="AH261" i="1"/>
  <c r="AH265" i="1"/>
  <c r="AG265" i="1"/>
  <c r="AG258" i="1"/>
  <c r="AI258" i="1" s="1"/>
  <c r="AH256" i="1"/>
  <c r="AG256" i="1"/>
  <c r="BB266" i="1"/>
  <c r="BE266" i="1" s="1"/>
  <c r="AN283" i="1"/>
  <c r="R263" i="1"/>
  <c r="BB263" i="1"/>
  <c r="BE263" i="1" s="1"/>
  <c r="AH266" i="1"/>
  <c r="AG266" i="1"/>
  <c r="AH274" i="1"/>
  <c r="AG274" i="1"/>
  <c r="AG270" i="1"/>
  <c r="AI270" i="1" s="1"/>
  <c r="AH276" i="1"/>
  <c r="AG276" i="1"/>
  <c r="BN270" i="1"/>
  <c r="BB289" i="1"/>
  <c r="BE289" i="1" s="1"/>
  <c r="R271" i="1"/>
  <c r="R258" i="1"/>
  <c r="BL257" i="1"/>
  <c r="R282" i="1"/>
  <c r="BL278" i="1"/>
  <c r="BN278" i="1" s="1"/>
  <c r="BL282" i="1"/>
  <c r="BL286" i="1"/>
  <c r="BL290" i="1"/>
  <c r="R269" i="1"/>
  <c r="R276" i="1"/>
  <c r="BL259" i="1"/>
  <c r="BM259" i="1" s="1"/>
  <c r="BL273" i="1"/>
  <c r="BB268" i="1"/>
  <c r="BE268" i="1" s="1"/>
  <c r="R286" i="1"/>
  <c r="BL281" i="1"/>
  <c r="BL285" i="1"/>
  <c r="BL289" i="1"/>
  <c r="BL255" i="1"/>
  <c r="BM255" i="1" s="1"/>
  <c r="BL267" i="1"/>
  <c r="BN267" i="1" s="1"/>
  <c r="BL271" i="1"/>
  <c r="BN271" i="1" s="1"/>
  <c r="R280" i="1"/>
  <c r="R287" i="1"/>
  <c r="R290" i="1"/>
  <c r="BB282" i="1"/>
  <c r="BE282" i="1" s="1"/>
  <c r="BB286" i="1"/>
  <c r="BE286" i="1" s="1"/>
  <c r="BL280" i="1"/>
  <c r="BM280" i="1" s="1"/>
  <c r="BL284" i="1"/>
  <c r="BL288" i="1"/>
  <c r="BN279" i="1"/>
  <c r="BN283" i="1"/>
  <c r="BN287" i="1"/>
  <c r="BL277" i="1"/>
  <c r="AG278" i="1"/>
  <c r="AI278" i="1" s="1"/>
  <c r="AG279" i="1"/>
  <c r="AI279" i="1" s="1"/>
  <c r="AG280" i="1"/>
  <c r="AI280" i="1" s="1"/>
  <c r="AG281" i="1"/>
  <c r="AI281" i="1" s="1"/>
  <c r="BP281" i="1" s="1"/>
  <c r="AG282" i="1"/>
  <c r="AI282" i="1" s="1"/>
  <c r="BP282" i="1" s="1"/>
  <c r="AG283" i="1"/>
  <c r="AI283" i="1" s="1"/>
  <c r="BP283" i="1" s="1"/>
  <c r="AG284" i="1"/>
  <c r="AI284" i="1" s="1"/>
  <c r="BP284" i="1" s="1"/>
  <c r="AG285" i="1"/>
  <c r="AI285" i="1" s="1"/>
  <c r="BP285" i="1" s="1"/>
  <c r="AG286" i="1"/>
  <c r="AI286" i="1" s="1"/>
  <c r="BP286" i="1" s="1"/>
  <c r="AG287" i="1"/>
  <c r="AI287" i="1" s="1"/>
  <c r="BP287" i="1" s="1"/>
  <c r="AG288" i="1"/>
  <c r="AI288" i="1" s="1"/>
  <c r="BP288" i="1" s="1"/>
  <c r="AG289" i="1"/>
  <c r="AI289" i="1" s="1"/>
  <c r="BP289" i="1" s="1"/>
  <c r="AG290" i="1"/>
  <c r="AI290" i="1" s="1"/>
  <c r="BP290" i="1" s="1"/>
  <c r="BL275" i="1"/>
  <c r="BN275" i="1" s="1"/>
  <c r="BL272" i="1"/>
  <c r="BM272" i="1" s="1"/>
  <c r="BL269" i="1"/>
  <c r="BL268" i="1"/>
  <c r="BM268" i="1" s="1"/>
  <c r="BL265" i="1"/>
  <c r="BL263" i="1"/>
  <c r="BN263" i="1" s="1"/>
  <c r="BL261" i="1"/>
  <c r="BL256" i="1"/>
  <c r="BN256" i="1" s="1"/>
  <c r="BM270" i="1"/>
  <c r="BM274" i="1"/>
  <c r="AG269" i="1"/>
  <c r="AI269" i="1" s="1"/>
  <c r="AG257" i="1"/>
  <c r="AI257" i="1" s="1"/>
  <c r="AG273" i="1"/>
  <c r="AI273" i="1" s="1"/>
  <c r="AI268" i="1"/>
  <c r="BX268" i="1" s="1"/>
  <c r="R264" i="1"/>
  <c r="R272" i="1"/>
  <c r="R259" i="1"/>
  <c r="R262" i="1"/>
  <c r="R267" i="1"/>
  <c r="R270" i="1"/>
  <c r="R275" i="1"/>
  <c r="BL254" i="1"/>
  <c r="BH247" i="1"/>
  <c r="BL247" i="1" s="1"/>
  <c r="BH244" i="1"/>
  <c r="BL244" i="1" s="1"/>
  <c r="BM244" i="1" s="1"/>
  <c r="AX247" i="1"/>
  <c r="AZ247" i="1" s="1"/>
  <c r="BQ247" i="1" s="1"/>
  <c r="AS247" i="1"/>
  <c r="AW247" i="1" s="1"/>
  <c r="AX244" i="1"/>
  <c r="AZ244" i="1" s="1"/>
  <c r="BQ244" i="1" s="1"/>
  <c r="AS244" i="1"/>
  <c r="AW244" i="1" s="1"/>
  <c r="BZ244" i="1" s="1"/>
  <c r="AM247" i="1"/>
  <c r="AM246" i="1"/>
  <c r="AM244" i="1"/>
  <c r="AH247" i="1"/>
  <c r="AG247" i="1"/>
  <c r="AH244" i="1"/>
  <c r="AG244" i="1"/>
  <c r="AD247" i="1"/>
  <c r="AD244" i="1"/>
  <c r="Y247" i="1"/>
  <c r="W247" i="1"/>
  <c r="Y244" i="1"/>
  <c r="W244" i="1"/>
  <c r="Q247" i="1"/>
  <c r="BB247" i="1" s="1"/>
  <c r="P247" i="1"/>
  <c r="M247" i="1"/>
  <c r="L247" i="1"/>
  <c r="J247" i="1"/>
  <c r="H247" i="1"/>
  <c r="O247" i="1" s="1"/>
  <c r="N247" i="1" s="1"/>
  <c r="BW247" i="1" s="1"/>
  <c r="Q244" i="1"/>
  <c r="BB244" i="1" s="1"/>
  <c r="P244" i="1"/>
  <c r="M244" i="1"/>
  <c r="L244" i="1"/>
  <c r="J244" i="1"/>
  <c r="H244" i="1"/>
  <c r="O244" i="1" s="1"/>
  <c r="N244" i="1" s="1"/>
  <c r="BW244" i="1" s="1"/>
  <c r="BY258" i="1" l="1"/>
  <c r="BM282" i="1"/>
  <c r="CD282" i="1"/>
  <c r="AP264" i="1"/>
  <c r="BR264" i="1" s="1"/>
  <c r="AP261" i="1"/>
  <c r="BR261" i="1"/>
  <c r="BV264" i="1"/>
  <c r="BY264" i="1" s="1"/>
  <c r="CB264" i="1" s="1"/>
  <c r="BS264" i="1"/>
  <c r="BM261" i="1"/>
  <c r="BN288" i="1"/>
  <c r="BM273" i="1"/>
  <c r="BV282" i="1"/>
  <c r="CA282" i="1" s="1"/>
  <c r="BS282" i="1"/>
  <c r="AP283" i="1"/>
  <c r="BR283" i="1"/>
  <c r="AP257" i="1"/>
  <c r="BR257" i="1"/>
  <c r="AP284" i="1"/>
  <c r="BR284" i="1" s="1"/>
  <c r="AP256" i="1"/>
  <c r="BR256" i="1"/>
  <c r="BV283" i="1"/>
  <c r="CA283" i="1" s="1"/>
  <c r="BS283" i="1"/>
  <c r="BV265" i="1"/>
  <c r="AP274" i="1"/>
  <c r="BR274" i="1" s="1"/>
  <c r="BX267" i="1"/>
  <c r="BY267" i="1" s="1"/>
  <c r="CB267" i="1" s="1"/>
  <c r="BX265" i="1"/>
  <c r="BY265" i="1" s="1"/>
  <c r="BV286" i="1"/>
  <c r="CA286" i="1" s="1"/>
  <c r="BS286" i="1"/>
  <c r="BV268" i="1"/>
  <c r="BY268" i="1" s="1"/>
  <c r="CB268" i="1" s="1"/>
  <c r="BS268" i="1"/>
  <c r="BV280" i="1"/>
  <c r="BS280" i="1"/>
  <c r="BV288" i="1"/>
  <c r="CA288" i="1" s="1"/>
  <c r="BS288" i="1"/>
  <c r="CA268" i="1"/>
  <c r="BP268" i="1"/>
  <c r="CA280" i="1"/>
  <c r="BP280" i="1"/>
  <c r="BM284" i="1"/>
  <c r="BM257" i="1"/>
  <c r="CA270" i="1"/>
  <c r="BP270" i="1"/>
  <c r="AP290" i="1"/>
  <c r="BR290" i="1"/>
  <c r="AP280" i="1"/>
  <c r="BR280" i="1"/>
  <c r="BV281" i="1"/>
  <c r="CA281" i="1" s="1"/>
  <c r="BS281" i="1"/>
  <c r="BV261" i="1"/>
  <c r="BP267" i="1"/>
  <c r="AP258" i="1"/>
  <c r="BR258" i="1"/>
  <c r="BX259" i="1"/>
  <c r="BY259" i="1" s="1"/>
  <c r="BX284" i="1"/>
  <c r="BY284" i="1" s="1"/>
  <c r="CB284" i="1" s="1"/>
  <c r="CC284" i="1" s="1"/>
  <c r="BX257" i="1"/>
  <c r="AP263" i="1"/>
  <c r="BR263" i="1"/>
  <c r="BX283" i="1"/>
  <c r="AP288" i="1"/>
  <c r="BR288" i="1"/>
  <c r="BV284" i="1"/>
  <c r="CA284" i="1" s="1"/>
  <c r="BS284" i="1"/>
  <c r="BV275" i="1"/>
  <c r="BS275" i="1"/>
  <c r="BP273" i="1"/>
  <c r="BM265" i="1"/>
  <c r="BP279" i="1"/>
  <c r="BV276" i="1"/>
  <c r="BV258" i="1"/>
  <c r="BS258" i="1"/>
  <c r="BV277" i="1"/>
  <c r="BV278" i="1"/>
  <c r="BY278" i="1" s="1"/>
  <c r="CB278" i="1" s="1"/>
  <c r="BS278" i="1"/>
  <c r="AP277" i="1"/>
  <c r="BR277" i="1"/>
  <c r="BV279" i="1"/>
  <c r="CA279" i="1" s="1"/>
  <c r="BS279" i="1"/>
  <c r="BV274" i="1"/>
  <c r="AP262" i="1"/>
  <c r="BR262" i="1"/>
  <c r="AP270" i="1"/>
  <c r="BR270" i="1"/>
  <c r="BV285" i="1"/>
  <c r="CA285" i="1" s="1"/>
  <c r="BS285" i="1"/>
  <c r="BX280" i="1"/>
  <c r="BY280" i="1" s="1"/>
  <c r="CB280" i="1" s="1"/>
  <c r="BV259" i="1"/>
  <c r="BV287" i="1"/>
  <c r="CA287" i="1" s="1"/>
  <c r="BS287" i="1"/>
  <c r="AP265" i="1"/>
  <c r="BR265" i="1"/>
  <c r="BV272" i="1"/>
  <c r="BY272" i="1" s="1"/>
  <c r="CB272" i="1" s="1"/>
  <c r="BS272" i="1"/>
  <c r="CA278" i="1"/>
  <c r="BP278" i="1"/>
  <c r="BN289" i="1"/>
  <c r="BV269" i="1"/>
  <c r="BS269" i="1"/>
  <c r="BV271" i="1"/>
  <c r="CA275" i="1"/>
  <c r="BP275" i="1"/>
  <c r="AP276" i="1"/>
  <c r="BR276" i="1"/>
  <c r="AP275" i="1"/>
  <c r="BR275" i="1"/>
  <c r="AP286" i="1"/>
  <c r="BR286" i="1" s="1"/>
  <c r="BV257" i="1"/>
  <c r="CA257" i="1" s="1"/>
  <c r="BS257" i="1"/>
  <c r="AP289" i="1"/>
  <c r="BR289" i="1"/>
  <c r="AP266" i="1"/>
  <c r="BR266" i="1"/>
  <c r="BV266" i="1"/>
  <c r="BX270" i="1"/>
  <c r="BY270" i="1" s="1"/>
  <c r="BY269" i="1"/>
  <c r="AP259" i="1"/>
  <c r="BR259" i="1"/>
  <c r="BV270" i="1"/>
  <c r="BS270" i="1"/>
  <c r="BV267" i="1"/>
  <c r="CA267" i="1" s="1"/>
  <c r="BS267" i="1"/>
  <c r="CA269" i="1"/>
  <c r="BP269" i="1"/>
  <c r="BM269" i="1"/>
  <c r="BN277" i="1"/>
  <c r="BM285" i="1"/>
  <c r="BN290" i="1"/>
  <c r="CA258" i="1"/>
  <c r="BP258" i="1"/>
  <c r="AP273" i="1"/>
  <c r="BR273" i="1"/>
  <c r="CA264" i="1"/>
  <c r="BP264" i="1"/>
  <c r="CA272" i="1"/>
  <c r="BP272" i="1"/>
  <c r="BV260" i="1"/>
  <c r="AP272" i="1"/>
  <c r="BR272" i="1"/>
  <c r="AP287" i="1"/>
  <c r="BR287" i="1"/>
  <c r="AP271" i="1"/>
  <c r="BR271" i="1"/>
  <c r="AP282" i="1"/>
  <c r="BR282" i="1" s="1"/>
  <c r="AP281" i="1"/>
  <c r="BR281" i="1"/>
  <c r="BX290" i="1"/>
  <c r="BV263" i="1"/>
  <c r="AP260" i="1"/>
  <c r="BR260" i="1"/>
  <c r="BP257" i="1"/>
  <c r="BZ247" i="1"/>
  <c r="BV262" i="1"/>
  <c r="BS262" i="1"/>
  <c r="BV290" i="1"/>
  <c r="CA290" i="1" s="1"/>
  <c r="BS290" i="1"/>
  <c r="BM281" i="1"/>
  <c r="BM286" i="1"/>
  <c r="AP269" i="1"/>
  <c r="BR269" i="1"/>
  <c r="BV273" i="1"/>
  <c r="CA273" i="1" s="1"/>
  <c r="BS273" i="1"/>
  <c r="CA262" i="1"/>
  <c r="BP262" i="1"/>
  <c r="BV256" i="1"/>
  <c r="AP268" i="1"/>
  <c r="BR268" i="1"/>
  <c r="AP279" i="1"/>
  <c r="BR279" i="1"/>
  <c r="AP267" i="1"/>
  <c r="BR267" i="1" s="1"/>
  <c r="AP278" i="1"/>
  <c r="BR278" i="1"/>
  <c r="BV289" i="1"/>
  <c r="CA289" i="1" s="1"/>
  <c r="BS289" i="1"/>
  <c r="BX287" i="1"/>
  <c r="BY287" i="1" s="1"/>
  <c r="CB287" i="1" s="1"/>
  <c r="BX262" i="1"/>
  <c r="BY262" i="1" s="1"/>
  <c r="BX289" i="1"/>
  <c r="BY289" i="1" s="1"/>
  <c r="CB289" i="1" s="1"/>
  <c r="CC289" i="1" s="1"/>
  <c r="BX286" i="1"/>
  <c r="BY275" i="1"/>
  <c r="CB275" i="1" s="1"/>
  <c r="BX275" i="1"/>
  <c r="BX282" i="1"/>
  <c r="BY282" i="1" s="1"/>
  <c r="CB282" i="1" s="1"/>
  <c r="CC282" i="1" s="1"/>
  <c r="BM258" i="1"/>
  <c r="BM276" i="1"/>
  <c r="BM262" i="1"/>
  <c r="BN273" i="1"/>
  <c r="BM271" i="1"/>
  <c r="BM278" i="1"/>
  <c r="BN280" i="1"/>
  <c r="BN282" i="1"/>
  <c r="BN284" i="1"/>
  <c r="BN286" i="1"/>
  <c r="BN266" i="1"/>
  <c r="BN259" i="1"/>
  <c r="BM289" i="1"/>
  <c r="AI261" i="1"/>
  <c r="BM264" i="1"/>
  <c r="BM260" i="1"/>
  <c r="BN285" i="1"/>
  <c r="BE247" i="1"/>
  <c r="R244" i="1"/>
  <c r="AI260" i="1"/>
  <c r="BN247" i="1"/>
  <c r="BM247" i="1"/>
  <c r="BE244" i="1"/>
  <c r="BN257" i="1"/>
  <c r="BM288" i="1"/>
  <c r="BN281" i="1"/>
  <c r="BM290" i="1"/>
  <c r="AI274" i="1"/>
  <c r="AI265" i="1"/>
  <c r="BS265" i="1" s="1"/>
  <c r="AI271" i="1"/>
  <c r="AI259" i="1"/>
  <c r="BS259" i="1" s="1"/>
  <c r="R247" i="1"/>
  <c r="AI244" i="1"/>
  <c r="BM267" i="1"/>
  <c r="BN268" i="1"/>
  <c r="AI276" i="1"/>
  <c r="BS276" i="1" s="1"/>
  <c r="AI256" i="1"/>
  <c r="BN244" i="1"/>
  <c r="AI266" i="1"/>
  <c r="BS266" i="1" s="1"/>
  <c r="AI263" i="1"/>
  <c r="BS263" i="1" s="1"/>
  <c r="BM277" i="1"/>
  <c r="BM275" i="1"/>
  <c r="BN272" i="1"/>
  <c r="BN269" i="1"/>
  <c r="BN265" i="1"/>
  <c r="BM263" i="1"/>
  <c r="BN261" i="1"/>
  <c r="BM256" i="1"/>
  <c r="BM254" i="1"/>
  <c r="AN244" i="1"/>
  <c r="BR244" i="1" s="1"/>
  <c r="AP244" i="1"/>
  <c r="AN247" i="1"/>
  <c r="AI247" i="1"/>
  <c r="BX247" i="1" s="1"/>
  <c r="AP247" i="1"/>
  <c r="CD280" i="1" l="1"/>
  <c r="CC280" i="1"/>
  <c r="CD268" i="1"/>
  <c r="CC268" i="1"/>
  <c r="CD278" i="1"/>
  <c r="CC278" i="1"/>
  <c r="CD267" i="1"/>
  <c r="CC267" i="1"/>
  <c r="CD264" i="1"/>
  <c r="CC264" i="1"/>
  <c r="CD272" i="1"/>
  <c r="CC272" i="1"/>
  <c r="BD244" i="1"/>
  <c r="CA244" i="1"/>
  <c r="BP244" i="1"/>
  <c r="BV247" i="1"/>
  <c r="BY247" i="1" s="1"/>
  <c r="CB247" i="1" s="1"/>
  <c r="BS247" i="1"/>
  <c r="CB270" i="1"/>
  <c r="CD284" i="1"/>
  <c r="BY279" i="1"/>
  <c r="CB279" i="1" s="1"/>
  <c r="CB265" i="1"/>
  <c r="CB269" i="1"/>
  <c r="CA271" i="1"/>
  <c r="BP271" i="1"/>
  <c r="BX271" i="1"/>
  <c r="BY271" i="1" s="1"/>
  <c r="CB271" i="1" s="1"/>
  <c r="CA261" i="1"/>
  <c r="BP261" i="1"/>
  <c r="BY290" i="1"/>
  <c r="CB290" i="1" s="1"/>
  <c r="BS271" i="1"/>
  <c r="BY283" i="1"/>
  <c r="CB283" i="1" s="1"/>
  <c r="BY273" i="1"/>
  <c r="CB273" i="1" s="1"/>
  <c r="CD289" i="1"/>
  <c r="CD287" i="1"/>
  <c r="CC287" i="1"/>
  <c r="CA256" i="1"/>
  <c r="BP256" i="1"/>
  <c r="BX256" i="1"/>
  <c r="BY256" i="1" s="1"/>
  <c r="CB256" i="1" s="1"/>
  <c r="CD275" i="1"/>
  <c r="CC275" i="1"/>
  <c r="BS256" i="1"/>
  <c r="BX244" i="1"/>
  <c r="CA263" i="1"/>
  <c r="BP263" i="1"/>
  <c r="BX263" i="1"/>
  <c r="BY263" i="1" s="1"/>
  <c r="CB263" i="1" s="1"/>
  <c r="CA266" i="1"/>
  <c r="BP266" i="1"/>
  <c r="BX266" i="1"/>
  <c r="BY266" i="1" s="1"/>
  <c r="CA274" i="1"/>
  <c r="BP274" i="1"/>
  <c r="BX274" i="1"/>
  <c r="BY274" i="1" s="1"/>
  <c r="CB274" i="1" s="1"/>
  <c r="BY288" i="1"/>
  <c r="CB288" i="1" s="1"/>
  <c r="CB262" i="1"/>
  <c r="CA259" i="1"/>
  <c r="CB259" i="1" s="1"/>
  <c r="BP259" i="1"/>
  <c r="BY285" i="1"/>
  <c r="CB285" i="1" s="1"/>
  <c r="BD247" i="1"/>
  <c r="CA247" i="1"/>
  <c r="BP247" i="1"/>
  <c r="CA265" i="1"/>
  <c r="BP265" i="1"/>
  <c r="BR247" i="1"/>
  <c r="CA276" i="1"/>
  <c r="BP276" i="1"/>
  <c r="BX276" i="1"/>
  <c r="BY276" i="1" s="1"/>
  <c r="CA260" i="1"/>
  <c r="BP260" i="1"/>
  <c r="BX260" i="1"/>
  <c r="BY260" i="1" s="1"/>
  <c r="BV244" i="1"/>
  <c r="BS244" i="1"/>
  <c r="BY286" i="1"/>
  <c r="CB286" i="1" s="1"/>
  <c r="BS260" i="1"/>
  <c r="BY281" i="1"/>
  <c r="CB281" i="1" s="1"/>
  <c r="BS274" i="1"/>
  <c r="BX261" i="1"/>
  <c r="BY261" i="1" s="1"/>
  <c r="CB261" i="1" s="1"/>
  <c r="BY257" i="1"/>
  <c r="CB257" i="1" s="1"/>
  <c r="BS261" i="1"/>
  <c r="CB258" i="1"/>
  <c r="BH253" i="1"/>
  <c r="BL253" i="1" s="1"/>
  <c r="BH252" i="1"/>
  <c r="BL252" i="1" s="1"/>
  <c r="BH251" i="1"/>
  <c r="BL251" i="1" s="1"/>
  <c r="BH250" i="1"/>
  <c r="BL250" i="1" s="1"/>
  <c r="BH249" i="1"/>
  <c r="BL249" i="1" s="1"/>
  <c r="BH248" i="1"/>
  <c r="BL248" i="1" s="1"/>
  <c r="BH246" i="1"/>
  <c r="BL246" i="1" s="1"/>
  <c r="BH245" i="1"/>
  <c r="BL245" i="1" s="1"/>
  <c r="BH243" i="1"/>
  <c r="BL243" i="1" s="1"/>
  <c r="BH242" i="1"/>
  <c r="BL242" i="1" s="1"/>
  <c r="BH241" i="1"/>
  <c r="BL241" i="1" s="1"/>
  <c r="BH240" i="1"/>
  <c r="BL240" i="1" s="1"/>
  <c r="BH239" i="1"/>
  <c r="BL239" i="1" s="1"/>
  <c r="BH238" i="1"/>
  <c r="BL238" i="1" s="1"/>
  <c r="CD247" i="1" l="1"/>
  <c r="CC247" i="1"/>
  <c r="CD259" i="1"/>
  <c r="CC259" i="1"/>
  <c r="CD256" i="1"/>
  <c r="CC256" i="1"/>
  <c r="CC265" i="1"/>
  <c r="CD265" i="1"/>
  <c r="CD283" i="1"/>
  <c r="CC283" i="1"/>
  <c r="CD263" i="1"/>
  <c r="CC263" i="1"/>
  <c r="CC290" i="1"/>
  <c r="CD290" i="1"/>
  <c r="CD279" i="1"/>
  <c r="CC279" i="1"/>
  <c r="CD262" i="1"/>
  <c r="CC262" i="1"/>
  <c r="CC257" i="1"/>
  <c r="CD257" i="1"/>
  <c r="CB260" i="1"/>
  <c r="CC288" i="1"/>
  <c r="CD288" i="1"/>
  <c r="CD258" i="1"/>
  <c r="CC258" i="1"/>
  <c r="CD274" i="1"/>
  <c r="CC274" i="1"/>
  <c r="CD270" i="1"/>
  <c r="CC270" i="1"/>
  <c r="BY244" i="1"/>
  <c r="CB244" i="1" s="1"/>
  <c r="CD271" i="1"/>
  <c r="CC271" i="1"/>
  <c r="CC269" i="1"/>
  <c r="CD269" i="1"/>
  <c r="CC281" i="1"/>
  <c r="CD281" i="1"/>
  <c r="CB276" i="1"/>
  <c r="CC286" i="1"/>
  <c r="CD286" i="1"/>
  <c r="CC261" i="1"/>
  <c r="CD261" i="1"/>
  <c r="CC285" i="1"/>
  <c r="CD285" i="1"/>
  <c r="CB266" i="1"/>
  <c r="CC273" i="1"/>
  <c r="CD273" i="1"/>
  <c r="BM238" i="1"/>
  <c r="BM242" i="1"/>
  <c r="BM248" i="1"/>
  <c r="BM252" i="1"/>
  <c r="BM239" i="1"/>
  <c r="BM243" i="1"/>
  <c r="BM249" i="1"/>
  <c r="BM253" i="1"/>
  <c r="BM240" i="1"/>
  <c r="BM245" i="1"/>
  <c r="BM250" i="1"/>
  <c r="BM241" i="1"/>
  <c r="BM246" i="1"/>
  <c r="BM251" i="1"/>
  <c r="BD257" i="1"/>
  <c r="BD258" i="1"/>
  <c r="BD259" i="1"/>
  <c r="BD260" i="1"/>
  <c r="BD261" i="1"/>
  <c r="BD262" i="1"/>
  <c r="BD263" i="1"/>
  <c r="BD264" i="1"/>
  <c r="BD265" i="1"/>
  <c r="BD266" i="1"/>
  <c r="BD267" i="1"/>
  <c r="BD268" i="1"/>
  <c r="BD269" i="1"/>
  <c r="BD270" i="1"/>
  <c r="BD271" i="1"/>
  <c r="BD272" i="1"/>
  <c r="BD273" i="1"/>
  <c r="BD274" i="1"/>
  <c r="BD275" i="1"/>
  <c r="BD276" i="1"/>
  <c r="BD278" i="1"/>
  <c r="BD279" i="1"/>
  <c r="BD280" i="1"/>
  <c r="BD281" i="1"/>
  <c r="BD282" i="1"/>
  <c r="BD283" i="1"/>
  <c r="BD284" i="1"/>
  <c r="BD285" i="1"/>
  <c r="BD286" i="1"/>
  <c r="BD287" i="1"/>
  <c r="BD288" i="1"/>
  <c r="BD289" i="1"/>
  <c r="BD290" i="1"/>
  <c r="AU255" i="1"/>
  <c r="AW255" i="1" s="1"/>
  <c r="BZ255" i="1" s="1"/>
  <c r="AU254" i="1"/>
  <c r="AW254" i="1" s="1"/>
  <c r="AU253" i="1"/>
  <c r="AW253" i="1" s="1"/>
  <c r="AU252" i="1"/>
  <c r="AW252" i="1" s="1"/>
  <c r="AU251" i="1"/>
  <c r="AW251" i="1" s="1"/>
  <c r="AU250" i="1"/>
  <c r="AW250" i="1" s="1"/>
  <c r="BZ250" i="1" s="1"/>
  <c r="AU249" i="1"/>
  <c r="AW249" i="1" s="1"/>
  <c r="AU248" i="1"/>
  <c r="AW248" i="1" s="1"/>
  <c r="AX248" i="1"/>
  <c r="AZ248" i="1" s="1"/>
  <c r="BQ248" i="1" s="1"/>
  <c r="AS246" i="1"/>
  <c r="AW246" i="1" s="1"/>
  <c r="AS239" i="1"/>
  <c r="AW239" i="1" s="1"/>
  <c r="AS240" i="1"/>
  <c r="AW240" i="1" s="1"/>
  <c r="BZ240" i="1" s="1"/>
  <c r="AS241" i="1"/>
  <c r="AW241" i="1" s="1"/>
  <c r="AS242" i="1"/>
  <c r="AW242" i="1" s="1"/>
  <c r="AS243" i="1"/>
  <c r="AW243" i="1" s="1"/>
  <c r="AS245" i="1"/>
  <c r="AW245" i="1" s="1"/>
  <c r="AS238" i="1"/>
  <c r="AW238" i="1" s="1"/>
  <c r="BZ238" i="1" s="1"/>
  <c r="AX255" i="1"/>
  <c r="AZ255" i="1" s="1"/>
  <c r="BQ255" i="1" s="1"/>
  <c r="AX254" i="1"/>
  <c r="AZ254" i="1" s="1"/>
  <c r="BQ254" i="1" s="1"/>
  <c r="AX253" i="1"/>
  <c r="AZ253" i="1" s="1"/>
  <c r="BQ253" i="1" s="1"/>
  <c r="AX252" i="1"/>
  <c r="AZ252" i="1" s="1"/>
  <c r="BQ252" i="1" s="1"/>
  <c r="AX251" i="1"/>
  <c r="AZ251" i="1" s="1"/>
  <c r="BQ251" i="1" s="1"/>
  <c r="AX250" i="1"/>
  <c r="AZ250" i="1" s="1"/>
  <c r="BQ250" i="1" s="1"/>
  <c r="AX249" i="1"/>
  <c r="AZ249" i="1" s="1"/>
  <c r="BQ249" i="1" s="1"/>
  <c r="AX246" i="1"/>
  <c r="AZ246" i="1" s="1"/>
  <c r="BQ246" i="1" s="1"/>
  <c r="AX245" i="1"/>
  <c r="AZ245" i="1" s="1"/>
  <c r="BQ245" i="1" s="1"/>
  <c r="AX243" i="1"/>
  <c r="AZ243" i="1" s="1"/>
  <c r="BQ243" i="1" s="1"/>
  <c r="AX242" i="1"/>
  <c r="AZ242" i="1" s="1"/>
  <c r="BQ242" i="1" s="1"/>
  <c r="AX241" i="1"/>
  <c r="AZ241" i="1" s="1"/>
  <c r="BQ241" i="1" s="1"/>
  <c r="AX240" i="1"/>
  <c r="AZ240" i="1" s="1"/>
  <c r="BQ240" i="1" s="1"/>
  <c r="AX239" i="1"/>
  <c r="AZ239" i="1" s="1"/>
  <c r="BQ239" i="1" s="1"/>
  <c r="AX238" i="1"/>
  <c r="AZ238" i="1" s="1"/>
  <c r="BQ238" i="1" s="1"/>
  <c r="AM239" i="1"/>
  <c r="AM240" i="1"/>
  <c r="AM241" i="1"/>
  <c r="AM242" i="1"/>
  <c r="AM243" i="1"/>
  <c r="AM245" i="1"/>
  <c r="AM248" i="1"/>
  <c r="AM249" i="1"/>
  <c r="AM250" i="1"/>
  <c r="AM251" i="1"/>
  <c r="AM252" i="1"/>
  <c r="AM253" i="1"/>
  <c r="AM254" i="1"/>
  <c r="AM255" i="1"/>
  <c r="AM238" i="1"/>
  <c r="AD239" i="1"/>
  <c r="AD240" i="1"/>
  <c r="AD241" i="1"/>
  <c r="AD242" i="1"/>
  <c r="AD243" i="1"/>
  <c r="AD245" i="1"/>
  <c r="AD246" i="1"/>
  <c r="AD248" i="1"/>
  <c r="AD249" i="1"/>
  <c r="AD250" i="1"/>
  <c r="AD251" i="1"/>
  <c r="AD252" i="1"/>
  <c r="AD253" i="1"/>
  <c r="AD254" i="1"/>
  <c r="AD255" i="1"/>
  <c r="AD238" i="1"/>
  <c r="AG239" i="1"/>
  <c r="AG240" i="1"/>
  <c r="AH241" i="1"/>
  <c r="AG241" i="1"/>
  <c r="AG243" i="1"/>
  <c r="AG245" i="1"/>
  <c r="AH246" i="1"/>
  <c r="AG246" i="1"/>
  <c r="AG249" i="1"/>
  <c r="AG250" i="1"/>
  <c r="AH251" i="1"/>
  <c r="AG251" i="1"/>
  <c r="AG253" i="1"/>
  <c r="AG254" i="1"/>
  <c r="AH255" i="1"/>
  <c r="AG255" i="1"/>
  <c r="W255" i="1"/>
  <c r="Y255" i="1"/>
  <c r="W239" i="1"/>
  <c r="Y239" i="1"/>
  <c r="W240" i="1"/>
  <c r="Y240" i="1"/>
  <c r="W241" i="1"/>
  <c r="Y241" i="1"/>
  <c r="W242" i="1"/>
  <c r="Y242" i="1"/>
  <c r="W243" i="1"/>
  <c r="Y243" i="1"/>
  <c r="W245" i="1"/>
  <c r="Y245" i="1"/>
  <c r="W246" i="1"/>
  <c r="Y246" i="1"/>
  <c r="W248" i="1"/>
  <c r="Y248" i="1"/>
  <c r="W249" i="1"/>
  <c r="Y249" i="1"/>
  <c r="W250" i="1"/>
  <c r="Y250" i="1"/>
  <c r="W251" i="1"/>
  <c r="Y251" i="1"/>
  <c r="W252" i="1"/>
  <c r="Y252" i="1"/>
  <c r="W253" i="1"/>
  <c r="Y253" i="1"/>
  <c r="W254" i="1"/>
  <c r="Y254" i="1"/>
  <c r="AG277" i="1"/>
  <c r="AH277" i="1"/>
  <c r="Y238" i="1"/>
  <c r="W238" i="1"/>
  <c r="P252" i="1"/>
  <c r="BN252" i="1" s="1"/>
  <c r="Q252" i="1"/>
  <c r="BB252" i="1" s="1"/>
  <c r="P253" i="1"/>
  <c r="BN253" i="1" s="1"/>
  <c r="Q253" i="1"/>
  <c r="BB253" i="1" s="1"/>
  <c r="P254" i="1"/>
  <c r="BN254" i="1" s="1"/>
  <c r="Q254" i="1"/>
  <c r="P255" i="1"/>
  <c r="BN255" i="1" s="1"/>
  <c r="Q255" i="1"/>
  <c r="BB255" i="1" s="1"/>
  <c r="P248" i="1"/>
  <c r="BN248" i="1" s="1"/>
  <c r="Q248" i="1"/>
  <c r="BB248" i="1" s="1"/>
  <c r="P249" i="1"/>
  <c r="BN249" i="1" s="1"/>
  <c r="Q249" i="1"/>
  <c r="BB249" i="1" s="1"/>
  <c r="P250" i="1"/>
  <c r="BN250" i="1" s="1"/>
  <c r="Q250" i="1"/>
  <c r="BB250" i="1" s="1"/>
  <c r="P251" i="1"/>
  <c r="BN251" i="1" s="1"/>
  <c r="Q251" i="1"/>
  <c r="BB251" i="1" s="1"/>
  <c r="Q243" i="1"/>
  <c r="BB243" i="1" s="1"/>
  <c r="Q245" i="1"/>
  <c r="BB245" i="1" s="1"/>
  <c r="Q246" i="1"/>
  <c r="BB246" i="1" s="1"/>
  <c r="P242" i="1"/>
  <c r="BN242" i="1" s="1"/>
  <c r="P243" i="1"/>
  <c r="BN243" i="1" s="1"/>
  <c r="P245" i="1"/>
  <c r="P246" i="1"/>
  <c r="BN246" i="1" s="1"/>
  <c r="P241" i="1"/>
  <c r="BN241" i="1" s="1"/>
  <c r="P239" i="1"/>
  <c r="BN239" i="1" s="1"/>
  <c r="P240" i="1"/>
  <c r="BN240" i="1" s="1"/>
  <c r="P238" i="1"/>
  <c r="BN238" i="1" s="1"/>
  <c r="Q238" i="1"/>
  <c r="BB238" i="1" s="1"/>
  <c r="M239" i="1"/>
  <c r="M240" i="1"/>
  <c r="M241" i="1"/>
  <c r="M242" i="1"/>
  <c r="M243" i="1"/>
  <c r="M245" i="1"/>
  <c r="M246" i="1"/>
  <c r="M248" i="1"/>
  <c r="M249" i="1"/>
  <c r="M250" i="1"/>
  <c r="M251" i="1"/>
  <c r="M252" i="1"/>
  <c r="M253" i="1"/>
  <c r="M254" i="1"/>
  <c r="M255" i="1"/>
  <c r="L255" i="1"/>
  <c r="L254" i="1"/>
  <c r="L253" i="1"/>
  <c r="L252" i="1"/>
  <c r="L251" i="1"/>
  <c r="L250" i="1"/>
  <c r="L249" i="1"/>
  <c r="L248" i="1"/>
  <c r="L246" i="1"/>
  <c r="AN246" i="1" s="1"/>
  <c r="L245" i="1"/>
  <c r="L243" i="1"/>
  <c r="L242" i="1"/>
  <c r="L241" i="1"/>
  <c r="L240" i="1"/>
  <c r="L239" i="1"/>
  <c r="L238" i="1"/>
  <c r="BZ241" i="1" l="1"/>
  <c r="BZ251" i="1"/>
  <c r="CD266" i="1"/>
  <c r="CC266" i="1"/>
  <c r="CD276" i="1"/>
  <c r="CC276" i="1"/>
  <c r="BZ252" i="1"/>
  <c r="BZ239" i="1"/>
  <c r="BZ253" i="1"/>
  <c r="CD260" i="1"/>
  <c r="CC260" i="1"/>
  <c r="CD244" i="1"/>
  <c r="CC244" i="1"/>
  <c r="BZ246" i="1"/>
  <c r="BZ254" i="1"/>
  <c r="R245" i="1"/>
  <c r="BZ245" i="1"/>
  <c r="BZ248" i="1"/>
  <c r="BZ243" i="1"/>
  <c r="BZ249" i="1"/>
  <c r="BZ242" i="1"/>
  <c r="BE238" i="1"/>
  <c r="BE251" i="1"/>
  <c r="BE249" i="1"/>
  <c r="BE255" i="1"/>
  <c r="BE253" i="1"/>
  <c r="BE248" i="1"/>
  <c r="BE252" i="1"/>
  <c r="BN245" i="1"/>
  <c r="AI277" i="1"/>
  <c r="BD256" i="1"/>
  <c r="BE250" i="1"/>
  <c r="BE243" i="1"/>
  <c r="BE245" i="1"/>
  <c r="AI255" i="1"/>
  <c r="AI251" i="1"/>
  <c r="AI246" i="1"/>
  <c r="AI241" i="1"/>
  <c r="BE246" i="1"/>
  <c r="R249" i="1"/>
  <c r="R251" i="1"/>
  <c r="R255" i="1"/>
  <c r="R254" i="1"/>
  <c r="AN238" i="1"/>
  <c r="AN252" i="1"/>
  <c r="AN248" i="1"/>
  <c r="AN242" i="1"/>
  <c r="BB254" i="1"/>
  <c r="BE254" i="1" s="1"/>
  <c r="R252" i="1"/>
  <c r="AN255" i="1"/>
  <c r="AN251" i="1"/>
  <c r="AN241" i="1"/>
  <c r="AN254" i="1"/>
  <c r="AN250" i="1"/>
  <c r="AN245" i="1"/>
  <c r="AN240" i="1"/>
  <c r="R250" i="1"/>
  <c r="AN253" i="1"/>
  <c r="AN249" i="1"/>
  <c r="AN243" i="1"/>
  <c r="AN239" i="1"/>
  <c r="AG252" i="1"/>
  <c r="AH252" i="1"/>
  <c r="AG248" i="1"/>
  <c r="AH248" i="1"/>
  <c r="AG242" i="1"/>
  <c r="AH242" i="1"/>
  <c r="AH253" i="1"/>
  <c r="AI253" i="1" s="1"/>
  <c r="AH249" i="1"/>
  <c r="AI249" i="1" s="1"/>
  <c r="AH243" i="1"/>
  <c r="AI243" i="1" s="1"/>
  <c r="AH239" i="1"/>
  <c r="AI239" i="1" s="1"/>
  <c r="AH254" i="1"/>
  <c r="AI254" i="1" s="1"/>
  <c r="AH250" i="1"/>
  <c r="AI250" i="1" s="1"/>
  <c r="AH245" i="1"/>
  <c r="AI245" i="1" s="1"/>
  <c r="AH240" i="1"/>
  <c r="AI240" i="1" s="1"/>
  <c r="R253" i="1"/>
  <c r="R243" i="1"/>
  <c r="R246" i="1"/>
  <c r="R248" i="1"/>
  <c r="BV245" i="1" l="1"/>
  <c r="BS245" i="1"/>
  <c r="BD249" i="1"/>
  <c r="BD246" i="1"/>
  <c r="CA246" i="1"/>
  <c r="BD243" i="1"/>
  <c r="BD253" i="1"/>
  <c r="CA253" i="1"/>
  <c r="BD251" i="1"/>
  <c r="CA251" i="1"/>
  <c r="BD239" i="1"/>
  <c r="BV246" i="1"/>
  <c r="BS246" i="1"/>
  <c r="BD245" i="1"/>
  <c r="CA245" i="1"/>
  <c r="BV255" i="1"/>
  <c r="BS255" i="1"/>
  <c r="BV248" i="1"/>
  <c r="BD277" i="1"/>
  <c r="CA277" i="1"/>
  <c r="BP277" i="1"/>
  <c r="BS277" i="1"/>
  <c r="BX277" i="1"/>
  <c r="BY277" i="1" s="1"/>
  <c r="CB277" i="1" s="1"/>
  <c r="BV243" i="1"/>
  <c r="CA243" i="1" s="1"/>
  <c r="BS243" i="1"/>
  <c r="BD240" i="1"/>
  <c r="BD255" i="1"/>
  <c r="CA255" i="1"/>
  <c r="BD250" i="1"/>
  <c r="CA250" i="1"/>
  <c r="BV250" i="1"/>
  <c r="BS250" i="1"/>
  <c r="BV252" i="1"/>
  <c r="BS252" i="1"/>
  <c r="BV251" i="1"/>
  <c r="BS251" i="1"/>
  <c r="BD241" i="1"/>
  <c r="BV253" i="1"/>
  <c r="BS253" i="1"/>
  <c r="BV254" i="1"/>
  <c r="CA254" i="1" s="1"/>
  <c r="BS254" i="1"/>
  <c r="BD254" i="1"/>
  <c r="BV249" i="1"/>
  <c r="CA249" i="1" s="1"/>
  <c r="BS249" i="1"/>
  <c r="AI248" i="1"/>
  <c r="BS248" i="1" s="1"/>
  <c r="AI242" i="1"/>
  <c r="AI252" i="1"/>
  <c r="BD248" i="1" l="1"/>
  <c r="CA248" i="1"/>
  <c r="CC277" i="1"/>
  <c r="CD277" i="1"/>
  <c r="BD242" i="1"/>
  <c r="BD252" i="1"/>
  <c r="CA252" i="1"/>
  <c r="Q242" i="1"/>
  <c r="Q241" i="1"/>
  <c r="Q240" i="1"/>
  <c r="Q239" i="1"/>
  <c r="R238" i="1"/>
  <c r="J255" i="1"/>
  <c r="J254" i="1"/>
  <c r="J253" i="1"/>
  <c r="J252" i="1"/>
  <c r="J251" i="1"/>
  <c r="J250" i="1"/>
  <c r="J249" i="1"/>
  <c r="J248" i="1"/>
  <c r="J246" i="1"/>
  <c r="J245" i="1"/>
  <c r="J243" i="1"/>
  <c r="J242" i="1"/>
  <c r="J241" i="1"/>
  <c r="J240" i="1"/>
  <c r="J239" i="1"/>
  <c r="J238" i="1"/>
  <c r="M238" i="1"/>
  <c r="H255" i="1"/>
  <c r="O255" i="1" s="1"/>
  <c r="H254" i="1"/>
  <c r="O254" i="1" s="1"/>
  <c r="H253" i="1"/>
  <c r="O253" i="1" s="1"/>
  <c r="H252" i="1"/>
  <c r="O252" i="1" s="1"/>
  <c r="H251" i="1"/>
  <c r="O251" i="1" s="1"/>
  <c r="H250" i="1"/>
  <c r="O250" i="1" s="1"/>
  <c r="H249" i="1"/>
  <c r="O249" i="1" s="1"/>
  <c r="H248" i="1"/>
  <c r="O248" i="1" s="1"/>
  <c r="H246" i="1"/>
  <c r="O246" i="1" s="1"/>
  <c r="AP246" i="1" s="1"/>
  <c r="BR246" i="1" s="1"/>
  <c r="H245" i="1"/>
  <c r="O245" i="1" s="1"/>
  <c r="H243" i="1"/>
  <c r="O243" i="1" s="1"/>
  <c r="H242" i="1"/>
  <c r="O242" i="1" s="1"/>
  <c r="H241" i="1"/>
  <c r="O241" i="1" s="1"/>
  <c r="H240" i="1"/>
  <c r="O240" i="1" s="1"/>
  <c r="H239" i="1"/>
  <c r="O239" i="1" s="1"/>
  <c r="H238" i="1"/>
  <c r="O238" i="1" s="1"/>
  <c r="B38" i="4"/>
  <c r="C38" i="4"/>
  <c r="BV238" i="1" l="1"/>
  <c r="R239" i="1"/>
  <c r="BB239" i="1"/>
  <c r="BE239" i="1" s="1"/>
  <c r="R240" i="1"/>
  <c r="BB240" i="1"/>
  <c r="BE240" i="1" s="1"/>
  <c r="R241" i="1"/>
  <c r="BB241" i="1"/>
  <c r="BE241" i="1" s="1"/>
  <c r="R242" i="1"/>
  <c r="BB242" i="1"/>
  <c r="BE242" i="1" s="1"/>
  <c r="N245" i="1"/>
  <c r="AP245" i="1"/>
  <c r="BR245" i="1" s="1"/>
  <c r="N241" i="1"/>
  <c r="AP241" i="1"/>
  <c r="BR241" i="1" s="1"/>
  <c r="N246" i="1"/>
  <c r="N251" i="1"/>
  <c r="AP251" i="1"/>
  <c r="BR251" i="1" s="1"/>
  <c r="N255" i="1"/>
  <c r="AP255" i="1"/>
  <c r="BR255" i="1" s="1"/>
  <c r="N240" i="1"/>
  <c r="AP240" i="1"/>
  <c r="BR240" i="1" s="1"/>
  <c r="N254" i="1"/>
  <c r="AP254" i="1"/>
  <c r="BR254" i="1" s="1"/>
  <c r="N238" i="1"/>
  <c r="BW238" i="1" s="1"/>
  <c r="AP238" i="1"/>
  <c r="BR238" i="1" s="1"/>
  <c r="N242" i="1"/>
  <c r="AP242" i="1"/>
  <c r="BR242" i="1" s="1"/>
  <c r="N248" i="1"/>
  <c r="AP248" i="1"/>
  <c r="BR248" i="1" s="1"/>
  <c r="N252" i="1"/>
  <c r="AP252" i="1"/>
  <c r="BR252" i="1" s="1"/>
  <c r="N250" i="1"/>
  <c r="AP250" i="1"/>
  <c r="BR250" i="1" s="1"/>
  <c r="N239" i="1"/>
  <c r="AP239" i="1"/>
  <c r="BR239" i="1" s="1"/>
  <c r="N243" i="1"/>
  <c r="AP243" i="1"/>
  <c r="BR243" i="1" s="1"/>
  <c r="N249" i="1"/>
  <c r="AP249" i="1"/>
  <c r="BR249" i="1" s="1"/>
  <c r="N253" i="1"/>
  <c r="AP253" i="1"/>
  <c r="BR253" i="1" s="1"/>
  <c r="AG238" i="1"/>
  <c r="AH238" i="1"/>
  <c r="W48" i="1"/>
  <c r="W49" i="1"/>
  <c r="W50" i="1"/>
  <c r="W51" i="1"/>
  <c r="W52" i="1"/>
  <c r="W53" i="1"/>
  <c r="W54" i="1"/>
  <c r="W55" i="1"/>
  <c r="W56" i="1"/>
  <c r="W57" i="1"/>
  <c r="W58" i="1"/>
  <c r="W59" i="1"/>
  <c r="W60" i="1"/>
  <c r="W61" i="1"/>
  <c r="W62" i="1"/>
  <c r="W63" i="1"/>
  <c r="W64" i="1"/>
  <c r="W65" i="1"/>
  <c r="W66" i="1"/>
  <c r="W67" i="1"/>
  <c r="W68" i="1"/>
  <c r="W69" i="1"/>
  <c r="W70" i="1"/>
  <c r="W71" i="1"/>
  <c r="W72" i="1"/>
  <c r="W73" i="1"/>
  <c r="W74" i="1"/>
  <c r="W75" i="1"/>
  <c r="W76" i="1"/>
  <c r="W77" i="1"/>
  <c r="W78" i="1"/>
  <c r="W79" i="1"/>
  <c r="W80" i="1"/>
  <c r="W81" i="1"/>
  <c r="W82" i="1"/>
  <c r="W83" i="1"/>
  <c r="W84" i="1"/>
  <c r="W85" i="1"/>
  <c r="W86" i="1"/>
  <c r="W87" i="1"/>
  <c r="W88" i="1"/>
  <c r="W89" i="1"/>
  <c r="W90" i="1"/>
  <c r="W91" i="1"/>
  <c r="W92" i="1"/>
  <c r="W93" i="1"/>
  <c r="W94" i="1"/>
  <c r="W95" i="1"/>
  <c r="W96" i="1"/>
  <c r="W97" i="1"/>
  <c r="W98" i="1"/>
  <c r="W99" i="1"/>
  <c r="W100" i="1"/>
  <c r="W101" i="1"/>
  <c r="W102" i="1"/>
  <c r="W103" i="1"/>
  <c r="W104" i="1"/>
  <c r="W105" i="1"/>
  <c r="W106" i="1"/>
  <c r="W107" i="1"/>
  <c r="W108" i="1"/>
  <c r="W109" i="1"/>
  <c r="W110" i="1"/>
  <c r="W111" i="1"/>
  <c r="W112" i="1"/>
  <c r="W113" i="1"/>
  <c r="W114" i="1"/>
  <c r="W115" i="1"/>
  <c r="W120" i="1"/>
  <c r="W121" i="1"/>
  <c r="W122" i="1"/>
  <c r="W123" i="1"/>
  <c r="W124" i="1"/>
  <c r="W125" i="1"/>
  <c r="W126" i="1"/>
  <c r="W127" i="1"/>
  <c r="W128" i="1"/>
  <c r="W129" i="1"/>
  <c r="W130" i="1"/>
  <c r="W131" i="1"/>
  <c r="W132" i="1"/>
  <c r="W133" i="1"/>
  <c r="W134" i="1"/>
  <c r="W135" i="1"/>
  <c r="W136" i="1"/>
  <c r="W137" i="1"/>
  <c r="W138" i="1"/>
  <c r="W139" i="1"/>
  <c r="W140" i="1"/>
  <c r="W141" i="1"/>
  <c r="W142" i="1"/>
  <c r="W143" i="1"/>
  <c r="W144" i="1"/>
  <c r="W145" i="1"/>
  <c r="W146" i="1"/>
  <c r="W147" i="1"/>
  <c r="W148" i="1"/>
  <c r="W149" i="1"/>
  <c r="W150" i="1"/>
  <c r="W151" i="1"/>
  <c r="W152" i="1"/>
  <c r="W153" i="1"/>
  <c r="W154" i="1"/>
  <c r="W155" i="1"/>
  <c r="W156" i="1"/>
  <c r="W157" i="1"/>
  <c r="W158" i="1"/>
  <c r="W167" i="1"/>
  <c r="W168" i="1"/>
  <c r="W169" i="1"/>
  <c r="W170" i="1"/>
  <c r="W171" i="1"/>
  <c r="W172" i="1"/>
  <c r="W173" i="1"/>
  <c r="W174" i="1"/>
  <c r="W175" i="1"/>
  <c r="W176" i="1"/>
  <c r="W177" i="1"/>
  <c r="W178" i="1"/>
  <c r="W179" i="1"/>
  <c r="W180" i="1"/>
  <c r="W181" i="1"/>
  <c r="W182" i="1"/>
  <c r="W183" i="1"/>
  <c r="W184" i="1"/>
  <c r="W185" i="1"/>
  <c r="W186" i="1"/>
  <c r="W187" i="1"/>
  <c r="W188" i="1"/>
  <c r="W189" i="1"/>
  <c r="W190" i="1"/>
  <c r="W191" i="1"/>
  <c r="W192" i="1"/>
  <c r="W193" i="1"/>
  <c r="W194" i="1"/>
  <c r="W195" i="1"/>
  <c r="W196" i="1"/>
  <c r="W197" i="1"/>
  <c r="W198" i="1"/>
  <c r="W199" i="1"/>
  <c r="W200" i="1"/>
  <c r="W201" i="1"/>
  <c r="W202" i="1"/>
  <c r="W203" i="1"/>
  <c r="W204" i="1"/>
  <c r="W205" i="1"/>
  <c r="W206" i="1"/>
  <c r="W207" i="1"/>
  <c r="W208" i="1"/>
  <c r="W209" i="1"/>
  <c r="W210" i="1"/>
  <c r="W211" i="1"/>
  <c r="W212" i="1"/>
  <c r="W213" i="1"/>
  <c r="W214" i="1"/>
  <c r="W215" i="1"/>
  <c r="W216" i="1"/>
  <c r="W217" i="1"/>
  <c r="W218" i="1"/>
  <c r="W219" i="1"/>
  <c r="W220" i="1"/>
  <c r="W221" i="1"/>
  <c r="W222" i="1"/>
  <c r="W223" i="1"/>
  <c r="W224" i="1"/>
  <c r="W225" i="1"/>
  <c r="W226" i="1"/>
  <c r="W227" i="1"/>
  <c r="W228" i="1"/>
  <c r="W229" i="1"/>
  <c r="W230" i="1"/>
  <c r="W231" i="1"/>
  <c r="W232" i="1"/>
  <c r="W233" i="1"/>
  <c r="W234" i="1"/>
  <c r="W235" i="1"/>
  <c r="W236" i="1"/>
  <c r="W237" i="1"/>
  <c r="W291" i="1"/>
  <c r="W292" i="1"/>
  <c r="W293" i="1"/>
  <c r="W294" i="1"/>
  <c r="W295" i="1"/>
  <c r="W296" i="1"/>
  <c r="W297" i="1"/>
  <c r="W298" i="1"/>
  <c r="W299" i="1"/>
  <c r="W300" i="1"/>
  <c r="Y21" i="1"/>
  <c r="Y22" i="1"/>
  <c r="Y23" i="1"/>
  <c r="Y24" i="1"/>
  <c r="Y25" i="1"/>
  <c r="Y26" i="1"/>
  <c r="Y27" i="1"/>
  <c r="Y28" i="1"/>
  <c r="Y29" i="1"/>
  <c r="Y30" i="1"/>
  <c r="Y48" i="1"/>
  <c r="Y49" i="1"/>
  <c r="Y50" i="1"/>
  <c r="Y80" i="1"/>
  <c r="Y81" i="1"/>
  <c r="Y82" i="1"/>
  <c r="Y83" i="1"/>
  <c r="Y84" i="1"/>
  <c r="Y85" i="1"/>
  <c r="Y86" i="1"/>
  <c r="Y87" i="1"/>
  <c r="Y88" i="1"/>
  <c r="Y89" i="1"/>
  <c r="Y120" i="1"/>
  <c r="Y121" i="1"/>
  <c r="Y122" i="1"/>
  <c r="Y123" i="1"/>
  <c r="Y124" i="1"/>
  <c r="Y125" i="1"/>
  <c r="Y126" i="1"/>
  <c r="Y127" i="1"/>
  <c r="Y128" i="1"/>
  <c r="Y129" i="1"/>
  <c r="Y130" i="1"/>
  <c r="Y131" i="1"/>
  <c r="Y132" i="1"/>
  <c r="Y133" i="1"/>
  <c r="Y134" i="1"/>
  <c r="Y135" i="1"/>
  <c r="Y136" i="1"/>
  <c r="Y137" i="1"/>
  <c r="Y138" i="1"/>
  <c r="Y139" i="1"/>
  <c r="Y140" i="1"/>
  <c r="Y141" i="1"/>
  <c r="Y142" i="1"/>
  <c r="Y143" i="1"/>
  <c r="Y144" i="1"/>
  <c r="Y145" i="1"/>
  <c r="Y146" i="1"/>
  <c r="Y147" i="1"/>
  <c r="Y148" i="1"/>
  <c r="Y149" i="1"/>
  <c r="Y150" i="1"/>
  <c r="Y151" i="1"/>
  <c r="Y152" i="1"/>
  <c r="Y153" i="1"/>
  <c r="Y154" i="1"/>
  <c r="Y155" i="1"/>
  <c r="Y156" i="1"/>
  <c r="Y157" i="1"/>
  <c r="Y158" i="1"/>
  <c r="Y167" i="1"/>
  <c r="Y168" i="1"/>
  <c r="Y169" i="1"/>
  <c r="Y170" i="1"/>
  <c r="Y171" i="1"/>
  <c r="Y172" i="1"/>
  <c r="Y173" i="1"/>
  <c r="Y174" i="1"/>
  <c r="Y175" i="1"/>
  <c r="Y176" i="1"/>
  <c r="Y177" i="1"/>
  <c r="Y178" i="1"/>
  <c r="Y179" i="1"/>
  <c r="Y180" i="1"/>
  <c r="Y181" i="1"/>
  <c r="Y182" i="1"/>
  <c r="Y183" i="1"/>
  <c r="Y184" i="1"/>
  <c r="Y185" i="1"/>
  <c r="Y186" i="1"/>
  <c r="Y187" i="1"/>
  <c r="Y188" i="1"/>
  <c r="Y189" i="1"/>
  <c r="Y190" i="1"/>
  <c r="Y191" i="1"/>
  <c r="Y192" i="1"/>
  <c r="Y193" i="1"/>
  <c r="Y194" i="1"/>
  <c r="Y195" i="1"/>
  <c r="Y196" i="1"/>
  <c r="Y197" i="1"/>
  <c r="Y198" i="1"/>
  <c r="Y199" i="1"/>
  <c r="Y200" i="1"/>
  <c r="Y201" i="1"/>
  <c r="Y202" i="1"/>
  <c r="Y203" i="1"/>
  <c r="Y204" i="1"/>
  <c r="Y205" i="1"/>
  <c r="Y206" i="1"/>
  <c r="Y207" i="1"/>
  <c r="Y208" i="1"/>
  <c r="Y209" i="1"/>
  <c r="Y210" i="1"/>
  <c r="Y211" i="1"/>
  <c r="Y212" i="1"/>
  <c r="Y213" i="1"/>
  <c r="Y214" i="1"/>
  <c r="Y215" i="1"/>
  <c r="Y216" i="1"/>
  <c r="Y217" i="1"/>
  <c r="Y218" i="1"/>
  <c r="Y219" i="1"/>
  <c r="Y220" i="1"/>
  <c r="Y221" i="1"/>
  <c r="Y222" i="1"/>
  <c r="Y223" i="1"/>
  <c r="Y224" i="1"/>
  <c r="Y225" i="1"/>
  <c r="Y226" i="1"/>
  <c r="Y227" i="1"/>
  <c r="Y228" i="1"/>
  <c r="Y229" i="1"/>
  <c r="Y230" i="1"/>
  <c r="Y231" i="1"/>
  <c r="Y232" i="1"/>
  <c r="Y233" i="1"/>
  <c r="Y234" i="1"/>
  <c r="Y235" i="1"/>
  <c r="Y236" i="1"/>
  <c r="Y237" i="1"/>
  <c r="Y291" i="1"/>
  <c r="Y292" i="1"/>
  <c r="Y293" i="1"/>
  <c r="Y294" i="1"/>
  <c r="Y295" i="1"/>
  <c r="Y296" i="1"/>
  <c r="Y297" i="1"/>
  <c r="Y298" i="1"/>
  <c r="Y299" i="1"/>
  <c r="Y300" i="1"/>
  <c r="BW246" i="1" l="1"/>
  <c r="BP246" i="1"/>
  <c r="BV241" i="1"/>
  <c r="CA241" i="1" s="1"/>
  <c r="BS241" i="1"/>
  <c r="BW249" i="1"/>
  <c r="BX249" i="1" s="1"/>
  <c r="BY249" i="1" s="1"/>
  <c r="CB249" i="1" s="1"/>
  <c r="BP249" i="1"/>
  <c r="BW252" i="1"/>
  <c r="BP252" i="1"/>
  <c r="BW254" i="1"/>
  <c r="BP254" i="1"/>
  <c r="BX238" i="1"/>
  <c r="BY238" i="1" s="1"/>
  <c r="BW241" i="1"/>
  <c r="BX241" i="1" s="1"/>
  <c r="BP241" i="1"/>
  <c r="BV240" i="1"/>
  <c r="CA240" i="1" s="1"/>
  <c r="BS240" i="1"/>
  <c r="BW253" i="1"/>
  <c r="BX253" i="1" s="1"/>
  <c r="BY253" i="1" s="1"/>
  <c r="CB253" i="1" s="1"/>
  <c r="BP253" i="1"/>
  <c r="BW243" i="1"/>
  <c r="BP243" i="1"/>
  <c r="BW248" i="1"/>
  <c r="BP248" i="1"/>
  <c r="BW240" i="1"/>
  <c r="BP240" i="1"/>
  <c r="BW245" i="1"/>
  <c r="BX245" i="1" s="1"/>
  <c r="BY245" i="1" s="1"/>
  <c r="CB245" i="1" s="1"/>
  <c r="BP245" i="1"/>
  <c r="BV239" i="1"/>
  <c r="CA239" i="1" s="1"/>
  <c r="BS239" i="1"/>
  <c r="BW251" i="1"/>
  <c r="BP251" i="1"/>
  <c r="BW239" i="1"/>
  <c r="BP239" i="1"/>
  <c r="BW242" i="1"/>
  <c r="BP242" i="1"/>
  <c r="BW255" i="1"/>
  <c r="BP255" i="1"/>
  <c r="BW250" i="1"/>
  <c r="BP250" i="1"/>
  <c r="BV242" i="1"/>
  <c r="CA242" i="1" s="1"/>
  <c r="BS242" i="1"/>
  <c r="AI238" i="1"/>
  <c r="BZ10" i="1"/>
  <c r="BZ14" i="1"/>
  <c r="BZ15" i="1"/>
  <c r="BZ16" i="1"/>
  <c r="BZ26" i="1"/>
  <c r="BZ27" i="1"/>
  <c r="BZ31" i="1"/>
  <c r="BZ32" i="1"/>
  <c r="BZ33" i="1"/>
  <c r="BZ34" i="1"/>
  <c r="BZ35" i="1"/>
  <c r="BZ36" i="1"/>
  <c r="BZ37" i="1"/>
  <c r="BZ38" i="1"/>
  <c r="BZ39" i="1"/>
  <c r="BZ40" i="1"/>
  <c r="BZ41" i="1"/>
  <c r="BZ42" i="1"/>
  <c r="BZ43" i="1"/>
  <c r="BZ44" i="1"/>
  <c r="BZ46" i="1"/>
  <c r="BZ49" i="1"/>
  <c r="BZ80" i="1"/>
  <c r="BZ84" i="1"/>
  <c r="BZ85" i="1"/>
  <c r="BZ89" i="1"/>
  <c r="BZ90" i="1"/>
  <c r="BZ91" i="1"/>
  <c r="BZ92" i="1"/>
  <c r="BZ93" i="1"/>
  <c r="BZ94" i="1"/>
  <c r="BZ95" i="1"/>
  <c r="BZ96" i="1"/>
  <c r="BZ97" i="1"/>
  <c r="BZ98" i="1"/>
  <c r="BZ99" i="1"/>
  <c r="BZ100" i="1"/>
  <c r="BZ101" i="1"/>
  <c r="BZ102" i="1"/>
  <c r="BZ103" i="1"/>
  <c r="BZ104" i="1"/>
  <c r="BZ105" i="1"/>
  <c r="BZ106" i="1"/>
  <c r="BZ109" i="1"/>
  <c r="BZ110" i="1"/>
  <c r="BZ111" i="1"/>
  <c r="BZ112" i="1"/>
  <c r="BZ115" i="1"/>
  <c r="BZ138" i="1"/>
  <c r="BZ139" i="1"/>
  <c r="BZ172" i="1"/>
  <c r="BZ173" i="1"/>
  <c r="BZ174" i="1"/>
  <c r="BZ181" i="1"/>
  <c r="BZ182" i="1"/>
  <c r="BZ183" i="1"/>
  <c r="BZ187" i="1"/>
  <c r="BZ188" i="1"/>
  <c r="BZ189" i="1"/>
  <c r="BZ190" i="1"/>
  <c r="BZ191" i="1"/>
  <c r="BZ192" i="1"/>
  <c r="BZ199" i="1"/>
  <c r="BZ200" i="1"/>
  <c r="BZ201" i="1"/>
  <c r="BZ205" i="1"/>
  <c r="BZ206" i="1"/>
  <c r="BZ207" i="1"/>
  <c r="BZ208" i="1"/>
  <c r="BZ209" i="1"/>
  <c r="BZ210" i="1"/>
  <c r="BZ217" i="1"/>
  <c r="BZ218" i="1"/>
  <c r="BZ219" i="1"/>
  <c r="BZ223" i="1"/>
  <c r="BZ224" i="1"/>
  <c r="BZ225" i="1"/>
  <c r="BZ9" i="1"/>
  <c r="BX239" i="1" l="1"/>
  <c r="BY239" i="1" s="1"/>
  <c r="CB239" i="1" s="1"/>
  <c r="BY240" i="1"/>
  <c r="CB240" i="1" s="1"/>
  <c r="BX240" i="1"/>
  <c r="BX252" i="1"/>
  <c r="BY252" i="1" s="1"/>
  <c r="CB252" i="1" s="1"/>
  <c r="BY250" i="1"/>
  <c r="CB250" i="1" s="1"/>
  <c r="BX250" i="1"/>
  <c r="BX251" i="1"/>
  <c r="BY251" i="1" s="1"/>
  <c r="CB251" i="1" s="1"/>
  <c r="BY248" i="1"/>
  <c r="CB248" i="1" s="1"/>
  <c r="BX248" i="1"/>
  <c r="BY241" i="1"/>
  <c r="CB241" i="1" s="1"/>
  <c r="CC249" i="1"/>
  <c r="CD249" i="1"/>
  <c r="BX255" i="1"/>
  <c r="BY255" i="1" s="1"/>
  <c r="CB255" i="1" s="1"/>
  <c r="BX243" i="1"/>
  <c r="BY243" i="1" s="1"/>
  <c r="CB243" i="1" s="1"/>
  <c r="BD238" i="1"/>
  <c r="CA238" i="1"/>
  <c r="CB238" i="1" s="1"/>
  <c r="BP238" i="1"/>
  <c r="BS238" i="1"/>
  <c r="BX242" i="1"/>
  <c r="BY242" i="1" s="1"/>
  <c r="CB242" i="1" s="1"/>
  <c r="CC245" i="1"/>
  <c r="CD245" i="1"/>
  <c r="CC253" i="1"/>
  <c r="CD253" i="1"/>
  <c r="BX254" i="1"/>
  <c r="BY254" i="1" s="1"/>
  <c r="CB254" i="1" s="1"/>
  <c r="BX246" i="1"/>
  <c r="BY246" i="1" s="1"/>
  <c r="CB246" i="1" s="1"/>
  <c r="BR172" i="1"/>
  <c r="BR173" i="1"/>
  <c r="BR174" i="1"/>
  <c r="BR175" i="1"/>
  <c r="BR176" i="1"/>
  <c r="BR177" i="1"/>
  <c r="BR178" i="1"/>
  <c r="BR179" i="1"/>
  <c r="BR180" i="1"/>
  <c r="BR187" i="1"/>
  <c r="BR188" i="1"/>
  <c r="BR189" i="1"/>
  <c r="BR190" i="1"/>
  <c r="BR191" i="1"/>
  <c r="BR192" i="1"/>
  <c r="BR193" i="1"/>
  <c r="BR194" i="1"/>
  <c r="BR195" i="1"/>
  <c r="BR196" i="1"/>
  <c r="BR197" i="1"/>
  <c r="BR198" i="1"/>
  <c r="BR205" i="1"/>
  <c r="BR206" i="1"/>
  <c r="BR207" i="1"/>
  <c r="BR208" i="1"/>
  <c r="BR209" i="1"/>
  <c r="BR210" i="1"/>
  <c r="BR211" i="1"/>
  <c r="BR212" i="1"/>
  <c r="BR213" i="1"/>
  <c r="BR214" i="1"/>
  <c r="BR215" i="1"/>
  <c r="BR216" i="1"/>
  <c r="BR232" i="1"/>
  <c r="BR233" i="1"/>
  <c r="BR234" i="1"/>
  <c r="BR235" i="1"/>
  <c r="BR236" i="1"/>
  <c r="BR237" i="1"/>
  <c r="BQ31" i="1"/>
  <c r="BQ32" i="1"/>
  <c r="BQ33" i="1"/>
  <c r="BQ34" i="1"/>
  <c r="BQ35" i="1"/>
  <c r="BQ36" i="1"/>
  <c r="BQ37" i="1"/>
  <c r="BQ38" i="1"/>
  <c r="BQ39" i="1"/>
  <c r="BQ40" i="1"/>
  <c r="BQ41" i="1"/>
  <c r="BQ42" i="1"/>
  <c r="BQ43" i="1"/>
  <c r="BQ44" i="1"/>
  <c r="BQ46" i="1"/>
  <c r="BQ48" i="1"/>
  <c r="BT48" i="1"/>
  <c r="BQ49" i="1"/>
  <c r="BT49" i="1"/>
  <c r="BQ50" i="1"/>
  <c r="BT50" i="1"/>
  <c r="BT51" i="1"/>
  <c r="BT52" i="1"/>
  <c r="BT53" i="1"/>
  <c r="BT54" i="1"/>
  <c r="BT55" i="1"/>
  <c r="BT56" i="1"/>
  <c r="BT57" i="1"/>
  <c r="BT58" i="1"/>
  <c r="BT59" i="1"/>
  <c r="BT60" i="1"/>
  <c r="BT61" i="1"/>
  <c r="BT62" i="1"/>
  <c r="BT63" i="1"/>
  <c r="BT64" i="1"/>
  <c r="BT65" i="1"/>
  <c r="BT66" i="1"/>
  <c r="BT67" i="1"/>
  <c r="BT68" i="1"/>
  <c r="BT69" i="1"/>
  <c r="BT70" i="1"/>
  <c r="BT71" i="1"/>
  <c r="BT72" i="1"/>
  <c r="BT73" i="1"/>
  <c r="BT74" i="1"/>
  <c r="BT75" i="1"/>
  <c r="BT76" i="1"/>
  <c r="BT77" i="1"/>
  <c r="BT78" i="1"/>
  <c r="BT79" i="1"/>
  <c r="BQ90" i="1"/>
  <c r="BT90" i="1"/>
  <c r="BQ91" i="1"/>
  <c r="BT91" i="1"/>
  <c r="BQ92" i="1"/>
  <c r="BT92" i="1"/>
  <c r="BQ93" i="1"/>
  <c r="BT93" i="1"/>
  <c r="BQ94" i="1"/>
  <c r="BT94" i="1"/>
  <c r="BQ95" i="1"/>
  <c r="BT95" i="1"/>
  <c r="BQ96" i="1"/>
  <c r="BT96" i="1"/>
  <c r="BQ97" i="1"/>
  <c r="BT97" i="1"/>
  <c r="BQ98" i="1"/>
  <c r="BT98" i="1"/>
  <c r="BQ99" i="1"/>
  <c r="BT99" i="1"/>
  <c r="BQ100" i="1"/>
  <c r="BT100" i="1"/>
  <c r="BQ101" i="1"/>
  <c r="BT101" i="1"/>
  <c r="BQ102" i="1"/>
  <c r="BT102" i="1"/>
  <c r="BQ103" i="1"/>
  <c r="BT103" i="1"/>
  <c r="BQ104" i="1"/>
  <c r="BT104" i="1"/>
  <c r="BQ105" i="1"/>
  <c r="BT105" i="1"/>
  <c r="BQ138" i="1"/>
  <c r="BQ139" i="1"/>
  <c r="BT140" i="1"/>
  <c r="BT141" i="1"/>
  <c r="BT142" i="1"/>
  <c r="BT143" i="1"/>
  <c r="BT144" i="1"/>
  <c r="BT145" i="1"/>
  <c r="BT146" i="1"/>
  <c r="BT147" i="1"/>
  <c r="BT148" i="1"/>
  <c r="BT159" i="1"/>
  <c r="BT160" i="1"/>
  <c r="BT161" i="1"/>
  <c r="BT162" i="1"/>
  <c r="BT163" i="1"/>
  <c r="BT164" i="1"/>
  <c r="BT165" i="1"/>
  <c r="BT166" i="1"/>
  <c r="CD251" i="1" l="1"/>
  <c r="CC251" i="1"/>
  <c r="CD255" i="1"/>
  <c r="CC255" i="1"/>
  <c r="CD243" i="1"/>
  <c r="CC243" i="1"/>
  <c r="CD242" i="1"/>
  <c r="CC242" i="1"/>
  <c r="CD254" i="1"/>
  <c r="CC254" i="1"/>
  <c r="CD252" i="1"/>
  <c r="CC252" i="1"/>
  <c r="CD238" i="1"/>
  <c r="CC238" i="1"/>
  <c r="CD246" i="1"/>
  <c r="CC246" i="1"/>
  <c r="CD239" i="1"/>
  <c r="CC239" i="1"/>
  <c r="CD250" i="1"/>
  <c r="CC250" i="1"/>
  <c r="CC241" i="1"/>
  <c r="CD241" i="1"/>
  <c r="CD248" i="1"/>
  <c r="CC248" i="1"/>
  <c r="CD240" i="1"/>
  <c r="CC240" i="1"/>
  <c r="BJ300" i="1"/>
  <c r="BJ299" i="1"/>
  <c r="BJ298" i="1"/>
  <c r="BJ297" i="1"/>
  <c r="BJ296" i="1"/>
  <c r="BJ295" i="1"/>
  <c r="BJ294" i="1"/>
  <c r="BJ293" i="1"/>
  <c r="BJ292" i="1"/>
  <c r="BJ291" i="1"/>
  <c r="BH295" i="1"/>
  <c r="BH294" i="1"/>
  <c r="BH293" i="1"/>
  <c r="BH292" i="1"/>
  <c r="BH291" i="1"/>
  <c r="BH300" i="1"/>
  <c r="BH299" i="1"/>
  <c r="BH298" i="1"/>
  <c r="BH297" i="1"/>
  <c r="BH296" i="1"/>
  <c r="AU300" i="1"/>
  <c r="AU299" i="1"/>
  <c r="AU298" i="1"/>
  <c r="AU297" i="1"/>
  <c r="AU296" i="1"/>
  <c r="AU295" i="1"/>
  <c r="AU294" i="1"/>
  <c r="AU293" i="1"/>
  <c r="AU292" i="1"/>
  <c r="AU291" i="1"/>
  <c r="BK300" i="1"/>
  <c r="BK299" i="1"/>
  <c r="BK298" i="1"/>
  <c r="BK297" i="1"/>
  <c r="BK296" i="1"/>
  <c r="BK295" i="1"/>
  <c r="BK294" i="1"/>
  <c r="BK293" i="1"/>
  <c r="BK292" i="1"/>
  <c r="BK291" i="1"/>
  <c r="BK237" i="1"/>
  <c r="BJ237" i="1"/>
  <c r="BK236" i="1"/>
  <c r="BJ236" i="1"/>
  <c r="BK235" i="1"/>
  <c r="BJ235" i="1"/>
  <c r="BK234" i="1"/>
  <c r="BJ234" i="1"/>
  <c r="BK233" i="1"/>
  <c r="BJ233" i="1"/>
  <c r="BK232" i="1"/>
  <c r="BJ232" i="1"/>
  <c r="BK231" i="1"/>
  <c r="BJ231" i="1"/>
  <c r="BK230" i="1"/>
  <c r="BJ230" i="1"/>
  <c r="BK229" i="1"/>
  <c r="BJ229" i="1"/>
  <c r="BK228" i="1"/>
  <c r="BJ228" i="1"/>
  <c r="BK227" i="1"/>
  <c r="BJ227" i="1"/>
  <c r="BK226" i="1"/>
  <c r="BJ226" i="1"/>
  <c r="BK225" i="1"/>
  <c r="BJ225" i="1"/>
  <c r="BK224" i="1"/>
  <c r="BJ224" i="1"/>
  <c r="BK223" i="1"/>
  <c r="BJ223" i="1"/>
  <c r="BK222" i="1"/>
  <c r="BJ222" i="1"/>
  <c r="BK221" i="1"/>
  <c r="BJ221" i="1"/>
  <c r="BK220" i="1"/>
  <c r="BJ220" i="1"/>
  <c r="BK219" i="1"/>
  <c r="BJ219" i="1"/>
  <c r="BK218" i="1"/>
  <c r="BJ218" i="1"/>
  <c r="BK217" i="1"/>
  <c r="BJ217" i="1"/>
  <c r="BK216" i="1"/>
  <c r="BJ216" i="1"/>
  <c r="BK215" i="1"/>
  <c r="BJ215" i="1"/>
  <c r="BK214" i="1"/>
  <c r="BJ214" i="1"/>
  <c r="BK213" i="1"/>
  <c r="BJ213" i="1"/>
  <c r="BK212" i="1"/>
  <c r="BJ212" i="1"/>
  <c r="BK211" i="1"/>
  <c r="BJ211" i="1"/>
  <c r="BK210" i="1"/>
  <c r="BJ210" i="1"/>
  <c r="BK209" i="1"/>
  <c r="BJ209" i="1"/>
  <c r="BK208" i="1"/>
  <c r="BJ208" i="1"/>
  <c r="BK207" i="1"/>
  <c r="BJ207" i="1"/>
  <c r="BK206" i="1"/>
  <c r="BJ206" i="1"/>
  <c r="BK205" i="1"/>
  <c r="BJ205" i="1"/>
  <c r="BK204" i="1"/>
  <c r="BJ204" i="1"/>
  <c r="BK203" i="1"/>
  <c r="BJ203" i="1"/>
  <c r="BK202" i="1"/>
  <c r="BJ202" i="1"/>
  <c r="BK201" i="1"/>
  <c r="BJ201" i="1"/>
  <c r="BK200" i="1"/>
  <c r="BJ200" i="1"/>
  <c r="BK199" i="1"/>
  <c r="BJ199" i="1"/>
  <c r="BK198" i="1"/>
  <c r="BJ198" i="1"/>
  <c r="BK197" i="1"/>
  <c r="BJ197" i="1"/>
  <c r="BK196" i="1"/>
  <c r="BJ196" i="1"/>
  <c r="BK195" i="1"/>
  <c r="BJ195" i="1"/>
  <c r="BK194" i="1"/>
  <c r="BJ194" i="1"/>
  <c r="BK193" i="1"/>
  <c r="BJ193" i="1"/>
  <c r="BK192" i="1"/>
  <c r="BJ192" i="1"/>
  <c r="BK191" i="1"/>
  <c r="BJ191" i="1"/>
  <c r="BK190" i="1"/>
  <c r="BJ190" i="1"/>
  <c r="BK189" i="1"/>
  <c r="BJ189" i="1"/>
  <c r="BK188" i="1"/>
  <c r="BJ188" i="1"/>
  <c r="BK187" i="1"/>
  <c r="BJ187" i="1"/>
  <c r="BK186" i="1"/>
  <c r="BJ186" i="1"/>
  <c r="BK185" i="1"/>
  <c r="BJ185" i="1"/>
  <c r="BK184" i="1"/>
  <c r="BJ184" i="1"/>
  <c r="BK183" i="1"/>
  <c r="BJ183" i="1"/>
  <c r="BK182" i="1"/>
  <c r="BJ182" i="1"/>
  <c r="BK181" i="1"/>
  <c r="BJ181" i="1"/>
  <c r="BK180" i="1"/>
  <c r="BJ180" i="1"/>
  <c r="BK179" i="1"/>
  <c r="BJ179" i="1"/>
  <c r="BK178" i="1"/>
  <c r="BJ178" i="1"/>
  <c r="BK177" i="1"/>
  <c r="BJ177" i="1"/>
  <c r="BK176" i="1"/>
  <c r="BJ176" i="1"/>
  <c r="BK175" i="1"/>
  <c r="BJ175" i="1"/>
  <c r="BK174" i="1"/>
  <c r="BJ174" i="1"/>
  <c r="BK173" i="1"/>
  <c r="BJ173" i="1"/>
  <c r="BK172" i="1"/>
  <c r="BJ172" i="1"/>
  <c r="BH173" i="1"/>
  <c r="BH174" i="1"/>
  <c r="BH175" i="1"/>
  <c r="BH176" i="1"/>
  <c r="BH177" i="1"/>
  <c r="BH178" i="1"/>
  <c r="BH179" i="1"/>
  <c r="BH180" i="1"/>
  <c r="BH181" i="1"/>
  <c r="BH182" i="1"/>
  <c r="BH183" i="1"/>
  <c r="BH184" i="1"/>
  <c r="BH185" i="1"/>
  <c r="BH186" i="1"/>
  <c r="BH187" i="1"/>
  <c r="BH188" i="1"/>
  <c r="BH189" i="1"/>
  <c r="BH190" i="1"/>
  <c r="BH191" i="1"/>
  <c r="BH192" i="1"/>
  <c r="BH193" i="1"/>
  <c r="BH194" i="1"/>
  <c r="BH195" i="1"/>
  <c r="BH196" i="1"/>
  <c r="BH197" i="1"/>
  <c r="BH198" i="1"/>
  <c r="BH199" i="1"/>
  <c r="BH200" i="1"/>
  <c r="BH201" i="1"/>
  <c r="BH202" i="1"/>
  <c r="BH203" i="1"/>
  <c r="BH204" i="1"/>
  <c r="BH205" i="1"/>
  <c r="BH206" i="1"/>
  <c r="BH207" i="1"/>
  <c r="BH208" i="1"/>
  <c r="BH209" i="1"/>
  <c r="BH210" i="1"/>
  <c r="BH211" i="1"/>
  <c r="BH212" i="1"/>
  <c r="BH213" i="1"/>
  <c r="BH214" i="1"/>
  <c r="BH215" i="1"/>
  <c r="BH216" i="1"/>
  <c r="BH217" i="1"/>
  <c r="BH218" i="1"/>
  <c r="BH219" i="1"/>
  <c r="BH220" i="1"/>
  <c r="BH221" i="1"/>
  <c r="BH222" i="1"/>
  <c r="BH223" i="1"/>
  <c r="BH224" i="1"/>
  <c r="BH225" i="1"/>
  <c r="BH226" i="1"/>
  <c r="BH227" i="1"/>
  <c r="BH228" i="1"/>
  <c r="BH229" i="1"/>
  <c r="BH230" i="1"/>
  <c r="BH231" i="1"/>
  <c r="BH232" i="1"/>
  <c r="BH233" i="1"/>
  <c r="BH234" i="1"/>
  <c r="BH235" i="1"/>
  <c r="BH236" i="1"/>
  <c r="BH237" i="1"/>
  <c r="BH172" i="1"/>
  <c r="AM222" i="1"/>
  <c r="AN222" i="1" s="1"/>
  <c r="AM221" i="1"/>
  <c r="AN221" i="1" s="1"/>
  <c r="AM220" i="1"/>
  <c r="AN220" i="1" s="1"/>
  <c r="AM219" i="1"/>
  <c r="AN219" i="1" s="1"/>
  <c r="AM218" i="1"/>
  <c r="AN218" i="1" s="1"/>
  <c r="AM217" i="1"/>
  <c r="AN217" i="1" s="1"/>
  <c r="AM204" i="1"/>
  <c r="AN204" i="1" s="1"/>
  <c r="AM203" i="1"/>
  <c r="AN203" i="1" s="1"/>
  <c r="AM202" i="1"/>
  <c r="AN202" i="1" s="1"/>
  <c r="AM201" i="1"/>
  <c r="AN201" i="1" s="1"/>
  <c r="AM200" i="1"/>
  <c r="AN200" i="1" s="1"/>
  <c r="AM199" i="1"/>
  <c r="AN199" i="1" s="1"/>
  <c r="AM186" i="1"/>
  <c r="AN186" i="1" s="1"/>
  <c r="AM185" i="1"/>
  <c r="AN185" i="1" s="1"/>
  <c r="AM184" i="1"/>
  <c r="AN184" i="1" s="1"/>
  <c r="AM183" i="1"/>
  <c r="AN183" i="1" s="1"/>
  <c r="AM182" i="1"/>
  <c r="AN182" i="1" s="1"/>
  <c r="AM181" i="1"/>
  <c r="AN181" i="1" s="1"/>
  <c r="AD173" i="1"/>
  <c r="AD174" i="1"/>
  <c r="AD175" i="1"/>
  <c r="AD176" i="1"/>
  <c r="AD177" i="1"/>
  <c r="AD178" i="1"/>
  <c r="AD179" i="1"/>
  <c r="AD180" i="1"/>
  <c r="AD181" i="1"/>
  <c r="AD182" i="1"/>
  <c r="AD183" i="1"/>
  <c r="AD184" i="1"/>
  <c r="AD185" i="1"/>
  <c r="AD186" i="1"/>
  <c r="AD187" i="1"/>
  <c r="AD188" i="1"/>
  <c r="AD189" i="1"/>
  <c r="AD190" i="1"/>
  <c r="AD191" i="1"/>
  <c r="AD192" i="1"/>
  <c r="AD193" i="1"/>
  <c r="AD194" i="1"/>
  <c r="AD195" i="1"/>
  <c r="AD196" i="1"/>
  <c r="AD197" i="1"/>
  <c r="AD198" i="1"/>
  <c r="AD199" i="1"/>
  <c r="AD200" i="1"/>
  <c r="AD201" i="1"/>
  <c r="AD202" i="1"/>
  <c r="AD203" i="1"/>
  <c r="AD204" i="1"/>
  <c r="AD205" i="1"/>
  <c r="AD206" i="1"/>
  <c r="AD207" i="1"/>
  <c r="AD208" i="1"/>
  <c r="AD209" i="1"/>
  <c r="AD210" i="1"/>
  <c r="AD211" i="1"/>
  <c r="AD212" i="1"/>
  <c r="AD213" i="1"/>
  <c r="AD214" i="1"/>
  <c r="AD215" i="1"/>
  <c r="AD216" i="1"/>
  <c r="AD217" i="1"/>
  <c r="AD218" i="1"/>
  <c r="AD219" i="1"/>
  <c r="AD220" i="1"/>
  <c r="AD221" i="1"/>
  <c r="AD222" i="1"/>
  <c r="AD223" i="1"/>
  <c r="AD224" i="1"/>
  <c r="AD225" i="1"/>
  <c r="AD226" i="1"/>
  <c r="AD227" i="1"/>
  <c r="AD228" i="1"/>
  <c r="AD229" i="1"/>
  <c r="AD230" i="1"/>
  <c r="AD231" i="1"/>
  <c r="AD232" i="1"/>
  <c r="AD233" i="1"/>
  <c r="AD234" i="1"/>
  <c r="AD235" i="1"/>
  <c r="AD236" i="1"/>
  <c r="AD237" i="1"/>
  <c r="AD168" i="1"/>
  <c r="AD169" i="1"/>
  <c r="AD170" i="1"/>
  <c r="AD171" i="1"/>
  <c r="AD167" i="1"/>
  <c r="AD172" i="1"/>
  <c r="BI171" i="1"/>
  <c r="BI170" i="1"/>
  <c r="BI169" i="1"/>
  <c r="BI168" i="1"/>
  <c r="BI167" i="1"/>
  <c r="BH171" i="1"/>
  <c r="BH170" i="1"/>
  <c r="BH169" i="1"/>
  <c r="BH168" i="1"/>
  <c r="BH167" i="1"/>
  <c r="BK171" i="1"/>
  <c r="BJ171" i="1"/>
  <c r="BK170" i="1"/>
  <c r="BJ170" i="1"/>
  <c r="BK169" i="1"/>
  <c r="BJ169" i="1"/>
  <c r="BK168" i="1"/>
  <c r="BJ168" i="1"/>
  <c r="BK167" i="1"/>
  <c r="BJ167" i="1"/>
  <c r="BK166" i="1"/>
  <c r="BJ166" i="1"/>
  <c r="BK165" i="1"/>
  <c r="BJ165" i="1"/>
  <c r="BK164" i="1"/>
  <c r="BJ164" i="1"/>
  <c r="BK163" i="1"/>
  <c r="BJ163" i="1"/>
  <c r="BK162" i="1"/>
  <c r="BJ162" i="1"/>
  <c r="BK161" i="1"/>
  <c r="BJ161" i="1"/>
  <c r="BK160" i="1"/>
  <c r="BJ160" i="1"/>
  <c r="BK159" i="1"/>
  <c r="BJ159" i="1"/>
  <c r="V166" i="1"/>
  <c r="W166" i="1" s="1"/>
  <c r="V165" i="1"/>
  <c r="W165" i="1" s="1"/>
  <c r="V164" i="1"/>
  <c r="W164" i="1" s="1"/>
  <c r="V163" i="1"/>
  <c r="W163" i="1" s="1"/>
  <c r="V162" i="1"/>
  <c r="W162" i="1" s="1"/>
  <c r="V161" i="1"/>
  <c r="W161" i="1" s="1"/>
  <c r="V160" i="1"/>
  <c r="W160" i="1" s="1"/>
  <c r="V159" i="1"/>
  <c r="W159" i="1" s="1"/>
  <c r="BK158" i="1"/>
  <c r="BJ158" i="1"/>
  <c r="BH158" i="1"/>
  <c r="BK157" i="1"/>
  <c r="BJ157" i="1"/>
  <c r="BH157" i="1"/>
  <c r="BK156" i="1"/>
  <c r="BJ156" i="1"/>
  <c r="BH156" i="1"/>
  <c r="BK155" i="1"/>
  <c r="BJ155" i="1"/>
  <c r="BH155" i="1"/>
  <c r="BK149" i="1"/>
  <c r="BJ149" i="1"/>
  <c r="BK154" i="1"/>
  <c r="BJ154" i="1"/>
  <c r="BK153" i="1"/>
  <c r="BJ153" i="1"/>
  <c r="BK152" i="1"/>
  <c r="BJ152" i="1"/>
  <c r="BK151" i="1"/>
  <c r="BJ151" i="1"/>
  <c r="BK150" i="1"/>
  <c r="BJ150" i="1"/>
  <c r="BH154" i="1"/>
  <c r="BH153" i="1"/>
  <c r="BH152" i="1"/>
  <c r="BH151" i="1"/>
  <c r="BH150" i="1"/>
  <c r="BH149" i="1"/>
  <c r="BK144" i="1"/>
  <c r="BJ144" i="1"/>
  <c r="BK148" i="1"/>
  <c r="BJ148" i="1"/>
  <c r="BK147" i="1"/>
  <c r="BJ147" i="1"/>
  <c r="BK146" i="1"/>
  <c r="BJ146" i="1"/>
  <c r="BK145" i="1"/>
  <c r="BJ145" i="1"/>
  <c r="BH148" i="1"/>
  <c r="BH147" i="1"/>
  <c r="BH146" i="1"/>
  <c r="BH145" i="1"/>
  <c r="BH144" i="1"/>
  <c r="AD148" i="1"/>
  <c r="AD147" i="1"/>
  <c r="AD146" i="1"/>
  <c r="AD145" i="1"/>
  <c r="AD144" i="1"/>
  <c r="BH143" i="1"/>
  <c r="BH142" i="1"/>
  <c r="BH141" i="1"/>
  <c r="BH140" i="1"/>
  <c r="BK141" i="1"/>
  <c r="BJ141" i="1"/>
  <c r="BK140" i="1"/>
  <c r="BJ140" i="1"/>
  <c r="BK143" i="1"/>
  <c r="BJ143" i="1"/>
  <c r="BK142" i="1"/>
  <c r="BJ142" i="1"/>
  <c r="AU143" i="1"/>
  <c r="AW143" i="1" s="1"/>
  <c r="AU142" i="1"/>
  <c r="AW142" i="1" s="1"/>
  <c r="AU141" i="1"/>
  <c r="AW141" i="1" s="1"/>
  <c r="AU140" i="1"/>
  <c r="AW140" i="1" s="1"/>
  <c r="AL143" i="1"/>
  <c r="AM143" i="1" s="1"/>
  <c r="AL142" i="1"/>
  <c r="AL141" i="1"/>
  <c r="AM141" i="1" s="1"/>
  <c r="AL140" i="1"/>
  <c r="AM140" i="1" s="1"/>
  <c r="AM142" i="1"/>
  <c r="AM144" i="1"/>
  <c r="AD143" i="1"/>
  <c r="AD142" i="1"/>
  <c r="AD141" i="1"/>
  <c r="AD140" i="1"/>
  <c r="P140" i="1"/>
  <c r="P143" i="1"/>
  <c r="P142" i="1"/>
  <c r="P141" i="1"/>
  <c r="Q141" i="1"/>
  <c r="BB141" i="1" s="1"/>
  <c r="Q140" i="1"/>
  <c r="Q143" i="1"/>
  <c r="BB143" i="1" s="1"/>
  <c r="Q142" i="1"/>
  <c r="BB142" i="1" s="1"/>
  <c r="J141" i="1"/>
  <c r="J140" i="1"/>
  <c r="J143" i="1"/>
  <c r="J142" i="1"/>
  <c r="L143" i="1"/>
  <c r="M143" i="1"/>
  <c r="L142" i="1"/>
  <c r="M142" i="1"/>
  <c r="L141" i="1"/>
  <c r="M141" i="1"/>
  <c r="L140" i="1"/>
  <c r="M140" i="1"/>
  <c r="BK139" i="1"/>
  <c r="BJ139" i="1"/>
  <c r="BK138" i="1"/>
  <c r="BJ138" i="1"/>
  <c r="BH139" i="1"/>
  <c r="BH138" i="1"/>
  <c r="AD139" i="1"/>
  <c r="AD138" i="1"/>
  <c r="AD137" i="1"/>
  <c r="AD136" i="1"/>
  <c r="AD135" i="1"/>
  <c r="AD134" i="1"/>
  <c r="AD133" i="1"/>
  <c r="AD132" i="1"/>
  <c r="BM42" i="1"/>
  <c r="BN42" i="1"/>
  <c r="BM43" i="1"/>
  <c r="BN43" i="1"/>
  <c r="BK137" i="1"/>
  <c r="BJ137" i="1"/>
  <c r="BK136" i="1"/>
  <c r="BJ136" i="1"/>
  <c r="BK135" i="1"/>
  <c r="BJ135" i="1"/>
  <c r="BK134" i="1"/>
  <c r="BJ134" i="1"/>
  <c r="BK133" i="1"/>
  <c r="BJ133" i="1"/>
  <c r="BK132" i="1"/>
  <c r="BJ132" i="1"/>
  <c r="BK131" i="1"/>
  <c r="BJ131" i="1"/>
  <c r="BK130" i="1"/>
  <c r="BJ130" i="1"/>
  <c r="BK129" i="1"/>
  <c r="BJ129" i="1"/>
  <c r="BK128" i="1"/>
  <c r="BJ128" i="1"/>
  <c r="BK127" i="1"/>
  <c r="BJ127" i="1"/>
  <c r="BK126" i="1"/>
  <c r="BJ126" i="1"/>
  <c r="AD131" i="1"/>
  <c r="AD130" i="1"/>
  <c r="AD129" i="1"/>
  <c r="AD128" i="1"/>
  <c r="AD127" i="1"/>
  <c r="AD126" i="1"/>
  <c r="BK125" i="1"/>
  <c r="BJ125" i="1"/>
  <c r="BK124" i="1"/>
  <c r="BJ124" i="1"/>
  <c r="BK123" i="1"/>
  <c r="BJ123" i="1"/>
  <c r="BK122" i="1"/>
  <c r="BJ122" i="1"/>
  <c r="BK121" i="1"/>
  <c r="BJ121" i="1"/>
  <c r="BK120" i="1"/>
  <c r="BJ120" i="1"/>
  <c r="BH125" i="1"/>
  <c r="BH124" i="1"/>
  <c r="BH123" i="1"/>
  <c r="BH122" i="1"/>
  <c r="BH121" i="1"/>
  <c r="BH120" i="1"/>
  <c r="AV125" i="1"/>
  <c r="AV124" i="1"/>
  <c r="AV123" i="1"/>
  <c r="AV122" i="1"/>
  <c r="AV121" i="1"/>
  <c r="AV120" i="1"/>
  <c r="AU125" i="1"/>
  <c r="AW125" i="1" s="1"/>
  <c r="AU124" i="1"/>
  <c r="AW124" i="1" s="1"/>
  <c r="AU123" i="1"/>
  <c r="AW123" i="1" s="1"/>
  <c r="AU122" i="1"/>
  <c r="AW122" i="1" s="1"/>
  <c r="AU121" i="1"/>
  <c r="AW121" i="1" s="1"/>
  <c r="AU120" i="1"/>
  <c r="AW120" i="1" s="1"/>
  <c r="AL125" i="1"/>
  <c r="AM125" i="1" s="1"/>
  <c r="AL124" i="1"/>
  <c r="AM124" i="1" s="1"/>
  <c r="AL123" i="1"/>
  <c r="AM123" i="1" s="1"/>
  <c r="AL122" i="1"/>
  <c r="AM122" i="1" s="1"/>
  <c r="AL121" i="1"/>
  <c r="AM121" i="1" s="1"/>
  <c r="AL120" i="1"/>
  <c r="AM120" i="1" s="1"/>
  <c r="BK119" i="1"/>
  <c r="BJ119" i="1"/>
  <c r="BK118" i="1"/>
  <c r="BJ118" i="1"/>
  <c r="BC118" i="1"/>
  <c r="BC119" i="1"/>
  <c r="BA119" i="1"/>
  <c r="BA118" i="1"/>
  <c r="AV116" i="1"/>
  <c r="AV117" i="1"/>
  <c r="AV119" i="1"/>
  <c r="AV118" i="1"/>
  <c r="AY116" i="1"/>
  <c r="AY117" i="1"/>
  <c r="AY119" i="1"/>
  <c r="AY118" i="1"/>
  <c r="AS119" i="1"/>
  <c r="AW119" i="1" s="1"/>
  <c r="AS118" i="1"/>
  <c r="AW118" i="1" s="1"/>
  <c r="AS117" i="1"/>
  <c r="AQ119" i="1"/>
  <c r="AQ118" i="1"/>
  <c r="AO119" i="1"/>
  <c r="AO118" i="1"/>
  <c r="AO117" i="1"/>
  <c r="AL116" i="1"/>
  <c r="AL117" i="1"/>
  <c r="AL119" i="1"/>
  <c r="AM119" i="1" s="1"/>
  <c r="AL118" i="1"/>
  <c r="AM118" i="1" s="1"/>
  <c r="X119" i="1"/>
  <c r="Y119" i="1" s="1"/>
  <c r="X118" i="1"/>
  <c r="Y118" i="1" s="1"/>
  <c r="V119" i="1"/>
  <c r="W119" i="1" s="1"/>
  <c r="V118" i="1"/>
  <c r="W118" i="1" s="1"/>
  <c r="V117" i="1"/>
  <c r="W117" i="1" s="1"/>
  <c r="V116" i="1"/>
  <c r="W116" i="1" s="1"/>
  <c r="U119" i="1"/>
  <c r="U118" i="1"/>
  <c r="U117" i="1"/>
  <c r="U116" i="1"/>
  <c r="K119" i="1"/>
  <c r="K118" i="1"/>
  <c r="AD119" i="1" s="1"/>
  <c r="AF119" i="1" s="1"/>
  <c r="I119" i="1"/>
  <c r="L119" i="1" s="1"/>
  <c r="I118" i="1"/>
  <c r="L118" i="1" s="1"/>
  <c r="G119" i="1"/>
  <c r="G118" i="1"/>
  <c r="H118" i="1" s="1"/>
  <c r="BJ117" i="1"/>
  <c r="BJ116" i="1"/>
  <c r="X117" i="1"/>
  <c r="Y117" i="1" s="1"/>
  <c r="X116" i="1"/>
  <c r="Y116" i="1" s="1"/>
  <c r="BK117" i="1"/>
  <c r="BK116" i="1"/>
  <c r="BK115" i="1"/>
  <c r="BJ115" i="1"/>
  <c r="BK114" i="1"/>
  <c r="BJ114" i="1"/>
  <c r="BK113" i="1"/>
  <c r="BJ113" i="1"/>
  <c r="BK112" i="1"/>
  <c r="BJ112" i="1"/>
  <c r="BK111" i="1"/>
  <c r="BJ111" i="1"/>
  <c r="BK110" i="1"/>
  <c r="BJ110" i="1"/>
  <c r="BK109" i="1"/>
  <c r="BJ109" i="1"/>
  <c r="BK108" i="1"/>
  <c r="BJ108" i="1"/>
  <c r="BK107" i="1"/>
  <c r="BJ107" i="1"/>
  <c r="BK106" i="1"/>
  <c r="BJ106" i="1"/>
  <c r="U115" i="1"/>
  <c r="U114" i="1"/>
  <c r="U113" i="1"/>
  <c r="U112" i="1"/>
  <c r="U111" i="1"/>
  <c r="U110" i="1"/>
  <c r="U109" i="1"/>
  <c r="U108" i="1"/>
  <c r="U107" i="1"/>
  <c r="U106" i="1"/>
  <c r="AH119" i="1" l="1"/>
  <c r="AG119" i="1"/>
  <c r="AI119" i="1" s="1"/>
  <c r="BD119" i="1"/>
  <c r="BE143" i="1"/>
  <c r="BL227" i="1"/>
  <c r="BM227" i="1" s="1"/>
  <c r="BL219" i="1"/>
  <c r="BM219" i="1" s="1"/>
  <c r="BL215" i="1"/>
  <c r="BM215" i="1" s="1"/>
  <c r="BL207" i="1"/>
  <c r="BM207" i="1" s="1"/>
  <c r="BL203" i="1"/>
  <c r="BM203" i="1" s="1"/>
  <c r="BL199" i="1"/>
  <c r="BM199" i="1" s="1"/>
  <c r="BT119" i="1"/>
  <c r="AX141" i="1"/>
  <c r="AZ141" i="1" s="1"/>
  <c r="BQ141" i="1" s="1"/>
  <c r="BZ141" i="1"/>
  <c r="BZ119" i="1"/>
  <c r="AX123" i="1"/>
  <c r="AZ123" i="1" s="1"/>
  <c r="BQ123" i="1" s="1"/>
  <c r="AX142" i="1"/>
  <c r="AZ142" i="1" s="1"/>
  <c r="BQ142" i="1" s="1"/>
  <c r="BZ142" i="1"/>
  <c r="O118" i="1"/>
  <c r="N118" i="1" s="1"/>
  <c r="BW118" i="1" s="1"/>
  <c r="AX120" i="1"/>
  <c r="AZ120" i="1" s="1"/>
  <c r="BQ120" i="1" s="1"/>
  <c r="AX124" i="1"/>
  <c r="AZ124" i="1" s="1"/>
  <c r="BQ124" i="1" s="1"/>
  <c r="AX143" i="1"/>
  <c r="AZ143" i="1" s="1"/>
  <c r="BQ143" i="1" s="1"/>
  <c r="BZ143" i="1"/>
  <c r="BZ118" i="1"/>
  <c r="AX122" i="1"/>
  <c r="AZ122" i="1" s="1"/>
  <c r="BQ122" i="1" s="1"/>
  <c r="AX121" i="1"/>
  <c r="AZ121" i="1" s="1"/>
  <c r="BQ121" i="1" s="1"/>
  <c r="AX125" i="1"/>
  <c r="AZ125" i="1" s="1"/>
  <c r="BQ125" i="1" s="1"/>
  <c r="AX140" i="1"/>
  <c r="AZ140" i="1" s="1"/>
  <c r="BQ140" i="1" s="1"/>
  <c r="BZ140" i="1"/>
  <c r="M119" i="1"/>
  <c r="J118" i="1"/>
  <c r="BL123" i="1"/>
  <c r="BL128" i="1"/>
  <c r="BM128" i="1" s="1"/>
  <c r="BL130" i="1"/>
  <c r="R140" i="1"/>
  <c r="BL143" i="1"/>
  <c r="BM143" i="1" s="1"/>
  <c r="P119" i="1"/>
  <c r="BL142" i="1"/>
  <c r="BN142" i="1" s="1"/>
  <c r="BL137" i="1"/>
  <c r="BM137" i="1" s="1"/>
  <c r="BE142" i="1"/>
  <c r="R141" i="1"/>
  <c r="BL133" i="1"/>
  <c r="AN142" i="1"/>
  <c r="BL297" i="1"/>
  <c r="BL295" i="1"/>
  <c r="BL233" i="1"/>
  <c r="BL298" i="1"/>
  <c r="BL292" i="1"/>
  <c r="M118" i="1"/>
  <c r="Q118" i="1"/>
  <c r="BB118" i="1" s="1"/>
  <c r="AX119" i="1"/>
  <c r="AZ119" i="1" s="1"/>
  <c r="BQ119" i="1" s="1"/>
  <c r="BL236" i="1"/>
  <c r="BM236" i="1" s="1"/>
  <c r="BL232" i="1"/>
  <c r="BL228" i="1"/>
  <c r="BL224" i="1"/>
  <c r="BM224" i="1" s="1"/>
  <c r="BL220" i="1"/>
  <c r="BM220" i="1" s="1"/>
  <c r="BL216" i="1"/>
  <c r="BL212" i="1"/>
  <c r="BL208" i="1"/>
  <c r="BL204" i="1"/>
  <c r="BM204" i="1" s="1"/>
  <c r="BL200" i="1"/>
  <c r="BL196" i="1"/>
  <c r="BM196" i="1" s="1"/>
  <c r="BL192" i="1"/>
  <c r="BL188" i="1"/>
  <c r="BM188" i="1" s="1"/>
  <c r="BL184" i="1"/>
  <c r="BL180" i="1"/>
  <c r="BL176" i="1"/>
  <c r="BM176" i="1" s="1"/>
  <c r="BL186" i="1"/>
  <c r="BM186" i="1" s="1"/>
  <c r="BL210" i="1"/>
  <c r="BL218" i="1"/>
  <c r="BM218" i="1" s="1"/>
  <c r="BL132" i="1"/>
  <c r="BM132" i="1" s="1"/>
  <c r="R142" i="1"/>
  <c r="BL235" i="1"/>
  <c r="BL231" i="1"/>
  <c r="BL226" i="1"/>
  <c r="BM226" i="1" s="1"/>
  <c r="BL299" i="1"/>
  <c r="BL293" i="1"/>
  <c r="BL138" i="1"/>
  <c r="BL146" i="1"/>
  <c r="BL158" i="1"/>
  <c r="BL172" i="1"/>
  <c r="BM172" i="1" s="1"/>
  <c r="BL177" i="1"/>
  <c r="BM177" i="1" s="1"/>
  <c r="BL179" i="1"/>
  <c r="BM179" i="1" s="1"/>
  <c r="BL193" i="1"/>
  <c r="BL201" i="1"/>
  <c r="BL296" i="1"/>
  <c r="BL300" i="1"/>
  <c r="BL294" i="1"/>
  <c r="BL127" i="1"/>
  <c r="BL129" i="1"/>
  <c r="BE141" i="1"/>
  <c r="BL153" i="1"/>
  <c r="BL151" i="1"/>
  <c r="BL157" i="1"/>
  <c r="BM157" i="1" s="1"/>
  <c r="BL173" i="1"/>
  <c r="BL191" i="1"/>
  <c r="BL291" i="1"/>
  <c r="AN118" i="1"/>
  <c r="BT118" i="1"/>
  <c r="BL148" i="1"/>
  <c r="BM148" i="1" s="1"/>
  <c r="H119" i="1"/>
  <c r="O119" i="1" s="1"/>
  <c r="N119" i="1" s="1"/>
  <c r="BW119" i="1" s="1"/>
  <c r="BX119" i="1" s="1"/>
  <c r="J119" i="1"/>
  <c r="AN119" i="1"/>
  <c r="R143" i="1"/>
  <c r="BB140" i="1"/>
  <c r="BE140" i="1" s="1"/>
  <c r="AN143" i="1"/>
  <c r="BL145" i="1"/>
  <c r="BL170" i="1"/>
  <c r="BL174" i="1"/>
  <c r="BM174" i="1" s="1"/>
  <c r="BL181" i="1"/>
  <c r="BL183" i="1"/>
  <c r="BL190" i="1"/>
  <c r="BL195" i="1"/>
  <c r="BM195" i="1" s="1"/>
  <c r="BL197" i="1"/>
  <c r="BL206" i="1"/>
  <c r="BL214" i="1"/>
  <c r="BL221" i="1"/>
  <c r="BL223" i="1"/>
  <c r="BL229" i="1"/>
  <c r="BM229" i="1" s="1"/>
  <c r="P118" i="1"/>
  <c r="AD118" i="1"/>
  <c r="AF118" i="1" s="1"/>
  <c r="AX118" i="1"/>
  <c r="AZ118" i="1" s="1"/>
  <c r="BQ118" i="1" s="1"/>
  <c r="BL131" i="1"/>
  <c r="AN140" i="1"/>
  <c r="BL141" i="1"/>
  <c r="BL150" i="1"/>
  <c r="BL149" i="1"/>
  <c r="BN149" i="1" s="1"/>
  <c r="BL156" i="1"/>
  <c r="BL178" i="1"/>
  <c r="BL185" i="1"/>
  <c r="BL187" i="1"/>
  <c r="BM187" i="1" s="1"/>
  <c r="BL194" i="1"/>
  <c r="BL202" i="1"/>
  <c r="BL209" i="1"/>
  <c r="BL211" i="1"/>
  <c r="BM211" i="1" s="1"/>
  <c r="BL217" i="1"/>
  <c r="BL225" i="1"/>
  <c r="BL234" i="1"/>
  <c r="BL139" i="1"/>
  <c r="BM139" i="1" s="1"/>
  <c r="Q119" i="1"/>
  <c r="BB119" i="1" s="1"/>
  <c r="BL122" i="1"/>
  <c r="BL126" i="1"/>
  <c r="AN141" i="1"/>
  <c r="BL140" i="1"/>
  <c r="BL147" i="1"/>
  <c r="BL144" i="1"/>
  <c r="BL152" i="1"/>
  <c r="BN152" i="1" s="1"/>
  <c r="BL154" i="1"/>
  <c r="BN154" i="1" s="1"/>
  <c r="BL175" i="1"/>
  <c r="BM175" i="1" s="1"/>
  <c r="BL182" i="1"/>
  <c r="BL189" i="1"/>
  <c r="BM189" i="1" s="1"/>
  <c r="BL198" i="1"/>
  <c r="BL205" i="1"/>
  <c r="BL213" i="1"/>
  <c r="BL222" i="1"/>
  <c r="BM222" i="1" s="1"/>
  <c r="BL230" i="1"/>
  <c r="BL237" i="1"/>
  <c r="BL155" i="1"/>
  <c r="BL171" i="1"/>
  <c r="BL169" i="1"/>
  <c r="BL168" i="1"/>
  <c r="BL167" i="1"/>
  <c r="BL136" i="1"/>
  <c r="BL125" i="1"/>
  <c r="BL135" i="1"/>
  <c r="BL120" i="1"/>
  <c r="BL124" i="1"/>
  <c r="BL121" i="1"/>
  <c r="BL134" i="1"/>
  <c r="P38" i="1"/>
  <c r="P36" i="1"/>
  <c r="P41" i="1"/>
  <c r="P40" i="1"/>
  <c r="P39" i="1"/>
  <c r="P37" i="1"/>
  <c r="P35" i="1"/>
  <c r="P34" i="1"/>
  <c r="P33" i="1"/>
  <c r="P32" i="1"/>
  <c r="P31" i="1"/>
  <c r="BK105" i="1"/>
  <c r="BJ105" i="1"/>
  <c r="BK104" i="1"/>
  <c r="BJ104" i="1"/>
  <c r="BK103" i="1"/>
  <c r="BJ103" i="1"/>
  <c r="BK102" i="1"/>
  <c r="BJ102" i="1"/>
  <c r="BK101" i="1"/>
  <c r="BJ101" i="1"/>
  <c r="BK100" i="1"/>
  <c r="BJ100" i="1"/>
  <c r="BK99" i="1"/>
  <c r="BJ99" i="1"/>
  <c r="BK98" i="1"/>
  <c r="BJ98" i="1"/>
  <c r="BK97" i="1"/>
  <c r="BJ97" i="1"/>
  <c r="BK96" i="1"/>
  <c r="BJ96" i="1"/>
  <c r="BK95" i="1"/>
  <c r="BJ95" i="1"/>
  <c r="BK94" i="1"/>
  <c r="BJ94" i="1"/>
  <c r="BK93" i="1"/>
  <c r="BJ93" i="1"/>
  <c r="BK92" i="1"/>
  <c r="BJ92" i="1"/>
  <c r="BK91" i="1"/>
  <c r="BJ91" i="1"/>
  <c r="BK90" i="1"/>
  <c r="BJ90" i="1"/>
  <c r="AD91" i="1"/>
  <c r="AD92" i="1"/>
  <c r="AD93" i="1"/>
  <c r="AD94" i="1"/>
  <c r="AD95" i="1"/>
  <c r="AD96" i="1"/>
  <c r="AD97" i="1"/>
  <c r="AD98" i="1"/>
  <c r="AD99" i="1"/>
  <c r="AD100" i="1"/>
  <c r="AD101" i="1"/>
  <c r="AD102" i="1"/>
  <c r="AD103" i="1"/>
  <c r="AD104" i="1"/>
  <c r="AD105" i="1"/>
  <c r="AD90" i="1"/>
  <c r="X105" i="1"/>
  <c r="Y105" i="1" s="1"/>
  <c r="X104" i="1"/>
  <c r="Y104" i="1" s="1"/>
  <c r="X103" i="1"/>
  <c r="Y103" i="1" s="1"/>
  <c r="X102" i="1"/>
  <c r="Y102" i="1" s="1"/>
  <c r="X101" i="1"/>
  <c r="Y101" i="1" s="1"/>
  <c r="X100" i="1"/>
  <c r="Y100" i="1" s="1"/>
  <c r="X99" i="1"/>
  <c r="Y99" i="1" s="1"/>
  <c r="X98" i="1"/>
  <c r="Y98" i="1" s="1"/>
  <c r="X97" i="1"/>
  <c r="Y97" i="1" s="1"/>
  <c r="X96" i="1"/>
  <c r="Y96" i="1" s="1"/>
  <c r="X95" i="1"/>
  <c r="Y95" i="1" s="1"/>
  <c r="X94" i="1"/>
  <c r="Y94" i="1" s="1"/>
  <c r="X93" i="1"/>
  <c r="Y93" i="1" s="1"/>
  <c r="X92" i="1"/>
  <c r="Y92" i="1" s="1"/>
  <c r="X91" i="1"/>
  <c r="Y91" i="1" s="1"/>
  <c r="X90" i="1"/>
  <c r="Y90" i="1" s="1"/>
  <c r="P106" i="1"/>
  <c r="P50" i="1"/>
  <c r="P49" i="1"/>
  <c r="P48" i="1"/>
  <c r="P122" i="1"/>
  <c r="L106" i="1"/>
  <c r="I91" i="1"/>
  <c r="P91" i="1" s="1"/>
  <c r="I92" i="1"/>
  <c r="P92" i="1" s="1"/>
  <c r="I93" i="1"/>
  <c r="Q93" i="1" s="1"/>
  <c r="I94" i="1"/>
  <c r="Q94" i="1" s="1"/>
  <c r="I95" i="1"/>
  <c r="P95" i="1" s="1"/>
  <c r="I96" i="1"/>
  <c r="I97" i="1"/>
  <c r="Q97" i="1" s="1"/>
  <c r="I98" i="1"/>
  <c r="Q98" i="1" s="1"/>
  <c r="I99" i="1"/>
  <c r="P99" i="1" s="1"/>
  <c r="I100" i="1"/>
  <c r="P100" i="1" s="1"/>
  <c r="I101" i="1"/>
  <c r="Q101" i="1" s="1"/>
  <c r="I102" i="1"/>
  <c r="Q102" i="1" s="1"/>
  <c r="I103" i="1"/>
  <c r="P103" i="1" s="1"/>
  <c r="I104" i="1"/>
  <c r="I105" i="1"/>
  <c r="Q105" i="1" s="1"/>
  <c r="I90" i="1"/>
  <c r="P90" i="1" s="1"/>
  <c r="G91" i="1"/>
  <c r="G92" i="1"/>
  <c r="G93" i="1"/>
  <c r="G94" i="1"/>
  <c r="G95" i="1"/>
  <c r="G96" i="1"/>
  <c r="G97" i="1"/>
  <c r="G98" i="1"/>
  <c r="G99" i="1"/>
  <c r="G100" i="1"/>
  <c r="G101" i="1"/>
  <c r="G102" i="1"/>
  <c r="G103" i="1"/>
  <c r="T103" i="1" s="1"/>
  <c r="G104" i="1"/>
  <c r="G105" i="1"/>
  <c r="G90" i="1"/>
  <c r="BK80" i="1"/>
  <c r="BK81" i="1"/>
  <c r="BK82" i="1"/>
  <c r="BK83" i="1"/>
  <c r="BK84" i="1"/>
  <c r="BK85" i="1"/>
  <c r="BK86" i="1"/>
  <c r="BK87" i="1"/>
  <c r="BK88" i="1"/>
  <c r="BK89" i="1"/>
  <c r="BK10" i="1"/>
  <c r="BK11" i="1"/>
  <c r="BK12" i="1"/>
  <c r="BK13" i="1"/>
  <c r="BK14" i="1"/>
  <c r="BK15" i="1"/>
  <c r="BK16" i="1"/>
  <c r="BK17" i="1"/>
  <c r="BK18" i="1"/>
  <c r="BK19" i="1"/>
  <c r="BK20" i="1"/>
  <c r="BK21" i="1"/>
  <c r="BK22" i="1"/>
  <c r="BK23" i="1"/>
  <c r="BK24" i="1"/>
  <c r="BK25" i="1"/>
  <c r="BK26" i="1"/>
  <c r="BK27" i="1"/>
  <c r="BK28" i="1"/>
  <c r="BK29" i="1"/>
  <c r="BK30" i="1"/>
  <c r="BK31" i="1"/>
  <c r="BK32" i="1"/>
  <c r="BK33" i="1"/>
  <c r="BK34" i="1"/>
  <c r="BK35" i="1"/>
  <c r="BK36" i="1"/>
  <c r="BK37" i="1"/>
  <c r="BK38" i="1"/>
  <c r="BK39" i="1"/>
  <c r="BK40" i="1"/>
  <c r="BK41" i="1"/>
  <c r="BK42" i="1"/>
  <c r="BK43" i="1"/>
  <c r="BK44" i="1"/>
  <c r="BK45" i="1"/>
  <c r="BK46" i="1"/>
  <c r="BK47" i="1"/>
  <c r="BK48" i="1"/>
  <c r="BK49" i="1"/>
  <c r="BK50" i="1"/>
  <c r="BK51" i="1"/>
  <c r="BK52" i="1"/>
  <c r="BK53" i="1"/>
  <c r="BK54" i="1"/>
  <c r="BK55" i="1"/>
  <c r="BK56" i="1"/>
  <c r="BK57" i="1"/>
  <c r="BK58" i="1"/>
  <c r="BK59" i="1"/>
  <c r="BK60" i="1"/>
  <c r="BK61" i="1"/>
  <c r="BK62" i="1"/>
  <c r="BK63" i="1"/>
  <c r="BK64" i="1"/>
  <c r="BK65" i="1"/>
  <c r="BK66" i="1"/>
  <c r="BK67" i="1"/>
  <c r="BK68" i="1"/>
  <c r="BK69" i="1"/>
  <c r="BK70" i="1"/>
  <c r="BK71" i="1"/>
  <c r="BK72" i="1"/>
  <c r="BK73" i="1"/>
  <c r="BK74" i="1"/>
  <c r="BK75" i="1"/>
  <c r="BK76" i="1"/>
  <c r="BK77" i="1"/>
  <c r="BK78" i="1"/>
  <c r="BK79" i="1"/>
  <c r="BK9" i="1"/>
  <c r="BJ80" i="1"/>
  <c r="BJ81" i="1"/>
  <c r="BJ82" i="1"/>
  <c r="BJ83" i="1"/>
  <c r="BJ84" i="1"/>
  <c r="BJ85" i="1"/>
  <c r="BJ86" i="1"/>
  <c r="BJ87" i="1"/>
  <c r="BJ88" i="1"/>
  <c r="BJ89" i="1"/>
  <c r="BJ41" i="1"/>
  <c r="BJ42" i="1"/>
  <c r="BJ43" i="1"/>
  <c r="BJ44" i="1"/>
  <c r="BJ45" i="1"/>
  <c r="BJ46" i="1"/>
  <c r="BJ47" i="1"/>
  <c r="BJ48" i="1"/>
  <c r="BJ49" i="1"/>
  <c r="BJ50" i="1"/>
  <c r="BJ51" i="1"/>
  <c r="BJ52" i="1"/>
  <c r="BJ53" i="1"/>
  <c r="BJ54" i="1"/>
  <c r="BJ55" i="1"/>
  <c r="BJ56" i="1"/>
  <c r="BJ57" i="1"/>
  <c r="BJ58" i="1"/>
  <c r="BJ59" i="1"/>
  <c r="BJ60" i="1"/>
  <c r="BJ61" i="1"/>
  <c r="BJ62" i="1"/>
  <c r="BJ63" i="1"/>
  <c r="BJ64" i="1"/>
  <c r="BJ65" i="1"/>
  <c r="BJ66" i="1"/>
  <c r="BJ67" i="1"/>
  <c r="BJ68" i="1"/>
  <c r="BJ69" i="1"/>
  <c r="BJ70" i="1"/>
  <c r="BJ71" i="1"/>
  <c r="BJ72" i="1"/>
  <c r="BJ73" i="1"/>
  <c r="BJ74" i="1"/>
  <c r="BJ75" i="1"/>
  <c r="BJ76" i="1"/>
  <c r="BJ77" i="1"/>
  <c r="BJ78" i="1"/>
  <c r="BJ79" i="1"/>
  <c r="BH89" i="1"/>
  <c r="BH88" i="1"/>
  <c r="BH87" i="1"/>
  <c r="BH86" i="1"/>
  <c r="BH85" i="1"/>
  <c r="BH84" i="1"/>
  <c r="BH83" i="1"/>
  <c r="BH82" i="1"/>
  <c r="BH81" i="1"/>
  <c r="BH80" i="1"/>
  <c r="AZ89" i="1"/>
  <c r="BQ89" i="1" s="1"/>
  <c r="AZ85" i="1"/>
  <c r="BQ85" i="1" s="1"/>
  <c r="AZ84" i="1"/>
  <c r="BQ84" i="1" s="1"/>
  <c r="AZ80" i="1"/>
  <c r="BQ80" i="1" s="1"/>
  <c r="AU88" i="1"/>
  <c r="AW88" i="1" s="1"/>
  <c r="AU87" i="1"/>
  <c r="AW87" i="1" s="1"/>
  <c r="AU86" i="1"/>
  <c r="AW86" i="1" s="1"/>
  <c r="AU83" i="1"/>
  <c r="AW83" i="1" s="1"/>
  <c r="AU82" i="1"/>
  <c r="AW82" i="1" s="1"/>
  <c r="AU81" i="1"/>
  <c r="AW81" i="1" s="1"/>
  <c r="AV88" i="1"/>
  <c r="AX88" i="1" s="1"/>
  <c r="AZ88" i="1" s="1"/>
  <c r="BQ88" i="1" s="1"/>
  <c r="AV87" i="1"/>
  <c r="AX87" i="1" s="1"/>
  <c r="AZ87" i="1" s="1"/>
  <c r="BQ87" i="1" s="1"/>
  <c r="AV86" i="1"/>
  <c r="AX86" i="1" s="1"/>
  <c r="AZ86" i="1" s="1"/>
  <c r="BQ86" i="1" s="1"/>
  <c r="AV83" i="1"/>
  <c r="AX83" i="1" s="1"/>
  <c r="AZ83" i="1" s="1"/>
  <c r="BQ83" i="1" s="1"/>
  <c r="AV82" i="1"/>
  <c r="AX82" i="1" s="1"/>
  <c r="AZ82" i="1" s="1"/>
  <c r="BQ82" i="1" s="1"/>
  <c r="AV81" i="1"/>
  <c r="AX81" i="1" s="1"/>
  <c r="AZ81" i="1" s="1"/>
  <c r="BQ81" i="1" s="1"/>
  <c r="AW84" i="1"/>
  <c r="AW85" i="1"/>
  <c r="AW89" i="1"/>
  <c r="AW90" i="1"/>
  <c r="AW91" i="1"/>
  <c r="AW92" i="1"/>
  <c r="AW93" i="1"/>
  <c r="AW94" i="1"/>
  <c r="AW95" i="1"/>
  <c r="AW96" i="1"/>
  <c r="AW97" i="1"/>
  <c r="AW98" i="1"/>
  <c r="AW99" i="1"/>
  <c r="AW100" i="1"/>
  <c r="AW101" i="1"/>
  <c r="AW102" i="1"/>
  <c r="AW103" i="1"/>
  <c r="AW104" i="1"/>
  <c r="AW105" i="1"/>
  <c r="AW80" i="1"/>
  <c r="AS52" i="1"/>
  <c r="AS53" i="1"/>
  <c r="AS54" i="1"/>
  <c r="AS55" i="1"/>
  <c r="AS56" i="1"/>
  <c r="AS57" i="1"/>
  <c r="AS58" i="1"/>
  <c r="AS59" i="1"/>
  <c r="AS60" i="1"/>
  <c r="AS61" i="1"/>
  <c r="AS62" i="1"/>
  <c r="AS63" i="1"/>
  <c r="AS64" i="1"/>
  <c r="AS65" i="1"/>
  <c r="AS66" i="1"/>
  <c r="AS67" i="1"/>
  <c r="AS68" i="1"/>
  <c r="AS69" i="1"/>
  <c r="AS70" i="1"/>
  <c r="AS71" i="1"/>
  <c r="AS72" i="1"/>
  <c r="AS73" i="1"/>
  <c r="AS74" i="1"/>
  <c r="AS75" i="1"/>
  <c r="AS76" i="1"/>
  <c r="AS77" i="1"/>
  <c r="AS78" i="1"/>
  <c r="AS79" i="1"/>
  <c r="AS51" i="1"/>
  <c r="AL89" i="1"/>
  <c r="AM89" i="1" s="1"/>
  <c r="AL88" i="1"/>
  <c r="AM88" i="1" s="1"/>
  <c r="AL87" i="1"/>
  <c r="AM87" i="1" s="1"/>
  <c r="AL86" i="1"/>
  <c r="AM86" i="1" s="1"/>
  <c r="AL85" i="1"/>
  <c r="AM85" i="1" s="1"/>
  <c r="AL84" i="1"/>
  <c r="AM84" i="1" s="1"/>
  <c r="AL83" i="1"/>
  <c r="AM83" i="1" s="1"/>
  <c r="AL82" i="1"/>
  <c r="AM82" i="1" s="1"/>
  <c r="AL81" i="1"/>
  <c r="AM81" i="1" s="1"/>
  <c r="AL80" i="1"/>
  <c r="AM80" i="1" s="1"/>
  <c r="BV141" i="1" l="1"/>
  <c r="M104" i="1"/>
  <c r="T104" i="1"/>
  <c r="M96" i="1"/>
  <c r="T96" i="1"/>
  <c r="BV143" i="1"/>
  <c r="BV142" i="1"/>
  <c r="BM292" i="1"/>
  <c r="M97" i="1"/>
  <c r="T97" i="1"/>
  <c r="J95" i="1"/>
  <c r="T95" i="1"/>
  <c r="BM298" i="1"/>
  <c r="M105" i="1"/>
  <c r="T105" i="1"/>
  <c r="M102" i="1"/>
  <c r="T102" i="1"/>
  <c r="M94" i="1"/>
  <c r="T94" i="1"/>
  <c r="M101" i="1"/>
  <c r="T101" i="1"/>
  <c r="M100" i="1"/>
  <c r="T100" i="1"/>
  <c r="BM297" i="1"/>
  <c r="M99" i="1"/>
  <c r="T99" i="1"/>
  <c r="J91" i="1"/>
  <c r="T91" i="1"/>
  <c r="BV140" i="1"/>
  <c r="BP119" i="1"/>
  <c r="M93" i="1"/>
  <c r="T93" i="1"/>
  <c r="M92" i="1"/>
  <c r="T92" i="1"/>
  <c r="M90" i="1"/>
  <c r="T90" i="1"/>
  <c r="M98" i="1"/>
  <c r="T98" i="1"/>
  <c r="AH118" i="1"/>
  <c r="AG118" i="1"/>
  <c r="M103" i="1"/>
  <c r="R118" i="1"/>
  <c r="BN143" i="1"/>
  <c r="AP118" i="1"/>
  <c r="BR118" i="1" s="1"/>
  <c r="BM213" i="1"/>
  <c r="BM144" i="1"/>
  <c r="BM185" i="1"/>
  <c r="BN170" i="1"/>
  <c r="BN153" i="1"/>
  <c r="BM201" i="1"/>
  <c r="BM235" i="1"/>
  <c r="BM200" i="1"/>
  <c r="BN167" i="1"/>
  <c r="BM237" i="1"/>
  <c r="BM205" i="1"/>
  <c r="BM147" i="1"/>
  <c r="BM225" i="1"/>
  <c r="BM202" i="1"/>
  <c r="BM178" i="1"/>
  <c r="BN141" i="1"/>
  <c r="BM223" i="1"/>
  <c r="BM206" i="1"/>
  <c r="BM183" i="1"/>
  <c r="BM145" i="1"/>
  <c r="BM173" i="1"/>
  <c r="BM294" i="1"/>
  <c r="BM193" i="1"/>
  <c r="BM158" i="1"/>
  <c r="BM299" i="1"/>
  <c r="BM182" i="1"/>
  <c r="BM234" i="1"/>
  <c r="BM190" i="1"/>
  <c r="BM191" i="1"/>
  <c r="BM216" i="1"/>
  <c r="BM295" i="1"/>
  <c r="BM168" i="1"/>
  <c r="BM230" i="1"/>
  <c r="BM198" i="1"/>
  <c r="BM140" i="1"/>
  <c r="BE119" i="1"/>
  <c r="BM217" i="1"/>
  <c r="BM194" i="1"/>
  <c r="BM156" i="1"/>
  <c r="BM221" i="1"/>
  <c r="BM197" i="1"/>
  <c r="BM181" i="1"/>
  <c r="BM123" i="1"/>
  <c r="BM129" i="1"/>
  <c r="BM300" i="1"/>
  <c r="BM146" i="1"/>
  <c r="BM192" i="1"/>
  <c r="BM208" i="1"/>
  <c r="BM171" i="1"/>
  <c r="BM155" i="1"/>
  <c r="BM209" i="1"/>
  <c r="BN150" i="1"/>
  <c r="BM214" i="1"/>
  <c r="BM293" i="1"/>
  <c r="BM184" i="1"/>
  <c r="BM232" i="1"/>
  <c r="BM141" i="1"/>
  <c r="BM169" i="1"/>
  <c r="BM210" i="1"/>
  <c r="BM291" i="1"/>
  <c r="BN151" i="1"/>
  <c r="BM127" i="1"/>
  <c r="BM296" i="1"/>
  <c r="BM138" i="1"/>
  <c r="BM231" i="1"/>
  <c r="BM180" i="1"/>
  <c r="BM212" i="1"/>
  <c r="BM228" i="1"/>
  <c r="BE118" i="1"/>
  <c r="BM233" i="1"/>
  <c r="BM133" i="1"/>
  <c r="BM142" i="1"/>
  <c r="BM130" i="1"/>
  <c r="AP119" i="1"/>
  <c r="BR119" i="1" s="1"/>
  <c r="Q91" i="1"/>
  <c r="R91" i="1" s="1"/>
  <c r="R119" i="1"/>
  <c r="BN140" i="1"/>
  <c r="BL83" i="1"/>
  <c r="BM83" i="1" s="1"/>
  <c r="BL87" i="1"/>
  <c r="BM87" i="1" s="1"/>
  <c r="BL80" i="1"/>
  <c r="BM80" i="1" s="1"/>
  <c r="BL84" i="1"/>
  <c r="BL88" i="1"/>
  <c r="BM88" i="1" s="1"/>
  <c r="BL81" i="1"/>
  <c r="BL85" i="1"/>
  <c r="BL89" i="1"/>
  <c r="L91" i="1"/>
  <c r="AN91" i="1" s="1"/>
  <c r="AP91" i="1" s="1"/>
  <c r="BR91" i="1" s="1"/>
  <c r="BM170" i="1"/>
  <c r="L103" i="1"/>
  <c r="AN103" i="1" s="1"/>
  <c r="AP103" i="1" s="1"/>
  <c r="Q103" i="1"/>
  <c r="R103" i="1" s="1"/>
  <c r="P94" i="1"/>
  <c r="R94" i="1" s="1"/>
  <c r="BM134" i="1"/>
  <c r="BM135" i="1"/>
  <c r="BM122" i="1"/>
  <c r="BN122" i="1"/>
  <c r="BM121" i="1"/>
  <c r="BM125" i="1"/>
  <c r="BM136" i="1"/>
  <c r="J104" i="1"/>
  <c r="J96" i="1"/>
  <c r="L95" i="1"/>
  <c r="AN95" i="1" s="1"/>
  <c r="AP95" i="1" s="1"/>
  <c r="Q95" i="1"/>
  <c r="R95" i="1" s="1"/>
  <c r="P102" i="1"/>
  <c r="R102" i="1" s="1"/>
  <c r="BM124" i="1"/>
  <c r="L99" i="1"/>
  <c r="AN99" i="1" s="1"/>
  <c r="AP99" i="1" s="1"/>
  <c r="Q99" i="1"/>
  <c r="R99" i="1" s="1"/>
  <c r="P98" i="1"/>
  <c r="R98" i="1" s="1"/>
  <c r="BM120" i="1"/>
  <c r="BN168" i="1"/>
  <c r="BM126" i="1"/>
  <c r="BM131" i="1"/>
  <c r="BN171" i="1"/>
  <c r="BM167" i="1"/>
  <c r="BN169" i="1"/>
  <c r="J92" i="1"/>
  <c r="BL82" i="1"/>
  <c r="BL86" i="1"/>
  <c r="J93" i="1"/>
  <c r="J97" i="1"/>
  <c r="J101" i="1"/>
  <c r="J105" i="1"/>
  <c r="L92" i="1"/>
  <c r="AN92" i="1" s="1"/>
  <c r="AP92" i="1" s="1"/>
  <c r="L96" i="1"/>
  <c r="AN96" i="1" s="1"/>
  <c r="AP96" i="1" s="1"/>
  <c r="L100" i="1"/>
  <c r="AN100" i="1" s="1"/>
  <c r="AP100" i="1" s="1"/>
  <c r="L104" i="1"/>
  <c r="AN104" i="1" s="1"/>
  <c r="AP104" i="1" s="1"/>
  <c r="M91" i="1"/>
  <c r="M95" i="1"/>
  <c r="Q92" i="1"/>
  <c r="R92" i="1" s="1"/>
  <c r="Q96" i="1"/>
  <c r="Q100" i="1"/>
  <c r="R100" i="1" s="1"/>
  <c r="Q104" i="1"/>
  <c r="P105" i="1"/>
  <c r="R105" i="1" s="1"/>
  <c r="P101" i="1"/>
  <c r="P97" i="1"/>
  <c r="P93" i="1"/>
  <c r="R93" i="1" s="1"/>
  <c r="J100" i="1"/>
  <c r="BE122" i="1"/>
  <c r="J90" i="1"/>
  <c r="J94" i="1"/>
  <c r="J98" i="1"/>
  <c r="J102" i="1"/>
  <c r="L93" i="1"/>
  <c r="AN93" i="1" s="1"/>
  <c r="AP93" i="1" s="1"/>
  <c r="L97" i="1"/>
  <c r="AN97" i="1" s="1"/>
  <c r="AP97" i="1" s="1"/>
  <c r="L101" i="1"/>
  <c r="AN101" i="1" s="1"/>
  <c r="AP101" i="1" s="1"/>
  <c r="L105" i="1"/>
  <c r="AN105" i="1" s="1"/>
  <c r="AP105" i="1" s="1"/>
  <c r="P104" i="1"/>
  <c r="P96" i="1"/>
  <c r="J99" i="1"/>
  <c r="J103" i="1"/>
  <c r="L90" i="1"/>
  <c r="AN90" i="1" s="1"/>
  <c r="AP90" i="1" s="1"/>
  <c r="L94" i="1"/>
  <c r="AN94" i="1" s="1"/>
  <c r="AP94" i="1" s="1"/>
  <c r="L98" i="1"/>
  <c r="AN98" i="1" s="1"/>
  <c r="AP98" i="1" s="1"/>
  <c r="L102" i="1"/>
  <c r="AN102" i="1" s="1"/>
  <c r="AP102" i="1" s="1"/>
  <c r="Q90" i="1"/>
  <c r="R90" i="1" s="1"/>
  <c r="P89" i="1"/>
  <c r="Q89" i="1"/>
  <c r="BC89" i="1" s="1"/>
  <c r="BD89" i="1" s="1"/>
  <c r="P88" i="1"/>
  <c r="Q88" i="1"/>
  <c r="BC88" i="1" s="1"/>
  <c r="BD88" i="1" s="1"/>
  <c r="J89" i="1"/>
  <c r="L89" i="1"/>
  <c r="M89" i="1"/>
  <c r="J88" i="1"/>
  <c r="L88" i="1"/>
  <c r="M88" i="1"/>
  <c r="Q51" i="1"/>
  <c r="BF51" i="1" s="1"/>
  <c r="BH50" i="1"/>
  <c r="BL50" i="1" s="1"/>
  <c r="BH49" i="1"/>
  <c r="BL49" i="1" s="1"/>
  <c r="BH48" i="1"/>
  <c r="BL48" i="1" s="1"/>
  <c r="AL50" i="1"/>
  <c r="AL49" i="1"/>
  <c r="AD49" i="1"/>
  <c r="AD50" i="1"/>
  <c r="AD48" i="1"/>
  <c r="V47" i="1"/>
  <c r="W47" i="1" s="1"/>
  <c r="V46" i="1"/>
  <c r="W46" i="1" s="1"/>
  <c r="V45" i="1"/>
  <c r="W45" i="1" s="1"/>
  <c r="V44" i="1"/>
  <c r="W44" i="1" s="1"/>
  <c r="U43" i="1"/>
  <c r="U42" i="1"/>
  <c r="V43" i="1"/>
  <c r="W43" i="1" s="1"/>
  <c r="V42" i="1"/>
  <c r="W42" i="1" s="1"/>
  <c r="D39" i="4"/>
  <c r="D38" i="4"/>
  <c r="BJ40" i="1"/>
  <c r="BJ39" i="1"/>
  <c r="BJ38" i="1"/>
  <c r="BJ37" i="1"/>
  <c r="BJ36" i="1"/>
  <c r="BJ35" i="1"/>
  <c r="BJ34" i="1"/>
  <c r="BJ33" i="1"/>
  <c r="BJ32" i="1"/>
  <c r="BJ31" i="1"/>
  <c r="BJ30" i="1"/>
  <c r="BJ29" i="1"/>
  <c r="BJ28" i="1"/>
  <c r="BJ27" i="1"/>
  <c r="BJ26" i="1"/>
  <c r="BJ25" i="1"/>
  <c r="BJ24" i="1"/>
  <c r="BJ23" i="1"/>
  <c r="BJ22" i="1"/>
  <c r="BJ21" i="1"/>
  <c r="BH41" i="1"/>
  <c r="BH40" i="1"/>
  <c r="BH39" i="1"/>
  <c r="BH38" i="1"/>
  <c r="BH37" i="1"/>
  <c r="BH36" i="1"/>
  <c r="BH35" i="1"/>
  <c r="BH34" i="1"/>
  <c r="BH33" i="1"/>
  <c r="BH32" i="1"/>
  <c r="BE41" i="1"/>
  <c r="BE40" i="1"/>
  <c r="BE39" i="1"/>
  <c r="BE38" i="1"/>
  <c r="BE37" i="1"/>
  <c r="BE36" i="1"/>
  <c r="BE35" i="1"/>
  <c r="BE34" i="1"/>
  <c r="BE33" i="1"/>
  <c r="BE32" i="1"/>
  <c r="BE31" i="1"/>
  <c r="BV92" i="1" l="1"/>
  <c r="BV93" i="1"/>
  <c r="BV102" i="1"/>
  <c r="BV118" i="1"/>
  <c r="BS118" i="1"/>
  <c r="BV95" i="1"/>
  <c r="AN89" i="1"/>
  <c r="BV119" i="1"/>
  <c r="CA119" i="1" s="1"/>
  <c r="BS119" i="1"/>
  <c r="AI118" i="1"/>
  <c r="BV105" i="1"/>
  <c r="BV91" i="1"/>
  <c r="AN88" i="1"/>
  <c r="AP88" i="1" s="1"/>
  <c r="BR88" i="1" s="1"/>
  <c r="BV98" i="1"/>
  <c r="BV94" i="1"/>
  <c r="BV90" i="1"/>
  <c r="BV100" i="1"/>
  <c r="BV99" i="1"/>
  <c r="BV103" i="1"/>
  <c r="BT89" i="1"/>
  <c r="BT88" i="1"/>
  <c r="BZ88" i="1"/>
  <c r="BM89" i="1"/>
  <c r="BM85" i="1"/>
  <c r="BN89" i="1"/>
  <c r="BM81" i="1"/>
  <c r="BM84" i="1"/>
  <c r="BN88" i="1"/>
  <c r="BY119" i="1"/>
  <c r="CB119" i="1" s="1"/>
  <c r="CC119" i="1" s="1"/>
  <c r="BR104" i="1"/>
  <c r="R104" i="1"/>
  <c r="BR92" i="1"/>
  <c r="BR90" i="1"/>
  <c r="BR101" i="1"/>
  <c r="BM50" i="1"/>
  <c r="BN50" i="1"/>
  <c r="BG51" i="1"/>
  <c r="BH51" i="1" s="1"/>
  <c r="BR102" i="1"/>
  <c r="BR97" i="1"/>
  <c r="BM48" i="1"/>
  <c r="BN48" i="1"/>
  <c r="AP89" i="1"/>
  <c r="BR89" i="1" s="1"/>
  <c r="R96" i="1"/>
  <c r="BM86" i="1"/>
  <c r="BR100" i="1"/>
  <c r="BR103" i="1"/>
  <c r="BR98" i="1"/>
  <c r="BR93" i="1"/>
  <c r="BR95" i="1"/>
  <c r="BN49" i="1"/>
  <c r="BM49" i="1"/>
  <c r="BM82" i="1"/>
  <c r="BR96" i="1"/>
  <c r="BR99" i="1"/>
  <c r="BR94" i="1"/>
  <c r="BR105" i="1"/>
  <c r="R97" i="1"/>
  <c r="R101" i="1"/>
  <c r="R89" i="1"/>
  <c r="BE89" i="1"/>
  <c r="BE88" i="1"/>
  <c r="R88" i="1"/>
  <c r="BL35" i="1"/>
  <c r="BL39" i="1"/>
  <c r="BL33" i="1"/>
  <c r="BL37" i="1"/>
  <c r="BL41" i="1"/>
  <c r="BL34" i="1"/>
  <c r="BL38" i="1"/>
  <c r="BL32" i="1"/>
  <c r="BL36" i="1"/>
  <c r="BL40" i="1"/>
  <c r="BH31" i="1"/>
  <c r="BL31" i="1" s="1"/>
  <c r="AM32" i="1"/>
  <c r="AM41" i="1"/>
  <c r="AM40" i="1"/>
  <c r="AM39" i="1"/>
  <c r="AM38" i="1"/>
  <c r="AM37" i="1"/>
  <c r="AM36" i="1"/>
  <c r="AM35" i="1"/>
  <c r="AM34" i="1"/>
  <c r="AM33" i="1"/>
  <c r="AM31" i="1"/>
  <c r="AW41" i="1"/>
  <c r="AW40" i="1"/>
  <c r="AW39" i="1"/>
  <c r="AW38" i="1"/>
  <c r="AW37" i="1"/>
  <c r="AW36" i="1"/>
  <c r="AW35" i="1"/>
  <c r="AW34" i="1"/>
  <c r="AW33" i="1"/>
  <c r="AW32" i="1"/>
  <c r="AW31" i="1"/>
  <c r="AD41" i="1"/>
  <c r="AD40" i="1"/>
  <c r="AD39" i="1"/>
  <c r="AD38" i="1"/>
  <c r="AD37" i="1"/>
  <c r="AD36" i="1"/>
  <c r="AD35" i="1"/>
  <c r="AD34" i="1"/>
  <c r="AD33" i="1"/>
  <c r="AD32" i="1"/>
  <c r="AD31" i="1"/>
  <c r="X41" i="1"/>
  <c r="Y41" i="1" s="1"/>
  <c r="X40" i="1"/>
  <c r="Y40" i="1" s="1"/>
  <c r="X39" i="1"/>
  <c r="Y39" i="1" s="1"/>
  <c r="X38" i="1"/>
  <c r="Y38" i="1" s="1"/>
  <c r="X37" i="1"/>
  <c r="Y37" i="1" s="1"/>
  <c r="X36" i="1"/>
  <c r="Y36" i="1" s="1"/>
  <c r="X35" i="1"/>
  <c r="Y35" i="1" s="1"/>
  <c r="X34" i="1"/>
  <c r="Y34" i="1" s="1"/>
  <c r="X33" i="1"/>
  <c r="Y33" i="1" s="1"/>
  <c r="X32" i="1"/>
  <c r="Y32" i="1" s="1"/>
  <c r="X31" i="1"/>
  <c r="Y31" i="1" s="1"/>
  <c r="V41" i="1"/>
  <c r="W41" i="1" s="1"/>
  <c r="V40" i="1"/>
  <c r="W40" i="1" s="1"/>
  <c r="V39" i="1"/>
  <c r="W39" i="1" s="1"/>
  <c r="V38" i="1"/>
  <c r="W38" i="1" s="1"/>
  <c r="V37" i="1"/>
  <c r="W37" i="1" s="1"/>
  <c r="V36" i="1"/>
  <c r="W36" i="1" s="1"/>
  <c r="V35" i="1"/>
  <c r="W35" i="1" s="1"/>
  <c r="V34" i="1"/>
  <c r="W34" i="1" s="1"/>
  <c r="V33" i="1"/>
  <c r="W33" i="1" s="1"/>
  <c r="V32" i="1"/>
  <c r="W32" i="1" s="1"/>
  <c r="V31" i="1"/>
  <c r="W31" i="1" s="1"/>
  <c r="Q41" i="1"/>
  <c r="BC41" i="1" s="1"/>
  <c r="BD41" i="1" s="1"/>
  <c r="Q40" i="1"/>
  <c r="BC40" i="1" s="1"/>
  <c r="BD40" i="1" s="1"/>
  <c r="Q39" i="1"/>
  <c r="BC39" i="1" s="1"/>
  <c r="BD39" i="1" s="1"/>
  <c r="Q38" i="1"/>
  <c r="BC38" i="1" s="1"/>
  <c r="BD38" i="1" s="1"/>
  <c r="Q37" i="1"/>
  <c r="BC37" i="1" s="1"/>
  <c r="BD37" i="1" s="1"/>
  <c r="Q36" i="1"/>
  <c r="BC36" i="1" s="1"/>
  <c r="BD36" i="1" s="1"/>
  <c r="Q35" i="1"/>
  <c r="BC35" i="1" s="1"/>
  <c r="BD35" i="1" s="1"/>
  <c r="Q34" i="1"/>
  <c r="BC34" i="1" s="1"/>
  <c r="BD34" i="1" s="1"/>
  <c r="Q33" i="1"/>
  <c r="BC33" i="1" s="1"/>
  <c r="BD33" i="1" s="1"/>
  <c r="Q32" i="1"/>
  <c r="BC32" i="1" s="1"/>
  <c r="BD32" i="1" s="1"/>
  <c r="Q31" i="1"/>
  <c r="BC31" i="1" s="1"/>
  <c r="BD31" i="1" s="1"/>
  <c r="J32" i="1"/>
  <c r="L32" i="1"/>
  <c r="M32" i="1"/>
  <c r="J33" i="1"/>
  <c r="L33" i="1"/>
  <c r="M33" i="1"/>
  <c r="J34" i="1"/>
  <c r="L34" i="1"/>
  <c r="M34" i="1"/>
  <c r="J35" i="1"/>
  <c r="L35" i="1"/>
  <c r="M35" i="1"/>
  <c r="J36" i="1"/>
  <c r="L36" i="1"/>
  <c r="M36" i="1"/>
  <c r="J37" i="1"/>
  <c r="L37" i="1"/>
  <c r="M37" i="1"/>
  <c r="J38" i="1"/>
  <c r="L38" i="1"/>
  <c r="M38" i="1"/>
  <c r="J39" i="1"/>
  <c r="L39" i="1"/>
  <c r="M39" i="1"/>
  <c r="J40" i="1"/>
  <c r="L40" i="1"/>
  <c r="M40" i="1"/>
  <c r="J41" i="1"/>
  <c r="L41" i="1"/>
  <c r="M41" i="1"/>
  <c r="J31" i="1"/>
  <c r="L31" i="1"/>
  <c r="M31" i="1"/>
  <c r="BJ10" i="1"/>
  <c r="BJ11" i="1"/>
  <c r="BJ12" i="1"/>
  <c r="BJ13" i="1"/>
  <c r="BJ14" i="1"/>
  <c r="BJ15" i="1"/>
  <c r="BJ16" i="1"/>
  <c r="BJ17" i="1"/>
  <c r="BJ18" i="1"/>
  <c r="BJ19" i="1"/>
  <c r="BJ20" i="1"/>
  <c r="BJ9" i="1"/>
  <c r="BG30" i="1"/>
  <c r="BG29" i="1"/>
  <c r="BG28" i="1"/>
  <c r="BH28" i="1" s="1"/>
  <c r="BL28" i="1" s="1"/>
  <c r="BG27" i="1"/>
  <c r="BH27" i="1" s="1"/>
  <c r="BL27" i="1" s="1"/>
  <c r="BG26" i="1"/>
  <c r="BH26" i="1" s="1"/>
  <c r="BL26" i="1" s="1"/>
  <c r="BG25" i="1"/>
  <c r="BG24" i="1"/>
  <c r="BH24" i="1" s="1"/>
  <c r="BL24" i="1" s="1"/>
  <c r="BG23" i="1"/>
  <c r="BH23" i="1" s="1"/>
  <c r="BL23" i="1" s="1"/>
  <c r="BG22" i="1"/>
  <c r="BG21" i="1"/>
  <c r="AU22" i="1"/>
  <c r="AV22" i="1" s="1"/>
  <c r="AX22" i="1" s="1"/>
  <c r="AU23" i="1"/>
  <c r="AW23" i="1" s="1"/>
  <c r="AU24" i="1"/>
  <c r="AW24" i="1" s="1"/>
  <c r="AU25" i="1"/>
  <c r="AW25" i="1" s="1"/>
  <c r="AV26" i="1"/>
  <c r="AW27" i="1"/>
  <c r="AU28" i="1"/>
  <c r="AV28" i="1" s="1"/>
  <c r="AX28" i="1" s="1"/>
  <c r="AU29" i="1"/>
  <c r="AV29" i="1" s="1"/>
  <c r="AX29" i="1" s="1"/>
  <c r="AU30" i="1"/>
  <c r="AV30" i="1" s="1"/>
  <c r="AX30" i="1" s="1"/>
  <c r="AU21" i="1"/>
  <c r="AW21" i="1" s="1"/>
  <c r="AY30" i="1"/>
  <c r="AY29" i="1"/>
  <c r="AY28" i="1"/>
  <c r="AY27" i="1"/>
  <c r="AY26" i="1"/>
  <c r="AZ26" i="1" s="1"/>
  <c r="BQ26" i="1" s="1"/>
  <c r="AY25" i="1"/>
  <c r="AY24" i="1"/>
  <c r="AY23" i="1"/>
  <c r="AY22" i="1"/>
  <c r="AY21" i="1"/>
  <c r="AW26" i="1"/>
  <c r="AO30" i="1"/>
  <c r="AO29" i="1"/>
  <c r="AO28" i="1"/>
  <c r="AO27" i="1"/>
  <c r="AO26" i="1"/>
  <c r="AO25" i="1"/>
  <c r="AO24" i="1"/>
  <c r="AO23" i="1"/>
  <c r="AO22" i="1"/>
  <c r="AO21" i="1"/>
  <c r="AM30" i="1"/>
  <c r="AM29" i="1"/>
  <c r="AM28" i="1"/>
  <c r="AM26" i="1"/>
  <c r="AM27" i="1"/>
  <c r="AM25" i="1"/>
  <c r="AM24" i="1"/>
  <c r="AM23" i="1"/>
  <c r="AM22" i="1"/>
  <c r="AM21" i="1"/>
  <c r="AD30" i="1"/>
  <c r="AD29" i="1"/>
  <c r="AD28" i="1"/>
  <c r="AD27" i="1"/>
  <c r="AD26" i="1"/>
  <c r="AD25" i="1"/>
  <c r="AD24" i="1"/>
  <c r="AD23" i="1"/>
  <c r="AD22" i="1"/>
  <c r="AD21" i="1"/>
  <c r="V30" i="1"/>
  <c r="W30" i="1" s="1"/>
  <c r="V29" i="1"/>
  <c r="W29" i="1" s="1"/>
  <c r="V28" i="1"/>
  <c r="W28" i="1" s="1"/>
  <c r="V27" i="1"/>
  <c r="W27" i="1" s="1"/>
  <c r="V26" i="1"/>
  <c r="W26" i="1" s="1"/>
  <c r="V25" i="1"/>
  <c r="W25" i="1" s="1"/>
  <c r="V24" i="1"/>
  <c r="W24" i="1" s="1"/>
  <c r="V23" i="1"/>
  <c r="W23" i="1" s="1"/>
  <c r="V22" i="1"/>
  <c r="W22" i="1" s="1"/>
  <c r="V21" i="1"/>
  <c r="W21" i="1" s="1"/>
  <c r="BD118" i="1" l="1"/>
  <c r="CA118" i="1"/>
  <c r="BP118" i="1"/>
  <c r="BX118" i="1"/>
  <c r="BY118" i="1" s="1"/>
  <c r="CB118" i="1" s="1"/>
  <c r="CC118" i="1" s="1"/>
  <c r="BV88" i="1"/>
  <c r="CA88" i="1" s="1"/>
  <c r="BS88" i="1"/>
  <c r="BV104" i="1"/>
  <c r="BV89" i="1"/>
  <c r="CA89" i="1" s="1"/>
  <c r="BS89" i="1"/>
  <c r="BV101" i="1"/>
  <c r="BV96" i="1"/>
  <c r="BV97" i="1"/>
  <c r="AW28" i="1"/>
  <c r="AW29" i="1"/>
  <c r="AV25" i="1"/>
  <c r="AX25" i="1" s="1"/>
  <c r="AZ25" i="1" s="1"/>
  <c r="BQ25" i="1" s="1"/>
  <c r="AV24" i="1"/>
  <c r="AX24" i="1" s="1"/>
  <c r="BT33" i="1"/>
  <c r="BT41" i="1"/>
  <c r="BT38" i="1"/>
  <c r="BT31" i="1"/>
  <c r="BT35" i="1"/>
  <c r="BT39" i="1"/>
  <c r="BT37" i="1"/>
  <c r="BT34" i="1"/>
  <c r="BT32" i="1"/>
  <c r="BT36" i="1"/>
  <c r="BT40" i="1"/>
  <c r="BM36" i="1"/>
  <c r="BN36" i="1"/>
  <c r="BN39" i="1"/>
  <c r="BM39" i="1"/>
  <c r="BM23" i="1"/>
  <c r="BM24" i="1"/>
  <c r="BM28" i="1"/>
  <c r="BM32" i="1"/>
  <c r="BN32" i="1"/>
  <c r="BN41" i="1"/>
  <c r="BM41" i="1"/>
  <c r="BN35" i="1"/>
  <c r="BM35" i="1"/>
  <c r="BN31" i="1"/>
  <c r="BM31" i="1"/>
  <c r="BM38" i="1"/>
  <c r="BN38" i="1"/>
  <c r="BN37" i="1"/>
  <c r="BM37" i="1"/>
  <c r="BM27" i="1"/>
  <c r="BM26" i="1"/>
  <c r="BM40" i="1"/>
  <c r="BN40" i="1"/>
  <c r="BM34" i="1"/>
  <c r="BN34" i="1"/>
  <c r="BN33" i="1"/>
  <c r="BM33" i="1"/>
  <c r="BL51" i="1"/>
  <c r="R51" i="1"/>
  <c r="AN41" i="1"/>
  <c r="AP41" i="1" s="1"/>
  <c r="AN37" i="1"/>
  <c r="AP37" i="1" s="1"/>
  <c r="AN33" i="1"/>
  <c r="AP33" i="1" s="1"/>
  <c r="R37" i="1"/>
  <c r="AN36" i="1"/>
  <c r="AP36" i="1" s="1"/>
  <c r="AN40" i="1"/>
  <c r="AP40" i="1" s="1"/>
  <c r="R33" i="1"/>
  <c r="BH25" i="1"/>
  <c r="BL25" i="1" s="1"/>
  <c r="AN38" i="1"/>
  <c r="AP38" i="1" s="1"/>
  <c r="AN34" i="1"/>
  <c r="AP34" i="1" s="1"/>
  <c r="AN39" i="1"/>
  <c r="AP39" i="1" s="1"/>
  <c r="AN35" i="1"/>
  <c r="AP35" i="1" s="1"/>
  <c r="R41" i="1"/>
  <c r="AN31" i="1"/>
  <c r="AP31" i="1" s="1"/>
  <c r="AN32" i="1"/>
  <c r="AP32" i="1" s="1"/>
  <c r="AZ28" i="1"/>
  <c r="BQ28" i="1" s="1"/>
  <c r="BH21" i="1"/>
  <c r="BL21" i="1" s="1"/>
  <c r="BH22" i="1"/>
  <c r="BL22" i="1" s="1"/>
  <c r="R34" i="1"/>
  <c r="R38" i="1"/>
  <c r="AZ30" i="1"/>
  <c r="BQ30" i="1" s="1"/>
  <c r="AZ22" i="1"/>
  <c r="BQ22" i="1" s="1"/>
  <c r="BH29" i="1"/>
  <c r="BL29" i="1" s="1"/>
  <c r="BH30" i="1"/>
  <c r="BL30" i="1" s="1"/>
  <c r="R31" i="1"/>
  <c r="R35" i="1"/>
  <c r="R39" i="1"/>
  <c r="R32" i="1"/>
  <c r="R36" i="1"/>
  <c r="R40" i="1"/>
  <c r="AW22" i="1"/>
  <c r="AZ24" i="1"/>
  <c r="BQ24" i="1" s="1"/>
  <c r="AV21" i="1"/>
  <c r="AX21" i="1" s="1"/>
  <c r="AZ21" i="1" s="1"/>
  <c r="BQ21" i="1" s="1"/>
  <c r="AZ29" i="1"/>
  <c r="BQ29" i="1" s="1"/>
  <c r="AW30" i="1"/>
  <c r="AV27" i="1"/>
  <c r="AZ27" i="1" s="1"/>
  <c r="BQ27" i="1" s="1"/>
  <c r="AV23" i="1"/>
  <c r="AX23" i="1" s="1"/>
  <c r="AZ23" i="1" s="1"/>
  <c r="BQ23" i="1" s="1"/>
  <c r="P29" i="1"/>
  <c r="BE29" i="1" s="1"/>
  <c r="P27" i="1"/>
  <c r="BE27" i="1" s="1"/>
  <c r="P25" i="1"/>
  <c r="BE25" i="1" s="1"/>
  <c r="P24" i="1"/>
  <c r="BE24" i="1" s="1"/>
  <c r="P30" i="1"/>
  <c r="BE30" i="1" s="1"/>
  <c r="P28" i="1"/>
  <c r="BE28" i="1" s="1"/>
  <c r="P26" i="1"/>
  <c r="BE26" i="1" s="1"/>
  <c r="P23" i="1"/>
  <c r="BE23" i="1" s="1"/>
  <c r="P21" i="1"/>
  <c r="BE21" i="1" s="1"/>
  <c r="P22" i="1"/>
  <c r="BE22" i="1" s="1"/>
  <c r="Q30" i="1"/>
  <c r="BC30" i="1" s="1"/>
  <c r="BD30" i="1" s="1"/>
  <c r="Q29" i="1"/>
  <c r="BC29" i="1" s="1"/>
  <c r="BD29" i="1" s="1"/>
  <c r="Q28" i="1"/>
  <c r="BC28" i="1" s="1"/>
  <c r="BD28" i="1" s="1"/>
  <c r="Q27" i="1"/>
  <c r="Q26" i="1"/>
  <c r="BC26" i="1" s="1"/>
  <c r="BD26" i="1" s="1"/>
  <c r="Q25" i="1"/>
  <c r="BC25" i="1" s="1"/>
  <c r="BD25" i="1" s="1"/>
  <c r="Q24" i="1"/>
  <c r="BC24" i="1" s="1"/>
  <c r="BD24" i="1" s="1"/>
  <c r="Q23" i="1"/>
  <c r="BC23" i="1" s="1"/>
  <c r="BD23" i="1" s="1"/>
  <c r="Q22" i="1"/>
  <c r="BC22" i="1" s="1"/>
  <c r="BD22" i="1" s="1"/>
  <c r="Q21" i="1"/>
  <c r="BC21" i="1" s="1"/>
  <c r="BD21" i="1" s="1"/>
  <c r="M30" i="1"/>
  <c r="M29" i="1"/>
  <c r="M28" i="1"/>
  <c r="M27" i="1"/>
  <c r="M26" i="1"/>
  <c r="M25" i="1"/>
  <c r="M24" i="1"/>
  <c r="M23" i="1"/>
  <c r="M22" i="1"/>
  <c r="M21" i="1"/>
  <c r="L30" i="1"/>
  <c r="L29" i="1"/>
  <c r="L28" i="1"/>
  <c r="L27" i="1"/>
  <c r="L26" i="1"/>
  <c r="L25" i="1"/>
  <c r="L24" i="1"/>
  <c r="L23" i="1"/>
  <c r="L22" i="1"/>
  <c r="L21" i="1"/>
  <c r="J30" i="1"/>
  <c r="J29" i="1"/>
  <c r="J28" i="1"/>
  <c r="J27" i="1"/>
  <c r="J26" i="1"/>
  <c r="J25" i="1"/>
  <c r="J24" i="1"/>
  <c r="J23" i="1"/>
  <c r="J22" i="1"/>
  <c r="J21" i="1"/>
  <c r="P121" i="1"/>
  <c r="BN121" i="1" s="1"/>
  <c r="P123" i="1"/>
  <c r="BN123" i="1" s="1"/>
  <c r="P124" i="1"/>
  <c r="BN124" i="1" s="1"/>
  <c r="P125" i="1"/>
  <c r="BN125" i="1" s="1"/>
  <c r="P120" i="1"/>
  <c r="BN120" i="1" s="1"/>
  <c r="Q125" i="1"/>
  <c r="BC125" i="1" s="1"/>
  <c r="BD125" i="1" s="1"/>
  <c r="Q124" i="1"/>
  <c r="BC124" i="1" s="1"/>
  <c r="BD124" i="1" s="1"/>
  <c r="Q123" i="1"/>
  <c r="BC123" i="1" s="1"/>
  <c r="BD123" i="1" s="1"/>
  <c r="Q122" i="1"/>
  <c r="BC122" i="1" s="1"/>
  <c r="BD122" i="1" s="1"/>
  <c r="Q121" i="1"/>
  <c r="BC121" i="1" s="1"/>
  <c r="BD121" i="1" s="1"/>
  <c r="Q120" i="1"/>
  <c r="BC120" i="1" s="1"/>
  <c r="BD120" i="1" s="1"/>
  <c r="J125" i="1"/>
  <c r="L125" i="1"/>
  <c r="M125" i="1"/>
  <c r="AQ125" i="1"/>
  <c r="J124" i="1"/>
  <c r="L124" i="1"/>
  <c r="M124" i="1"/>
  <c r="AQ124" i="1"/>
  <c r="J123" i="1"/>
  <c r="L123" i="1"/>
  <c r="M123" i="1"/>
  <c r="AQ123" i="1"/>
  <c r="J122" i="1"/>
  <c r="L122" i="1"/>
  <c r="M122" i="1"/>
  <c r="AQ122" i="1"/>
  <c r="J121" i="1"/>
  <c r="L121" i="1"/>
  <c r="M121" i="1"/>
  <c r="AQ121" i="1"/>
  <c r="J120" i="1"/>
  <c r="L120" i="1"/>
  <c r="M120" i="1"/>
  <c r="AQ120" i="1"/>
  <c r="V20" i="1"/>
  <c r="W20" i="1" s="1"/>
  <c r="V18" i="1"/>
  <c r="W18" i="1" s="1"/>
  <c r="V16" i="1"/>
  <c r="W16" i="1" s="1"/>
  <c r="V14" i="1"/>
  <c r="W14" i="1" s="1"/>
  <c r="V12" i="1"/>
  <c r="W12" i="1" s="1"/>
  <c r="V10" i="1"/>
  <c r="W10" i="1" s="1"/>
  <c r="V19" i="1"/>
  <c r="W19" i="1" s="1"/>
  <c r="V17" i="1"/>
  <c r="W17" i="1" s="1"/>
  <c r="V15" i="1"/>
  <c r="W15" i="1" s="1"/>
  <c r="V13" i="1"/>
  <c r="W13" i="1" s="1"/>
  <c r="V11" i="1"/>
  <c r="W11" i="1" s="1"/>
  <c r="V9" i="1"/>
  <c r="W9" i="1" s="1"/>
  <c r="U20" i="1"/>
  <c r="U18" i="1"/>
  <c r="U16" i="1"/>
  <c r="U14" i="1"/>
  <c r="U12" i="1"/>
  <c r="U10" i="1"/>
  <c r="U11" i="1"/>
  <c r="U13" i="1"/>
  <c r="U15" i="1"/>
  <c r="U17" i="1"/>
  <c r="U19" i="1"/>
  <c r="U9" i="1"/>
  <c r="AF22" i="1"/>
  <c r="AH22" i="1" s="1"/>
  <c r="AF23" i="1"/>
  <c r="AH23" i="1" s="1"/>
  <c r="AF24" i="1"/>
  <c r="AH24" i="1" s="1"/>
  <c r="AF25" i="1"/>
  <c r="AH25" i="1" s="1"/>
  <c r="AF26" i="1"/>
  <c r="AH26" i="1" s="1"/>
  <c r="AF27" i="1"/>
  <c r="AH27" i="1" s="1"/>
  <c r="AF28" i="1"/>
  <c r="AH28" i="1" s="1"/>
  <c r="AF29" i="1"/>
  <c r="AH29" i="1" s="1"/>
  <c r="AF30" i="1"/>
  <c r="AH30" i="1" s="1"/>
  <c r="AF31" i="1"/>
  <c r="AH31" i="1" s="1"/>
  <c r="AF32" i="1"/>
  <c r="AH32" i="1" s="1"/>
  <c r="AF33" i="1"/>
  <c r="AH33" i="1" s="1"/>
  <c r="AF34" i="1"/>
  <c r="AH34" i="1" s="1"/>
  <c r="AF35" i="1"/>
  <c r="AH35" i="1" s="1"/>
  <c r="AF36" i="1"/>
  <c r="AH36" i="1" s="1"/>
  <c r="AF37" i="1"/>
  <c r="AH37" i="1" s="1"/>
  <c r="AF38" i="1"/>
  <c r="AH38" i="1" s="1"/>
  <c r="AF39" i="1"/>
  <c r="AH39" i="1" s="1"/>
  <c r="AF40" i="1"/>
  <c r="AH40" i="1" s="1"/>
  <c r="AF41" i="1"/>
  <c r="AH41" i="1" s="1"/>
  <c r="AF48" i="1"/>
  <c r="AF49" i="1"/>
  <c r="AF50" i="1"/>
  <c r="AF44" i="1"/>
  <c r="AF45" i="1"/>
  <c r="AF46" i="1"/>
  <c r="AF47" i="1"/>
  <c r="AF90" i="1"/>
  <c r="AF91" i="1"/>
  <c r="AF92" i="1"/>
  <c r="AF93" i="1"/>
  <c r="AF94" i="1"/>
  <c r="AF95" i="1"/>
  <c r="AF96" i="1"/>
  <c r="AF97" i="1"/>
  <c r="AF98" i="1"/>
  <c r="AF99" i="1"/>
  <c r="AF100" i="1"/>
  <c r="AF101" i="1"/>
  <c r="AF102" i="1"/>
  <c r="AF103" i="1"/>
  <c r="AF104" i="1"/>
  <c r="AF105" i="1"/>
  <c r="AF106" i="1"/>
  <c r="AF107" i="1"/>
  <c r="AF108" i="1"/>
  <c r="AF109" i="1"/>
  <c r="AF110" i="1"/>
  <c r="AF111" i="1"/>
  <c r="AF112" i="1"/>
  <c r="AF113" i="1"/>
  <c r="AF114" i="1"/>
  <c r="AF115" i="1"/>
  <c r="AF126" i="1"/>
  <c r="AF127" i="1"/>
  <c r="AF128" i="1"/>
  <c r="AF129" i="1"/>
  <c r="AF130" i="1"/>
  <c r="AF131" i="1"/>
  <c r="AF132" i="1"/>
  <c r="AF133" i="1"/>
  <c r="AF134" i="1"/>
  <c r="AF135" i="1"/>
  <c r="AF136" i="1"/>
  <c r="AF137" i="1"/>
  <c r="AF138" i="1"/>
  <c r="AF139" i="1"/>
  <c r="AF140" i="1"/>
  <c r="AH140" i="1" s="1"/>
  <c r="AI140" i="1" s="1"/>
  <c r="AF141" i="1"/>
  <c r="AH141" i="1" s="1"/>
  <c r="AI141" i="1" s="1"/>
  <c r="AF142" i="1"/>
  <c r="AH142" i="1" s="1"/>
  <c r="AI142" i="1" s="1"/>
  <c r="AF143" i="1"/>
  <c r="AH143" i="1" s="1"/>
  <c r="AI143" i="1" s="1"/>
  <c r="AF144" i="1"/>
  <c r="AF145" i="1"/>
  <c r="AF146" i="1"/>
  <c r="AF147" i="1"/>
  <c r="AF148" i="1"/>
  <c r="AF155" i="1"/>
  <c r="AF156" i="1"/>
  <c r="AF157" i="1"/>
  <c r="AF158" i="1"/>
  <c r="AF159" i="1"/>
  <c r="AF160" i="1"/>
  <c r="AF161" i="1"/>
  <c r="AF162" i="1"/>
  <c r="AF163" i="1"/>
  <c r="AF164" i="1"/>
  <c r="AF165" i="1"/>
  <c r="AF166" i="1"/>
  <c r="AF172" i="1"/>
  <c r="AF173" i="1"/>
  <c r="AF174" i="1"/>
  <c r="AF175" i="1"/>
  <c r="AF176" i="1"/>
  <c r="AF177" i="1"/>
  <c r="AF178" i="1"/>
  <c r="AF179" i="1"/>
  <c r="AF180" i="1"/>
  <c r="AF181" i="1"/>
  <c r="AF182" i="1"/>
  <c r="AF183" i="1"/>
  <c r="AF184" i="1"/>
  <c r="AF185" i="1"/>
  <c r="AF186" i="1"/>
  <c r="AF187" i="1"/>
  <c r="AF188" i="1"/>
  <c r="AF189" i="1"/>
  <c r="AF190" i="1"/>
  <c r="AF191" i="1"/>
  <c r="AF192" i="1"/>
  <c r="AF193" i="1"/>
  <c r="AF194" i="1"/>
  <c r="AF195" i="1"/>
  <c r="AF196" i="1"/>
  <c r="AF197" i="1"/>
  <c r="AF198" i="1"/>
  <c r="AF199" i="1"/>
  <c r="AF200" i="1"/>
  <c r="AF201" i="1"/>
  <c r="AF202" i="1"/>
  <c r="AF203" i="1"/>
  <c r="AF204" i="1"/>
  <c r="AF205" i="1"/>
  <c r="AF206" i="1"/>
  <c r="AF207" i="1"/>
  <c r="AF208" i="1"/>
  <c r="AF209" i="1"/>
  <c r="AF210" i="1"/>
  <c r="AF211" i="1"/>
  <c r="AF212" i="1"/>
  <c r="AF213" i="1"/>
  <c r="AF214" i="1"/>
  <c r="AF215" i="1"/>
  <c r="AF216" i="1"/>
  <c r="AF217" i="1"/>
  <c r="AF218" i="1"/>
  <c r="AF219" i="1"/>
  <c r="AF220" i="1"/>
  <c r="AF221" i="1"/>
  <c r="AF222" i="1"/>
  <c r="AF223" i="1"/>
  <c r="AF224" i="1"/>
  <c r="AF225" i="1"/>
  <c r="AF226" i="1"/>
  <c r="AF227" i="1"/>
  <c r="AF228" i="1"/>
  <c r="AF229" i="1"/>
  <c r="AF230" i="1"/>
  <c r="AF231" i="1"/>
  <c r="AF232" i="1"/>
  <c r="AF233" i="1"/>
  <c r="AF234" i="1"/>
  <c r="AF235" i="1"/>
  <c r="AF236" i="1"/>
  <c r="AF237" i="1"/>
  <c r="AF291" i="1"/>
  <c r="AF292" i="1"/>
  <c r="AF293" i="1"/>
  <c r="AF294" i="1"/>
  <c r="AF295" i="1"/>
  <c r="AF296" i="1"/>
  <c r="AF297" i="1"/>
  <c r="AF298" i="1"/>
  <c r="AF299" i="1"/>
  <c r="AF300" i="1"/>
  <c r="H88" i="1"/>
  <c r="O88" i="1" s="1"/>
  <c r="N88" i="1" s="1"/>
  <c r="H89" i="1"/>
  <c r="O89" i="1" s="1"/>
  <c r="N89" i="1" s="1"/>
  <c r="BP89" i="1" s="1"/>
  <c r="H90" i="1"/>
  <c r="O90" i="1" s="1"/>
  <c r="N90" i="1" s="1"/>
  <c r="H91" i="1"/>
  <c r="O91" i="1" s="1"/>
  <c r="N91" i="1" s="1"/>
  <c r="H92" i="1"/>
  <c r="O92" i="1" s="1"/>
  <c r="N92" i="1" s="1"/>
  <c r="BW92" i="1" s="1"/>
  <c r="H93" i="1"/>
  <c r="O93" i="1" s="1"/>
  <c r="N93" i="1" s="1"/>
  <c r="H94" i="1"/>
  <c r="O94" i="1" s="1"/>
  <c r="N94" i="1" s="1"/>
  <c r="H95" i="1"/>
  <c r="O95" i="1" s="1"/>
  <c r="N95" i="1" s="1"/>
  <c r="H96" i="1"/>
  <c r="O96" i="1" s="1"/>
  <c r="N96" i="1" s="1"/>
  <c r="BW96" i="1" s="1"/>
  <c r="H97" i="1"/>
  <c r="O97" i="1" s="1"/>
  <c r="N97" i="1" s="1"/>
  <c r="H98" i="1"/>
  <c r="O98" i="1" s="1"/>
  <c r="N98" i="1" s="1"/>
  <c r="H99" i="1"/>
  <c r="O99" i="1" s="1"/>
  <c r="N99" i="1" s="1"/>
  <c r="H100" i="1"/>
  <c r="O100" i="1" s="1"/>
  <c r="N100" i="1" s="1"/>
  <c r="BW100" i="1" s="1"/>
  <c r="H101" i="1"/>
  <c r="O101" i="1" s="1"/>
  <c r="N101" i="1" s="1"/>
  <c r="H102" i="1"/>
  <c r="O102" i="1" s="1"/>
  <c r="N102" i="1" s="1"/>
  <c r="H103" i="1"/>
  <c r="O103" i="1" s="1"/>
  <c r="N103" i="1" s="1"/>
  <c r="H104" i="1"/>
  <c r="O104" i="1" s="1"/>
  <c r="N104" i="1" s="1"/>
  <c r="BW104" i="1" s="1"/>
  <c r="H105" i="1"/>
  <c r="O105" i="1" s="1"/>
  <c r="N105" i="1" s="1"/>
  <c r="H120" i="1"/>
  <c r="O120" i="1" s="1"/>
  <c r="H121" i="1"/>
  <c r="O121" i="1" s="1"/>
  <c r="H122" i="1"/>
  <c r="O122" i="1" s="1"/>
  <c r="H123" i="1"/>
  <c r="O123" i="1" s="1"/>
  <c r="H124" i="1"/>
  <c r="O124" i="1" s="1"/>
  <c r="H125" i="1"/>
  <c r="O125" i="1" s="1"/>
  <c r="H140" i="1"/>
  <c r="O140" i="1" s="1"/>
  <c r="H141" i="1"/>
  <c r="O141" i="1" s="1"/>
  <c r="H142" i="1"/>
  <c r="O142" i="1" s="1"/>
  <c r="H143" i="1"/>
  <c r="O143" i="1" s="1"/>
  <c r="H21" i="1"/>
  <c r="O21" i="1" s="1"/>
  <c r="N21" i="1" s="1"/>
  <c r="BP21" i="1" s="1"/>
  <c r="H22" i="1"/>
  <c r="O22" i="1" s="1"/>
  <c r="N22" i="1" s="1"/>
  <c r="H23" i="1"/>
  <c r="O23" i="1" s="1"/>
  <c r="N23" i="1" s="1"/>
  <c r="BP23" i="1" s="1"/>
  <c r="H24" i="1"/>
  <c r="O24" i="1" s="1"/>
  <c r="N24" i="1" s="1"/>
  <c r="H25" i="1"/>
  <c r="O25" i="1" s="1"/>
  <c r="N25" i="1" s="1"/>
  <c r="BP25" i="1" s="1"/>
  <c r="H26" i="1"/>
  <c r="O26" i="1" s="1"/>
  <c r="N26" i="1" s="1"/>
  <c r="H27" i="1"/>
  <c r="O27" i="1" s="1"/>
  <c r="N27" i="1" s="1"/>
  <c r="BP27" i="1" s="1"/>
  <c r="H28" i="1"/>
  <c r="O28" i="1" s="1"/>
  <c r="N28" i="1" s="1"/>
  <c r="H29" i="1"/>
  <c r="O29" i="1" s="1"/>
  <c r="N29" i="1" s="1"/>
  <c r="BP29" i="1" s="1"/>
  <c r="H30" i="1"/>
  <c r="O30" i="1" s="1"/>
  <c r="N30" i="1" s="1"/>
  <c r="H31" i="1"/>
  <c r="O31" i="1" s="1"/>
  <c r="N31" i="1" s="1"/>
  <c r="BP31" i="1" s="1"/>
  <c r="H32" i="1"/>
  <c r="O32" i="1" s="1"/>
  <c r="N32" i="1" s="1"/>
  <c r="BP32" i="1" s="1"/>
  <c r="H33" i="1"/>
  <c r="O33" i="1" s="1"/>
  <c r="N33" i="1" s="1"/>
  <c r="H34" i="1"/>
  <c r="O34" i="1" s="1"/>
  <c r="N34" i="1" s="1"/>
  <c r="BP34" i="1" s="1"/>
  <c r="H35" i="1"/>
  <c r="O35" i="1" s="1"/>
  <c r="N35" i="1" s="1"/>
  <c r="BP35" i="1" s="1"/>
  <c r="H36" i="1"/>
  <c r="O36" i="1" s="1"/>
  <c r="N36" i="1" s="1"/>
  <c r="BP36" i="1" s="1"/>
  <c r="H37" i="1"/>
  <c r="O37" i="1" s="1"/>
  <c r="N37" i="1" s="1"/>
  <c r="H38" i="1"/>
  <c r="O38" i="1" s="1"/>
  <c r="N38" i="1" s="1"/>
  <c r="BP38" i="1" s="1"/>
  <c r="H39" i="1"/>
  <c r="O39" i="1" s="1"/>
  <c r="N39" i="1" s="1"/>
  <c r="BP39" i="1" s="1"/>
  <c r="H40" i="1"/>
  <c r="O40" i="1" s="1"/>
  <c r="N40" i="1" s="1"/>
  <c r="BP40" i="1" s="1"/>
  <c r="H41" i="1"/>
  <c r="O41" i="1" s="1"/>
  <c r="N41" i="1" s="1"/>
  <c r="H52" i="1"/>
  <c r="H53" i="1"/>
  <c r="H54" i="1"/>
  <c r="H55" i="1"/>
  <c r="H56" i="1"/>
  <c r="H57" i="1"/>
  <c r="H58" i="1"/>
  <c r="H59" i="1"/>
  <c r="H60" i="1"/>
  <c r="H61" i="1"/>
  <c r="H62" i="1"/>
  <c r="H63" i="1"/>
  <c r="H64" i="1"/>
  <c r="H65" i="1"/>
  <c r="H66" i="1"/>
  <c r="H67" i="1"/>
  <c r="H68" i="1"/>
  <c r="H69" i="1"/>
  <c r="H70" i="1"/>
  <c r="H71" i="1"/>
  <c r="H72" i="1"/>
  <c r="H73" i="1"/>
  <c r="H74" i="1"/>
  <c r="H75" i="1"/>
  <c r="H76" i="1"/>
  <c r="H77" i="1"/>
  <c r="H78" i="1"/>
  <c r="H79" i="1"/>
  <c r="H172" i="1"/>
  <c r="H173" i="1"/>
  <c r="H174" i="1"/>
  <c r="H175" i="1"/>
  <c r="H176" i="1"/>
  <c r="H177" i="1"/>
  <c r="H178" i="1"/>
  <c r="H179" i="1"/>
  <c r="H180" i="1"/>
  <c r="H181" i="1"/>
  <c r="H182" i="1"/>
  <c r="H183" i="1"/>
  <c r="H184" i="1"/>
  <c r="H185" i="1"/>
  <c r="H186" i="1"/>
  <c r="H187" i="1"/>
  <c r="H188" i="1"/>
  <c r="H189" i="1"/>
  <c r="H190" i="1"/>
  <c r="H191" i="1"/>
  <c r="H192" i="1"/>
  <c r="H193" i="1"/>
  <c r="H194" i="1"/>
  <c r="H195" i="1"/>
  <c r="H196" i="1"/>
  <c r="H197" i="1"/>
  <c r="H198" i="1"/>
  <c r="H199" i="1"/>
  <c r="H200" i="1"/>
  <c r="H201" i="1"/>
  <c r="H202" i="1"/>
  <c r="H203" i="1"/>
  <c r="H204" i="1"/>
  <c r="H205" i="1"/>
  <c r="H206" i="1"/>
  <c r="H207" i="1"/>
  <c r="H208" i="1"/>
  <c r="H209" i="1"/>
  <c r="H210" i="1"/>
  <c r="H211" i="1"/>
  <c r="H212" i="1"/>
  <c r="H213" i="1"/>
  <c r="H214" i="1"/>
  <c r="H215" i="1"/>
  <c r="H216" i="1"/>
  <c r="H217" i="1"/>
  <c r="H218" i="1"/>
  <c r="H219" i="1"/>
  <c r="H220" i="1"/>
  <c r="H221" i="1"/>
  <c r="H222" i="1"/>
  <c r="H223" i="1"/>
  <c r="H224" i="1"/>
  <c r="H225" i="1"/>
  <c r="H226" i="1"/>
  <c r="H227" i="1"/>
  <c r="H228" i="1"/>
  <c r="H229" i="1"/>
  <c r="H230" i="1"/>
  <c r="H231" i="1"/>
  <c r="H232" i="1"/>
  <c r="H233" i="1"/>
  <c r="H234" i="1"/>
  <c r="H235" i="1"/>
  <c r="H236" i="1"/>
  <c r="H237" i="1"/>
  <c r="H167" i="1"/>
  <c r="H168" i="1"/>
  <c r="H169" i="1"/>
  <c r="H170" i="1"/>
  <c r="H171" i="1"/>
  <c r="H291" i="1"/>
  <c r="H292" i="1"/>
  <c r="H293" i="1"/>
  <c r="H294" i="1"/>
  <c r="H295" i="1"/>
  <c r="H296" i="1"/>
  <c r="H297" i="1"/>
  <c r="H298" i="1"/>
  <c r="H299" i="1"/>
  <c r="H300" i="1"/>
  <c r="H144" i="1"/>
  <c r="H145" i="1"/>
  <c r="H146" i="1"/>
  <c r="H147" i="1"/>
  <c r="H148" i="1"/>
  <c r="H159" i="1"/>
  <c r="H160" i="1"/>
  <c r="H161" i="1"/>
  <c r="H162" i="1"/>
  <c r="H163" i="1"/>
  <c r="H164" i="1"/>
  <c r="H165" i="1"/>
  <c r="H166" i="1"/>
  <c r="H126" i="1"/>
  <c r="H127" i="1"/>
  <c r="H128" i="1"/>
  <c r="H129" i="1"/>
  <c r="H130" i="1"/>
  <c r="H131" i="1"/>
  <c r="H132" i="1"/>
  <c r="H133" i="1"/>
  <c r="H134" i="1"/>
  <c r="H135" i="1"/>
  <c r="H136" i="1"/>
  <c r="H137" i="1"/>
  <c r="H155" i="1"/>
  <c r="H156" i="1"/>
  <c r="H157" i="1"/>
  <c r="H158" i="1"/>
  <c r="H138" i="1"/>
  <c r="H139" i="1"/>
  <c r="H48" i="1"/>
  <c r="H49" i="1"/>
  <c r="H50" i="1"/>
  <c r="H80" i="1"/>
  <c r="H81" i="1"/>
  <c r="H82" i="1"/>
  <c r="H83" i="1"/>
  <c r="H84" i="1"/>
  <c r="H85" i="1"/>
  <c r="H86" i="1"/>
  <c r="H87" i="1"/>
  <c r="H51" i="1"/>
  <c r="AD150" i="1"/>
  <c r="AF150" i="1" s="1"/>
  <c r="AD151" i="1"/>
  <c r="AF151" i="1" s="1"/>
  <c r="AD152" i="1"/>
  <c r="AF152" i="1" s="1"/>
  <c r="AD153" i="1"/>
  <c r="AF153" i="1" s="1"/>
  <c r="AD154" i="1"/>
  <c r="AF154" i="1" s="1"/>
  <c r="AD149" i="1"/>
  <c r="AF149" i="1" s="1"/>
  <c r="AF21" i="1"/>
  <c r="AH21" i="1" s="1"/>
  <c r="AF168" i="1"/>
  <c r="AF169" i="1"/>
  <c r="AF170" i="1"/>
  <c r="AF171" i="1"/>
  <c r="AF167" i="1"/>
  <c r="AD79" i="1"/>
  <c r="AF79" i="1" s="1"/>
  <c r="AD52" i="1"/>
  <c r="AF52" i="1" s="1"/>
  <c r="AD53" i="1"/>
  <c r="AF53" i="1" s="1"/>
  <c r="AD54" i="1"/>
  <c r="AF54" i="1" s="1"/>
  <c r="AD55" i="1"/>
  <c r="AF55" i="1" s="1"/>
  <c r="AD56" i="1"/>
  <c r="AF56" i="1" s="1"/>
  <c r="AD57" i="1"/>
  <c r="AF57" i="1" s="1"/>
  <c r="AD58" i="1"/>
  <c r="AF58" i="1" s="1"/>
  <c r="AD59" i="1"/>
  <c r="AF59" i="1" s="1"/>
  <c r="AD60" i="1"/>
  <c r="AF60" i="1" s="1"/>
  <c r="AD61" i="1"/>
  <c r="AF61" i="1" s="1"/>
  <c r="AD62" i="1"/>
  <c r="AF62" i="1" s="1"/>
  <c r="AD63" i="1"/>
  <c r="AF63" i="1" s="1"/>
  <c r="AD64" i="1"/>
  <c r="AF64" i="1" s="1"/>
  <c r="AD65" i="1"/>
  <c r="AF65" i="1" s="1"/>
  <c r="AD66" i="1"/>
  <c r="AF66" i="1" s="1"/>
  <c r="AD67" i="1"/>
  <c r="AF67" i="1" s="1"/>
  <c r="AD68" i="1"/>
  <c r="AF68" i="1" s="1"/>
  <c r="AD69" i="1"/>
  <c r="AF69" i="1" s="1"/>
  <c r="AD70" i="1"/>
  <c r="AF70" i="1" s="1"/>
  <c r="AD71" i="1"/>
  <c r="AF71" i="1" s="1"/>
  <c r="AD72" i="1"/>
  <c r="AF72" i="1" s="1"/>
  <c r="AD73" i="1"/>
  <c r="AF73" i="1" s="1"/>
  <c r="AD74" i="1"/>
  <c r="AF74" i="1" s="1"/>
  <c r="AD75" i="1"/>
  <c r="AF75" i="1" s="1"/>
  <c r="AD76" i="1"/>
  <c r="AF76" i="1" s="1"/>
  <c r="AD77" i="1"/>
  <c r="AF77" i="1" s="1"/>
  <c r="AD78" i="1"/>
  <c r="AF78" i="1" s="1"/>
  <c r="AD51" i="1"/>
  <c r="AF51" i="1" s="1"/>
  <c r="AG59" i="1" l="1"/>
  <c r="AH59" i="1"/>
  <c r="BV37" i="1"/>
  <c r="CA37" i="1" s="1"/>
  <c r="BS37" i="1"/>
  <c r="AG51" i="1"/>
  <c r="AH51" i="1"/>
  <c r="AG71" i="1"/>
  <c r="AH71" i="1"/>
  <c r="AG63" i="1"/>
  <c r="AH63" i="1"/>
  <c r="AG55" i="1"/>
  <c r="AH55" i="1"/>
  <c r="BW26" i="1"/>
  <c r="BX26" i="1" s="1"/>
  <c r="BP26" i="1"/>
  <c r="BD142" i="1"/>
  <c r="CA142" i="1"/>
  <c r="BS142" i="1"/>
  <c r="AH100" i="1"/>
  <c r="AG100" i="1"/>
  <c r="AI100" i="1" s="1"/>
  <c r="AH92" i="1"/>
  <c r="AG92" i="1"/>
  <c r="AG49" i="1"/>
  <c r="AH49" i="1"/>
  <c r="AN26" i="1"/>
  <c r="AP26" i="1" s="1"/>
  <c r="BR26" i="1" s="1"/>
  <c r="BV51" i="1"/>
  <c r="BW22" i="1"/>
  <c r="BX22" i="1" s="1"/>
  <c r="BP22" i="1"/>
  <c r="AH104" i="1"/>
  <c r="AG104" i="1"/>
  <c r="AI104" i="1" s="1"/>
  <c r="AN22" i="1"/>
  <c r="AP22" i="1" s="1"/>
  <c r="BR22" i="1" s="1"/>
  <c r="BV38" i="1"/>
  <c r="CA38" i="1" s="1"/>
  <c r="BS38" i="1"/>
  <c r="AG54" i="1"/>
  <c r="AH54" i="1"/>
  <c r="BW41" i="1"/>
  <c r="BX41" i="1" s="1"/>
  <c r="BP41" i="1"/>
  <c r="BW33" i="1"/>
  <c r="BX33" i="1" s="1"/>
  <c r="BP33" i="1"/>
  <c r="BX104" i="1"/>
  <c r="BX96" i="1"/>
  <c r="BW88" i="1"/>
  <c r="BX88" i="1" s="1"/>
  <c r="BP88" i="1"/>
  <c r="BD141" i="1"/>
  <c r="CA141" i="1"/>
  <c r="BS141" i="1"/>
  <c r="AG99" i="1"/>
  <c r="AH99" i="1"/>
  <c r="AH91" i="1"/>
  <c r="AG91" i="1"/>
  <c r="AH48" i="1"/>
  <c r="AG48" i="1"/>
  <c r="AI48" i="1" s="1"/>
  <c r="AN27" i="1"/>
  <c r="AP27" i="1" s="1"/>
  <c r="BR27" i="1" s="1"/>
  <c r="BV33" i="1"/>
  <c r="CA33" i="1" s="1"/>
  <c r="BS33" i="1"/>
  <c r="AG67" i="1"/>
  <c r="AH67" i="1"/>
  <c r="AH96" i="1"/>
  <c r="AG96" i="1"/>
  <c r="AI96" i="1" s="1"/>
  <c r="AN30" i="1"/>
  <c r="AP30" i="1" s="1"/>
  <c r="BR30" i="1" s="1"/>
  <c r="BV32" i="1"/>
  <c r="CA32" i="1" s="1"/>
  <c r="BS32" i="1"/>
  <c r="AG78" i="1"/>
  <c r="AH78" i="1"/>
  <c r="AG62" i="1"/>
  <c r="AH62" i="1"/>
  <c r="AG77" i="1"/>
  <c r="AH77" i="1"/>
  <c r="AG61" i="1"/>
  <c r="AH61" i="1"/>
  <c r="AG53" i="1"/>
  <c r="AH53" i="1"/>
  <c r="BW24" i="1"/>
  <c r="BX24" i="1" s="1"/>
  <c r="BP24" i="1"/>
  <c r="BD140" i="1"/>
  <c r="CA140" i="1"/>
  <c r="BS140" i="1"/>
  <c r="AH98" i="1"/>
  <c r="AG98" i="1"/>
  <c r="AI98" i="1" s="1"/>
  <c r="AH90" i="1"/>
  <c r="AG90" i="1"/>
  <c r="AN28" i="1"/>
  <c r="AP28" i="1" s="1"/>
  <c r="BR28" i="1" s="1"/>
  <c r="BV40" i="1"/>
  <c r="CA40" i="1" s="1"/>
  <c r="BS40" i="1"/>
  <c r="BW30" i="1"/>
  <c r="BX30" i="1" s="1"/>
  <c r="BP30" i="1"/>
  <c r="AG70" i="1"/>
  <c r="AH70" i="1"/>
  <c r="AG69" i="1"/>
  <c r="AH69" i="1"/>
  <c r="AG76" i="1"/>
  <c r="AH76" i="1"/>
  <c r="AG68" i="1"/>
  <c r="AH68" i="1"/>
  <c r="AG60" i="1"/>
  <c r="AH60" i="1"/>
  <c r="AG52" i="1"/>
  <c r="AH52" i="1"/>
  <c r="AG105" i="1"/>
  <c r="AI105" i="1" s="1"/>
  <c r="AH105" i="1"/>
  <c r="AG97" i="1"/>
  <c r="AH97" i="1"/>
  <c r="AH47" i="1"/>
  <c r="AG47" i="1"/>
  <c r="AN21" i="1"/>
  <c r="AP21" i="1" s="1"/>
  <c r="BR21" i="1" s="1"/>
  <c r="AN29" i="1"/>
  <c r="AP29" i="1" s="1"/>
  <c r="BR29" i="1" s="1"/>
  <c r="BV36" i="1"/>
  <c r="CA36" i="1" s="1"/>
  <c r="BS36" i="1"/>
  <c r="BV41" i="1"/>
  <c r="CA41" i="1" s="1"/>
  <c r="BS41" i="1"/>
  <c r="AG79" i="1"/>
  <c r="AH79" i="1"/>
  <c r="AG74" i="1"/>
  <c r="AH74" i="1"/>
  <c r="AG66" i="1"/>
  <c r="AH66" i="1"/>
  <c r="AG58" i="1"/>
  <c r="AH58" i="1"/>
  <c r="BW37" i="1"/>
  <c r="BX37" i="1" s="1"/>
  <c r="BP37" i="1"/>
  <c r="BX100" i="1"/>
  <c r="BY100" i="1" s="1"/>
  <c r="AH103" i="1"/>
  <c r="AG103" i="1"/>
  <c r="AI103" i="1" s="1"/>
  <c r="AG95" i="1"/>
  <c r="AI95" i="1" s="1"/>
  <c r="AH95" i="1"/>
  <c r="AG45" i="1"/>
  <c r="AH45" i="1"/>
  <c r="AN23" i="1"/>
  <c r="AP23" i="1" s="1"/>
  <c r="BR23" i="1" s="1"/>
  <c r="BV39" i="1"/>
  <c r="CA39" i="1" s="1"/>
  <c r="BS39" i="1"/>
  <c r="BV34" i="1"/>
  <c r="CA34" i="1" s="1"/>
  <c r="BS34" i="1"/>
  <c r="AH46" i="1"/>
  <c r="AG46" i="1"/>
  <c r="AG73" i="1"/>
  <c r="AH73" i="1"/>
  <c r="AG65" i="1"/>
  <c r="AH65" i="1"/>
  <c r="AG57" i="1"/>
  <c r="AH57" i="1"/>
  <c r="BW28" i="1"/>
  <c r="BX28" i="1" s="1"/>
  <c r="BP28" i="1"/>
  <c r="AH102" i="1"/>
  <c r="AG102" i="1"/>
  <c r="AH94" i="1"/>
  <c r="AG94" i="1"/>
  <c r="AI94" i="1" s="1"/>
  <c r="AG44" i="1"/>
  <c r="AH44" i="1"/>
  <c r="AN24" i="1"/>
  <c r="AP24" i="1" s="1"/>
  <c r="BR24" i="1" s="1"/>
  <c r="BV35" i="1"/>
  <c r="CA35" i="1" s="1"/>
  <c r="BS35" i="1"/>
  <c r="AG75" i="1"/>
  <c r="AH75" i="1"/>
  <c r="AG72" i="1"/>
  <c r="AH72" i="1"/>
  <c r="AG64" i="1"/>
  <c r="AH64" i="1"/>
  <c r="AG56" i="1"/>
  <c r="AH56" i="1"/>
  <c r="BD143" i="1"/>
  <c r="CA143" i="1"/>
  <c r="BS143" i="1"/>
  <c r="AG101" i="1"/>
  <c r="AH101" i="1"/>
  <c r="AG93" i="1"/>
  <c r="AI93" i="1" s="1"/>
  <c r="AH93" i="1"/>
  <c r="AH50" i="1"/>
  <c r="AG50" i="1"/>
  <c r="AI50" i="1" s="1"/>
  <c r="AN25" i="1"/>
  <c r="AP25" i="1" s="1"/>
  <c r="BR25" i="1" s="1"/>
  <c r="BV31" i="1"/>
  <c r="CA31" i="1" s="1"/>
  <c r="BS31" i="1"/>
  <c r="AG153" i="1"/>
  <c r="AH153" i="1"/>
  <c r="AH163" i="1"/>
  <c r="AG163" i="1"/>
  <c r="AG159" i="1"/>
  <c r="AI159" i="1" s="1"/>
  <c r="AH159" i="1"/>
  <c r="AH155" i="1"/>
  <c r="AG155" i="1"/>
  <c r="AI155" i="1" s="1"/>
  <c r="AG145" i="1"/>
  <c r="AI145" i="1" s="1"/>
  <c r="AH145" i="1"/>
  <c r="AH137" i="1"/>
  <c r="AG137" i="1"/>
  <c r="AI137" i="1" s="1"/>
  <c r="AH133" i="1"/>
  <c r="AG133" i="1"/>
  <c r="AH129" i="1"/>
  <c r="AG129" i="1"/>
  <c r="AI129" i="1" s="1"/>
  <c r="AG152" i="1"/>
  <c r="AH152" i="1"/>
  <c r="AH166" i="1"/>
  <c r="AG166" i="1"/>
  <c r="AH162" i="1"/>
  <c r="AG162" i="1"/>
  <c r="AH158" i="1"/>
  <c r="AG158" i="1"/>
  <c r="AI158" i="1" s="1"/>
  <c r="AG148" i="1"/>
  <c r="AI148" i="1" s="1"/>
  <c r="AH148" i="1"/>
  <c r="AG144" i="1"/>
  <c r="AH144" i="1"/>
  <c r="AG136" i="1"/>
  <c r="AI136" i="1" s="1"/>
  <c r="AH136" i="1"/>
  <c r="AG132" i="1"/>
  <c r="AH132" i="1"/>
  <c r="AG128" i="1"/>
  <c r="AI128" i="1" s="1"/>
  <c r="AH128" i="1"/>
  <c r="AG149" i="1"/>
  <c r="AH149" i="1"/>
  <c r="AH151" i="1"/>
  <c r="AG151" i="1"/>
  <c r="AG165" i="1"/>
  <c r="AH165" i="1"/>
  <c r="AG161" i="1"/>
  <c r="AI161" i="1" s="1"/>
  <c r="AH161" i="1"/>
  <c r="AG157" i="1"/>
  <c r="AH157" i="1"/>
  <c r="AG147" i="1"/>
  <c r="AI147" i="1" s="1"/>
  <c r="AH147" i="1"/>
  <c r="AH135" i="1"/>
  <c r="AG135" i="1"/>
  <c r="AI135" i="1" s="1"/>
  <c r="AH131" i="1"/>
  <c r="AG131" i="1"/>
  <c r="AH127" i="1"/>
  <c r="AG127" i="1"/>
  <c r="AI127" i="1" s="1"/>
  <c r="AH154" i="1"/>
  <c r="AG154" i="1"/>
  <c r="AH150" i="1"/>
  <c r="AG150" i="1"/>
  <c r="AG164" i="1"/>
  <c r="AI164" i="1" s="1"/>
  <c r="AH164" i="1"/>
  <c r="AG160" i="1"/>
  <c r="AH160" i="1"/>
  <c r="AG156" i="1"/>
  <c r="AI156" i="1" s="1"/>
  <c r="AH156" i="1"/>
  <c r="AH146" i="1"/>
  <c r="AG146" i="1"/>
  <c r="AI146" i="1" s="1"/>
  <c r="AH134" i="1"/>
  <c r="AG134" i="1"/>
  <c r="AG130" i="1"/>
  <c r="AH130" i="1"/>
  <c r="AH126" i="1"/>
  <c r="AG126" i="1"/>
  <c r="AG169" i="1"/>
  <c r="AH169" i="1"/>
  <c r="AG201" i="1"/>
  <c r="AH201" i="1"/>
  <c r="AH197" i="1"/>
  <c r="AG197" i="1"/>
  <c r="AH193" i="1"/>
  <c r="AG193" i="1"/>
  <c r="AG189" i="1"/>
  <c r="AH189" i="1"/>
  <c r="AH185" i="1"/>
  <c r="AG185" i="1"/>
  <c r="AG181" i="1"/>
  <c r="AH181" i="1"/>
  <c r="AG177" i="1"/>
  <c r="AH177" i="1"/>
  <c r="AG173" i="1"/>
  <c r="AH173" i="1"/>
  <c r="AG167" i="1"/>
  <c r="AH167" i="1"/>
  <c r="AG168" i="1"/>
  <c r="AH168" i="1"/>
  <c r="AG200" i="1"/>
  <c r="AH200" i="1"/>
  <c r="AG196" i="1"/>
  <c r="AH196" i="1"/>
  <c r="AG192" i="1"/>
  <c r="AH192" i="1"/>
  <c r="AG188" i="1"/>
  <c r="AH188" i="1"/>
  <c r="AG184" i="1"/>
  <c r="AH184" i="1"/>
  <c r="AG180" i="1"/>
  <c r="AH180" i="1"/>
  <c r="AG176" i="1"/>
  <c r="AH176" i="1"/>
  <c r="AG172" i="1"/>
  <c r="AH172" i="1"/>
  <c r="AG171" i="1"/>
  <c r="AH171" i="1"/>
  <c r="AH203" i="1"/>
  <c r="AG203" i="1"/>
  <c r="AH199" i="1"/>
  <c r="AG199" i="1"/>
  <c r="AG195" i="1"/>
  <c r="AI195" i="1" s="1"/>
  <c r="AH195" i="1"/>
  <c r="AH191" i="1"/>
  <c r="AG191" i="1"/>
  <c r="AG187" i="1"/>
  <c r="AI187" i="1" s="1"/>
  <c r="AH187" i="1"/>
  <c r="AG183" i="1"/>
  <c r="AH183" i="1"/>
  <c r="AG179" i="1"/>
  <c r="AI179" i="1" s="1"/>
  <c r="AH179" i="1"/>
  <c r="AG175" i="1"/>
  <c r="AH175" i="1"/>
  <c r="AG170" i="1"/>
  <c r="AI170" i="1" s="1"/>
  <c r="AH170" i="1"/>
  <c r="AG202" i="1"/>
  <c r="AH202" i="1"/>
  <c r="AG198" i="1"/>
  <c r="AI198" i="1" s="1"/>
  <c r="AH198" i="1"/>
  <c r="AG194" i="1"/>
  <c r="AH194" i="1"/>
  <c r="AG190" i="1"/>
  <c r="AI190" i="1" s="1"/>
  <c r="AH190" i="1"/>
  <c r="AG186" i="1"/>
  <c r="AH186" i="1"/>
  <c r="AG182" i="1"/>
  <c r="AI182" i="1" s="1"/>
  <c r="AH182" i="1"/>
  <c r="AG178" i="1"/>
  <c r="AH178" i="1"/>
  <c r="AG174" i="1"/>
  <c r="AI174" i="1" s="1"/>
  <c r="AH174" i="1"/>
  <c r="AH298" i="1"/>
  <c r="AG298" i="1"/>
  <c r="AI298" i="1" s="1"/>
  <c r="AG233" i="1"/>
  <c r="AH233" i="1"/>
  <c r="AG221" i="1"/>
  <c r="AH221" i="1"/>
  <c r="AG209" i="1"/>
  <c r="AH209" i="1"/>
  <c r="AG297" i="1"/>
  <c r="AH297" i="1"/>
  <c r="AG293" i="1"/>
  <c r="AI293" i="1" s="1"/>
  <c r="AH293" i="1"/>
  <c r="AG236" i="1"/>
  <c r="AH236" i="1"/>
  <c r="AG232" i="1"/>
  <c r="AH232" i="1"/>
  <c r="AG228" i="1"/>
  <c r="AH228" i="1"/>
  <c r="AH224" i="1"/>
  <c r="AG224" i="1"/>
  <c r="AH220" i="1"/>
  <c r="AG220" i="1"/>
  <c r="AI220" i="1" s="1"/>
  <c r="AG216" i="1"/>
  <c r="AH216" i="1"/>
  <c r="AH212" i="1"/>
  <c r="AG212" i="1"/>
  <c r="AI212" i="1" s="1"/>
  <c r="AH208" i="1"/>
  <c r="AG208" i="1"/>
  <c r="AH204" i="1"/>
  <c r="AG204" i="1"/>
  <c r="AI204" i="1" s="1"/>
  <c r="AH294" i="1"/>
  <c r="AG294" i="1"/>
  <c r="AG229" i="1"/>
  <c r="AH229" i="1"/>
  <c r="AG217" i="1"/>
  <c r="AH217" i="1"/>
  <c r="AG213" i="1"/>
  <c r="AH213" i="1"/>
  <c r="AG300" i="1"/>
  <c r="AI300" i="1" s="1"/>
  <c r="AH300" i="1"/>
  <c r="AH296" i="1"/>
  <c r="AG296" i="1"/>
  <c r="AI296" i="1" s="1"/>
  <c r="AH292" i="1"/>
  <c r="AG292" i="1"/>
  <c r="AG235" i="1"/>
  <c r="AH235" i="1"/>
  <c r="AG231" i="1"/>
  <c r="AH231" i="1"/>
  <c r="AG227" i="1"/>
  <c r="AH227" i="1"/>
  <c r="AG223" i="1"/>
  <c r="AH223" i="1"/>
  <c r="AG219" i="1"/>
  <c r="AH219" i="1"/>
  <c r="AG215" i="1"/>
  <c r="AH215" i="1"/>
  <c r="AG211" i="1"/>
  <c r="AH211" i="1"/>
  <c r="AG207" i="1"/>
  <c r="AH207" i="1"/>
  <c r="AG237" i="1"/>
  <c r="AH237" i="1"/>
  <c r="AG225" i="1"/>
  <c r="AH225" i="1"/>
  <c r="AG205" i="1"/>
  <c r="AH205" i="1"/>
  <c r="AG299" i="1"/>
  <c r="AI299" i="1" s="1"/>
  <c r="AH299" i="1"/>
  <c r="AG295" i="1"/>
  <c r="AH295" i="1"/>
  <c r="AG291" i="1"/>
  <c r="AI291" i="1" s="1"/>
  <c r="AH291" i="1"/>
  <c r="AG234" i="1"/>
  <c r="AH234" i="1"/>
  <c r="AG230" i="1"/>
  <c r="AH230" i="1"/>
  <c r="AH226" i="1"/>
  <c r="AG226" i="1"/>
  <c r="AI226" i="1" s="1"/>
  <c r="AH222" i="1"/>
  <c r="AG222" i="1"/>
  <c r="AH218" i="1"/>
  <c r="AG218" i="1"/>
  <c r="AI218" i="1" s="1"/>
  <c r="AH214" i="1"/>
  <c r="AG214" i="1"/>
  <c r="AG210" i="1"/>
  <c r="AH210" i="1"/>
  <c r="AG206" i="1"/>
  <c r="AH206" i="1"/>
  <c r="BT122" i="1"/>
  <c r="BT121" i="1"/>
  <c r="BW27" i="1"/>
  <c r="BX27" i="1" s="1"/>
  <c r="BW23" i="1"/>
  <c r="BX23" i="1" s="1"/>
  <c r="BT123" i="1"/>
  <c r="BT125" i="1"/>
  <c r="BT120" i="1"/>
  <c r="BT124" i="1"/>
  <c r="BZ23" i="1"/>
  <c r="BT25" i="1"/>
  <c r="BT22" i="1"/>
  <c r="BT21" i="1"/>
  <c r="BT29" i="1"/>
  <c r="BT26" i="1"/>
  <c r="BW29" i="1"/>
  <c r="BX29" i="1" s="1"/>
  <c r="BW25" i="1"/>
  <c r="BX25" i="1" s="1"/>
  <c r="BW21" i="1"/>
  <c r="BX21" i="1" s="1"/>
  <c r="BT23" i="1"/>
  <c r="BT30" i="1"/>
  <c r="BT24" i="1"/>
  <c r="BT28" i="1"/>
  <c r="AN122" i="1"/>
  <c r="BZ122" i="1"/>
  <c r="AN124" i="1"/>
  <c r="BZ124" i="1"/>
  <c r="BZ30" i="1"/>
  <c r="BZ25" i="1"/>
  <c r="AN123" i="1"/>
  <c r="BZ123" i="1"/>
  <c r="BZ22" i="1"/>
  <c r="BZ24" i="1"/>
  <c r="BZ29" i="1"/>
  <c r="AN120" i="1"/>
  <c r="BZ120" i="1"/>
  <c r="AN121" i="1"/>
  <c r="BZ121" i="1"/>
  <c r="AN125" i="1"/>
  <c r="BZ125" i="1"/>
  <c r="BZ28" i="1"/>
  <c r="BZ21" i="1"/>
  <c r="BY33" i="1"/>
  <c r="BY104" i="1"/>
  <c r="BY96" i="1"/>
  <c r="BY88" i="1"/>
  <c r="BW38" i="1"/>
  <c r="BX38" i="1" s="1"/>
  <c r="BW101" i="1"/>
  <c r="BW105" i="1"/>
  <c r="BX105" i="1" s="1"/>
  <c r="BW93" i="1"/>
  <c r="BW40" i="1"/>
  <c r="BX40" i="1" s="1"/>
  <c r="BW36" i="1"/>
  <c r="BX36" i="1" s="1"/>
  <c r="BW32" i="1"/>
  <c r="BW103" i="1"/>
  <c r="BX103" i="1" s="1"/>
  <c r="BW99" i="1"/>
  <c r="BW95" i="1"/>
  <c r="BW91" i="1"/>
  <c r="BW34" i="1"/>
  <c r="BW97" i="1"/>
  <c r="BW89" i="1"/>
  <c r="BW39" i="1"/>
  <c r="BX39" i="1" s="1"/>
  <c r="BW35" i="1"/>
  <c r="BX35" i="1" s="1"/>
  <c r="BW31" i="1"/>
  <c r="BX31" i="1" s="1"/>
  <c r="BW102" i="1"/>
  <c r="BW98" i="1"/>
  <c r="BW94" i="1"/>
  <c r="BW90" i="1"/>
  <c r="N140" i="1"/>
  <c r="BP140" i="1" s="1"/>
  <c r="AP140" i="1"/>
  <c r="BR140" i="1" s="1"/>
  <c r="AP122" i="1"/>
  <c r="N122" i="1"/>
  <c r="BP122" i="1" s="1"/>
  <c r="BM22" i="1"/>
  <c r="BN22" i="1"/>
  <c r="BR40" i="1"/>
  <c r="BR39" i="1"/>
  <c r="BN28" i="1"/>
  <c r="N143" i="1"/>
  <c r="BP143" i="1" s="1"/>
  <c r="AP143" i="1"/>
  <c r="BR143" i="1" s="1"/>
  <c r="AP125" i="1"/>
  <c r="N125" i="1"/>
  <c r="AP121" i="1"/>
  <c r="N121" i="1"/>
  <c r="BP121" i="1" s="1"/>
  <c r="BN21" i="1"/>
  <c r="BM21" i="1"/>
  <c r="BR36" i="1"/>
  <c r="BR33" i="1"/>
  <c r="BR35" i="1"/>
  <c r="BN23" i="1"/>
  <c r="N142" i="1"/>
  <c r="BP142" i="1" s="1"/>
  <c r="AP142" i="1"/>
  <c r="BR142" i="1" s="1"/>
  <c r="AP124" i="1"/>
  <c r="N124" i="1"/>
  <c r="BP124" i="1" s="1"/>
  <c r="AP120" i="1"/>
  <c r="N120" i="1"/>
  <c r="BP120" i="1" s="1"/>
  <c r="BM30" i="1"/>
  <c r="BN30" i="1"/>
  <c r="BN25" i="1"/>
  <c r="BM25" i="1"/>
  <c r="P51" i="1"/>
  <c r="AI51" i="1" s="1"/>
  <c r="BR32" i="1"/>
  <c r="BR31" i="1"/>
  <c r="BR38" i="1"/>
  <c r="BN24" i="1"/>
  <c r="BR41" i="1"/>
  <c r="N141" i="1"/>
  <c r="BW141" i="1" s="1"/>
  <c r="BX141" i="1" s="1"/>
  <c r="AP141" i="1"/>
  <c r="BR141" i="1" s="1"/>
  <c r="AP123" i="1"/>
  <c r="N123" i="1"/>
  <c r="BN29" i="1"/>
  <c r="BM29" i="1"/>
  <c r="BN51" i="1"/>
  <c r="BM51" i="1"/>
  <c r="BN26" i="1"/>
  <c r="BN27" i="1"/>
  <c r="BR34" i="1"/>
  <c r="BR37" i="1"/>
  <c r="BE121" i="1"/>
  <c r="BE124" i="1"/>
  <c r="BE120" i="1"/>
  <c r="BE125" i="1"/>
  <c r="BE123" i="1"/>
  <c r="R123" i="1"/>
  <c r="R27" i="1"/>
  <c r="BS27" i="1" s="1"/>
  <c r="BC27" i="1"/>
  <c r="BD27" i="1" s="1"/>
  <c r="R29" i="1"/>
  <c r="BS29" i="1" s="1"/>
  <c r="R125" i="1"/>
  <c r="R122" i="1"/>
  <c r="R24" i="1"/>
  <c r="BS24" i="1" s="1"/>
  <c r="R28" i="1"/>
  <c r="BS28" i="1" s="1"/>
  <c r="R124" i="1"/>
  <c r="R22" i="1"/>
  <c r="R25" i="1"/>
  <c r="BS25" i="1" s="1"/>
  <c r="R21" i="1"/>
  <c r="R26" i="1"/>
  <c r="BS26" i="1" s="1"/>
  <c r="R30" i="1"/>
  <c r="BS30" i="1" s="1"/>
  <c r="R23" i="1"/>
  <c r="BS23" i="1" s="1"/>
  <c r="R120" i="1"/>
  <c r="R121" i="1"/>
  <c r="P81" i="1"/>
  <c r="BN81" i="1" s="1"/>
  <c r="P82" i="1"/>
  <c r="BN82" i="1" s="1"/>
  <c r="P83" i="1"/>
  <c r="BN83" i="1" s="1"/>
  <c r="P84" i="1"/>
  <c r="BN84" i="1" s="1"/>
  <c r="P85" i="1"/>
  <c r="BN85" i="1" s="1"/>
  <c r="P86" i="1"/>
  <c r="BN86" i="1" s="1"/>
  <c r="P87" i="1"/>
  <c r="BN87" i="1" s="1"/>
  <c r="P80" i="1"/>
  <c r="BN80" i="1" s="1"/>
  <c r="Q87" i="1"/>
  <c r="BC87" i="1" s="1"/>
  <c r="BD87" i="1" s="1"/>
  <c r="Q86" i="1"/>
  <c r="BC86" i="1" s="1"/>
  <c r="BD86" i="1" s="1"/>
  <c r="Q85" i="1"/>
  <c r="BC85" i="1" s="1"/>
  <c r="BD85" i="1" s="1"/>
  <c r="Q84" i="1"/>
  <c r="BC84" i="1" s="1"/>
  <c r="BD84" i="1" s="1"/>
  <c r="Q83" i="1"/>
  <c r="BC83" i="1" s="1"/>
  <c r="BD83" i="1" s="1"/>
  <c r="Q82" i="1"/>
  <c r="BC82" i="1" s="1"/>
  <c r="BD82" i="1" s="1"/>
  <c r="Q81" i="1"/>
  <c r="BC81" i="1" s="1"/>
  <c r="BD81" i="1" s="1"/>
  <c r="Q80" i="1"/>
  <c r="BC80" i="1" s="1"/>
  <c r="BD80" i="1" s="1"/>
  <c r="J87" i="1"/>
  <c r="L87" i="1"/>
  <c r="M87" i="1"/>
  <c r="O87" i="1"/>
  <c r="N87" i="1" s="1"/>
  <c r="BP87" i="1" s="1"/>
  <c r="J86" i="1"/>
  <c r="L86" i="1"/>
  <c r="M86" i="1"/>
  <c r="J85" i="1"/>
  <c r="L85" i="1"/>
  <c r="M85" i="1"/>
  <c r="O85" i="1"/>
  <c r="N85" i="1" s="1"/>
  <c r="BP85" i="1" s="1"/>
  <c r="J84" i="1"/>
  <c r="L84" i="1"/>
  <c r="M84" i="1"/>
  <c r="J83" i="1"/>
  <c r="L83" i="1"/>
  <c r="M83" i="1"/>
  <c r="J82" i="1"/>
  <c r="L82" i="1"/>
  <c r="M82" i="1"/>
  <c r="J81" i="1"/>
  <c r="L81" i="1"/>
  <c r="M81" i="1"/>
  <c r="J80" i="1"/>
  <c r="L80" i="1"/>
  <c r="M80" i="1"/>
  <c r="O86" i="1"/>
  <c r="N86" i="1" s="1"/>
  <c r="BP86" i="1" s="1"/>
  <c r="O84" i="1"/>
  <c r="N84" i="1" s="1"/>
  <c r="BP84" i="1" s="1"/>
  <c r="O83" i="1"/>
  <c r="N83" i="1" s="1"/>
  <c r="BP83" i="1" s="1"/>
  <c r="O82" i="1"/>
  <c r="N82" i="1" s="1"/>
  <c r="BP82" i="1" s="1"/>
  <c r="O81" i="1"/>
  <c r="N81" i="1" s="1"/>
  <c r="BP81" i="1" s="1"/>
  <c r="O80" i="1"/>
  <c r="N80" i="1" s="1"/>
  <c r="BP80" i="1" s="1"/>
  <c r="BA50" i="1"/>
  <c r="BA48" i="1"/>
  <c r="AV50" i="1"/>
  <c r="AS50" i="1" s="1"/>
  <c r="AW50" i="1" s="1"/>
  <c r="AV48" i="1"/>
  <c r="AS48" i="1" s="1"/>
  <c r="AW48" i="1" s="1"/>
  <c r="AM50" i="1"/>
  <c r="AM49" i="1"/>
  <c r="AM48" i="1"/>
  <c r="Q50" i="1"/>
  <c r="Q49" i="1"/>
  <c r="Q48" i="1"/>
  <c r="O50" i="1"/>
  <c r="O49" i="1"/>
  <c r="O48" i="1"/>
  <c r="M50" i="1"/>
  <c r="M49" i="1"/>
  <c r="M48" i="1"/>
  <c r="L50" i="1"/>
  <c r="L49" i="1"/>
  <c r="L48" i="1"/>
  <c r="J50" i="1"/>
  <c r="J49" i="1"/>
  <c r="J48" i="1"/>
  <c r="AQ43" i="1"/>
  <c r="AQ42" i="1"/>
  <c r="AM43" i="1"/>
  <c r="AM42" i="1"/>
  <c r="AO43" i="1"/>
  <c r="AO42" i="1"/>
  <c r="X43" i="1"/>
  <c r="Y43" i="1" s="1"/>
  <c r="X42" i="1"/>
  <c r="Y42" i="1" s="1"/>
  <c r="BD300" i="1" l="1"/>
  <c r="BV122" i="1"/>
  <c r="CA122" i="1" s="1"/>
  <c r="BS122" i="1"/>
  <c r="BX95" i="1"/>
  <c r="AI101" i="1"/>
  <c r="BX101" i="1" s="1"/>
  <c r="BY101" i="1" s="1"/>
  <c r="AI99" i="1"/>
  <c r="AI49" i="1"/>
  <c r="BW125" i="1"/>
  <c r="BX125" i="1" s="1"/>
  <c r="BP125" i="1"/>
  <c r="BP105" i="1"/>
  <c r="CA105" i="1"/>
  <c r="BD105" i="1"/>
  <c r="BS105" i="1"/>
  <c r="AN84" i="1"/>
  <c r="BV125" i="1"/>
  <c r="CA125" i="1" s="1"/>
  <c r="BS125" i="1"/>
  <c r="BX99" i="1"/>
  <c r="BY99" i="1" s="1"/>
  <c r="AI295" i="1"/>
  <c r="AI92" i="1"/>
  <c r="BD146" i="1"/>
  <c r="BV21" i="1"/>
  <c r="CA21" i="1" s="1"/>
  <c r="BS21" i="1"/>
  <c r="AI292" i="1"/>
  <c r="BD147" i="1"/>
  <c r="AI90" i="1"/>
  <c r="BP141" i="1"/>
  <c r="BD291" i="1"/>
  <c r="BW123" i="1"/>
  <c r="BX123" i="1" s="1"/>
  <c r="BY123" i="1" s="1"/>
  <c r="BP123" i="1"/>
  <c r="BX32" i="1"/>
  <c r="BY32" i="1" s="1"/>
  <c r="CB32" i="1" s="1"/>
  <c r="BD50" i="1"/>
  <c r="CA94" i="1"/>
  <c r="BP94" i="1"/>
  <c r="BD94" i="1"/>
  <c r="BS94" i="1"/>
  <c r="CA95" i="1"/>
  <c r="BP95" i="1"/>
  <c r="BD95" i="1"/>
  <c r="BS95" i="1"/>
  <c r="CA96" i="1"/>
  <c r="BP96" i="1"/>
  <c r="BD96" i="1"/>
  <c r="BS96" i="1"/>
  <c r="BV22" i="1"/>
  <c r="CA22" i="1" s="1"/>
  <c r="BS22" i="1"/>
  <c r="CA51" i="1"/>
  <c r="BD51" i="1"/>
  <c r="BY41" i="1"/>
  <c r="BX89" i="1"/>
  <c r="BY89" i="1" s="1"/>
  <c r="CB89" i="1" s="1"/>
  <c r="CC89" i="1" s="1"/>
  <c r="BD296" i="1"/>
  <c r="BD298" i="1"/>
  <c r="CA103" i="1"/>
  <c r="BP103" i="1"/>
  <c r="BD103" i="1"/>
  <c r="BS103" i="1"/>
  <c r="CA98" i="1"/>
  <c r="BP98" i="1"/>
  <c r="BD98" i="1"/>
  <c r="BS98" i="1"/>
  <c r="BP104" i="1"/>
  <c r="CA104" i="1"/>
  <c r="BD104" i="1"/>
  <c r="BS104" i="1"/>
  <c r="BY98" i="1"/>
  <c r="BX98" i="1"/>
  <c r="BD293" i="1"/>
  <c r="BD48" i="1"/>
  <c r="AN80" i="1"/>
  <c r="AN85" i="1"/>
  <c r="BV121" i="1"/>
  <c r="CA121" i="1" s="1"/>
  <c r="BS121" i="1"/>
  <c r="BV124" i="1"/>
  <c r="CA124" i="1" s="1"/>
  <c r="BS124" i="1"/>
  <c r="BV123" i="1"/>
  <c r="CA123" i="1" s="1"/>
  <c r="BS123" i="1"/>
  <c r="BX90" i="1"/>
  <c r="BY90" i="1" s="1"/>
  <c r="AI297" i="1"/>
  <c r="AI102" i="1"/>
  <c r="BX102" i="1" s="1"/>
  <c r="BY102" i="1" s="1"/>
  <c r="AI97" i="1"/>
  <c r="BX97" i="1" s="1"/>
  <c r="BY97" i="1" s="1"/>
  <c r="AI91" i="1"/>
  <c r="BD299" i="1"/>
  <c r="CA100" i="1"/>
  <c r="BP100" i="1"/>
  <c r="BD100" i="1"/>
  <c r="BS100" i="1"/>
  <c r="BV120" i="1"/>
  <c r="CA120" i="1" s="1"/>
  <c r="BS120" i="1"/>
  <c r="BX94" i="1"/>
  <c r="BX34" i="1"/>
  <c r="BY34" i="1" s="1"/>
  <c r="CB34" i="1" s="1"/>
  <c r="BX93" i="1"/>
  <c r="BY93" i="1" s="1"/>
  <c r="CB93" i="1" s="1"/>
  <c r="CC93" i="1" s="1"/>
  <c r="AI294" i="1"/>
  <c r="BD148" i="1"/>
  <c r="BD145" i="1"/>
  <c r="CA93" i="1"/>
  <c r="BP93" i="1"/>
  <c r="BD93" i="1"/>
  <c r="BS93" i="1"/>
  <c r="AI132" i="1"/>
  <c r="AI134" i="1"/>
  <c r="AI133" i="1"/>
  <c r="AI166" i="1"/>
  <c r="AI163" i="1"/>
  <c r="AI167" i="1"/>
  <c r="AI169" i="1"/>
  <c r="AI130" i="1"/>
  <c r="AI160" i="1"/>
  <c r="AI157" i="1"/>
  <c r="AI165" i="1"/>
  <c r="AI144" i="1"/>
  <c r="AI185" i="1"/>
  <c r="AI193" i="1"/>
  <c r="AI126" i="1"/>
  <c r="AI131" i="1"/>
  <c r="AI162" i="1"/>
  <c r="AI171" i="1"/>
  <c r="BD165" i="1"/>
  <c r="AI168" i="1"/>
  <c r="BD164" i="1"/>
  <c r="BD161" i="1"/>
  <c r="AI214" i="1"/>
  <c r="AI222" i="1"/>
  <c r="AI208" i="1"/>
  <c r="AI224" i="1"/>
  <c r="AI178" i="1"/>
  <c r="AI186" i="1"/>
  <c r="AI194" i="1"/>
  <c r="AI202" i="1"/>
  <c r="AI175" i="1"/>
  <c r="AI183" i="1"/>
  <c r="AI197" i="1"/>
  <c r="AI210" i="1"/>
  <c r="AI234" i="1"/>
  <c r="AI205" i="1"/>
  <c r="AI237" i="1"/>
  <c r="AI211" i="1"/>
  <c r="AI219" i="1"/>
  <c r="AI227" i="1"/>
  <c r="AI235" i="1"/>
  <c r="AI213" i="1"/>
  <c r="AI229" i="1"/>
  <c r="AI228" i="1"/>
  <c r="AI236" i="1"/>
  <c r="AI221" i="1"/>
  <c r="AI191" i="1"/>
  <c r="AI199" i="1"/>
  <c r="AI172" i="1"/>
  <c r="AI180" i="1"/>
  <c r="AI188" i="1"/>
  <c r="AI196" i="1"/>
  <c r="AI177" i="1"/>
  <c r="AI201" i="1"/>
  <c r="AI206" i="1"/>
  <c r="AI230" i="1"/>
  <c r="AI225" i="1"/>
  <c r="AI207" i="1"/>
  <c r="AI215" i="1"/>
  <c r="AI223" i="1"/>
  <c r="AI231" i="1"/>
  <c r="AI217" i="1"/>
  <c r="AI216" i="1"/>
  <c r="AI232" i="1"/>
  <c r="AI209" i="1"/>
  <c r="AI233" i="1"/>
  <c r="AI203" i="1"/>
  <c r="AI176" i="1"/>
  <c r="AI184" i="1"/>
  <c r="AI192" i="1"/>
  <c r="AI200" i="1"/>
  <c r="AI173" i="1"/>
  <c r="AI181" i="1"/>
  <c r="AI189" i="1"/>
  <c r="BR120" i="1"/>
  <c r="BR125" i="1"/>
  <c r="BY94" i="1"/>
  <c r="CB94" i="1" s="1"/>
  <c r="CC94" i="1" s="1"/>
  <c r="BR121" i="1"/>
  <c r="BY39" i="1"/>
  <c r="CB39" i="1" s="1"/>
  <c r="BY105" i="1"/>
  <c r="BY36" i="1"/>
  <c r="CB36" i="1" s="1"/>
  <c r="BY31" i="1"/>
  <c r="CB31" i="1" s="1"/>
  <c r="BY95" i="1"/>
  <c r="BY37" i="1"/>
  <c r="CB37" i="1" s="1"/>
  <c r="BY40" i="1"/>
  <c r="CB40" i="1" s="1"/>
  <c r="BY38" i="1"/>
  <c r="CB38" i="1" s="1"/>
  <c r="BY35" i="1"/>
  <c r="CB35" i="1" s="1"/>
  <c r="BY103" i="1"/>
  <c r="CB103" i="1" s="1"/>
  <c r="CC103" i="1" s="1"/>
  <c r="CB100" i="1"/>
  <c r="CC100" i="1" s="1"/>
  <c r="BR123" i="1"/>
  <c r="CB104" i="1"/>
  <c r="CC104" i="1" s="1"/>
  <c r="BR124" i="1"/>
  <c r="BT81" i="1"/>
  <c r="BT85" i="1"/>
  <c r="BT80" i="1"/>
  <c r="BT82" i="1"/>
  <c r="BT86" i="1"/>
  <c r="BT83" i="1"/>
  <c r="BT87" i="1"/>
  <c r="BT84" i="1"/>
  <c r="BY21" i="1"/>
  <c r="BT27" i="1"/>
  <c r="CB98" i="1"/>
  <c r="CC98" i="1" s="1"/>
  <c r="AN82" i="1"/>
  <c r="AP82" i="1" s="1"/>
  <c r="BR82" i="1" s="1"/>
  <c r="BZ82" i="1"/>
  <c r="BR122" i="1"/>
  <c r="CB41" i="1"/>
  <c r="CB33" i="1"/>
  <c r="AN87" i="1"/>
  <c r="AP87" i="1" s="1"/>
  <c r="BR87" i="1" s="1"/>
  <c r="BZ87" i="1"/>
  <c r="CB96" i="1"/>
  <c r="CC96" i="1" s="1"/>
  <c r="BZ48" i="1"/>
  <c r="AN81" i="1"/>
  <c r="AP81" i="1" s="1"/>
  <c r="BR81" i="1" s="1"/>
  <c r="BZ81" i="1"/>
  <c r="AN86" i="1"/>
  <c r="AP86" i="1" s="1"/>
  <c r="BR86" i="1" s="1"/>
  <c r="BZ86" i="1"/>
  <c r="BZ50" i="1"/>
  <c r="AN83" i="1"/>
  <c r="AP83" i="1" s="1"/>
  <c r="BR83" i="1" s="1"/>
  <c r="BZ83" i="1"/>
  <c r="CB88" i="1"/>
  <c r="CC88" i="1" s="1"/>
  <c r="BW86" i="1"/>
  <c r="BX86" i="1" s="1"/>
  <c r="BW80" i="1"/>
  <c r="BX80" i="1" s="1"/>
  <c r="BW84" i="1"/>
  <c r="BX84" i="1" s="1"/>
  <c r="BW87" i="1"/>
  <c r="BX87" i="1" s="1"/>
  <c r="BW124" i="1"/>
  <c r="BW121" i="1"/>
  <c r="BW81" i="1"/>
  <c r="BX81" i="1" s="1"/>
  <c r="BW85" i="1"/>
  <c r="BX85" i="1" s="1"/>
  <c r="BW82" i="1"/>
  <c r="BX82" i="1" s="1"/>
  <c r="BW120" i="1"/>
  <c r="BW143" i="1"/>
  <c r="BW140" i="1"/>
  <c r="BW83" i="1"/>
  <c r="BX83" i="1" s="1"/>
  <c r="BW142" i="1"/>
  <c r="BW122" i="1"/>
  <c r="BV30" i="1"/>
  <c r="CA30" i="1" s="1"/>
  <c r="BV26" i="1"/>
  <c r="BV27" i="1"/>
  <c r="CA27" i="1" s="1"/>
  <c r="BY125" i="1"/>
  <c r="BV28" i="1"/>
  <c r="BV23" i="1"/>
  <c r="CA23" i="1" s="1"/>
  <c r="BV25" i="1"/>
  <c r="CA25" i="1" s="1"/>
  <c r="BV24" i="1"/>
  <c r="CA24" i="1" s="1"/>
  <c r="BV29" i="1"/>
  <c r="CA29" i="1" s="1"/>
  <c r="BY141" i="1"/>
  <c r="AP84" i="1"/>
  <c r="BR84" i="1" s="1"/>
  <c r="AP85" i="1"/>
  <c r="BR85" i="1" s="1"/>
  <c r="AP48" i="1"/>
  <c r="N48" i="1"/>
  <c r="BW48" i="1" s="1"/>
  <c r="BX48" i="1" s="1"/>
  <c r="AP80" i="1"/>
  <c r="BR80" i="1" s="1"/>
  <c r="AP49" i="1"/>
  <c r="N49" i="1"/>
  <c r="BW49" i="1" s="1"/>
  <c r="BX49" i="1" s="1"/>
  <c r="AP50" i="1"/>
  <c r="N50" i="1"/>
  <c r="BW50" i="1" s="1"/>
  <c r="BX50" i="1" s="1"/>
  <c r="BE82" i="1"/>
  <c r="BE85" i="1"/>
  <c r="BE80" i="1"/>
  <c r="BE84" i="1"/>
  <c r="BE86" i="1"/>
  <c r="BE81" i="1"/>
  <c r="BE87" i="1"/>
  <c r="BE83" i="1"/>
  <c r="R84" i="1"/>
  <c r="BS84" i="1" s="1"/>
  <c r="R80" i="1"/>
  <c r="BS80" i="1" s="1"/>
  <c r="R81" i="1"/>
  <c r="BS81" i="1" s="1"/>
  <c r="R85" i="1"/>
  <c r="BS85" i="1" s="1"/>
  <c r="R87" i="1"/>
  <c r="BS87" i="1" s="1"/>
  <c r="AN48" i="1"/>
  <c r="AN50" i="1"/>
  <c r="R83" i="1"/>
  <c r="BS83" i="1" s="1"/>
  <c r="R48" i="1"/>
  <c r="BS48" i="1" s="1"/>
  <c r="R86" i="1"/>
  <c r="BS86" i="1" s="1"/>
  <c r="R82" i="1"/>
  <c r="BS82" i="1" s="1"/>
  <c r="AN49" i="1"/>
  <c r="R49" i="1"/>
  <c r="BS49" i="1" s="1"/>
  <c r="AX50" i="1"/>
  <c r="AX48" i="1"/>
  <c r="R50" i="1"/>
  <c r="BS50" i="1" s="1"/>
  <c r="BC43" i="1"/>
  <c r="BC42" i="1"/>
  <c r="K43" i="1"/>
  <c r="AD43" i="1" s="1"/>
  <c r="K42" i="1"/>
  <c r="AD42" i="1" s="1"/>
  <c r="I43" i="1"/>
  <c r="I42" i="1"/>
  <c r="G43" i="1"/>
  <c r="G42" i="1"/>
  <c r="T42" i="1" s="1"/>
  <c r="CB99" i="1" l="1"/>
  <c r="CC99" i="1" s="1"/>
  <c r="BX143" i="1"/>
  <c r="BY143" i="1" s="1"/>
  <c r="CB143" i="1" s="1"/>
  <c r="CC143" i="1" s="1"/>
  <c r="L42" i="1"/>
  <c r="S42" i="1"/>
  <c r="AI42" i="1"/>
  <c r="L43" i="1"/>
  <c r="S43" i="1"/>
  <c r="AI43" i="1"/>
  <c r="BY22" i="1"/>
  <c r="BY142" i="1"/>
  <c r="CB142" i="1" s="1"/>
  <c r="CC142" i="1" s="1"/>
  <c r="BX142" i="1"/>
  <c r="BX121" i="1"/>
  <c r="BY121" i="1" s="1"/>
  <c r="CB121" i="1" s="1"/>
  <c r="BD294" i="1"/>
  <c r="BP50" i="1"/>
  <c r="BX140" i="1"/>
  <c r="BY140" i="1" s="1"/>
  <c r="CB140" i="1" s="1"/>
  <c r="CC140" i="1" s="1"/>
  <c r="BD292" i="1"/>
  <c r="BY28" i="1"/>
  <c r="CB28" i="1" s="1"/>
  <c r="CA28" i="1"/>
  <c r="BX124" i="1"/>
  <c r="BY124" i="1" s="1"/>
  <c r="CB124" i="1" s="1"/>
  <c r="H43" i="1"/>
  <c r="O43" i="1" s="1"/>
  <c r="T43" i="1"/>
  <c r="BD163" i="1"/>
  <c r="BX120" i="1"/>
  <c r="BY120" i="1" s="1"/>
  <c r="CB120" i="1" s="1"/>
  <c r="BD144" i="1"/>
  <c r="BD166" i="1"/>
  <c r="CA91" i="1"/>
  <c r="BP91" i="1"/>
  <c r="BD91" i="1"/>
  <c r="BS91" i="1"/>
  <c r="BP49" i="1"/>
  <c r="BD49" i="1"/>
  <c r="BD295" i="1"/>
  <c r="BY26" i="1"/>
  <c r="CB26" i="1" s="1"/>
  <c r="CA26" i="1"/>
  <c r="BP97" i="1"/>
  <c r="CA97" i="1"/>
  <c r="BD97" i="1"/>
  <c r="BS97" i="1"/>
  <c r="BX91" i="1"/>
  <c r="BY91" i="1" s="1"/>
  <c r="CB91" i="1" s="1"/>
  <c r="CC91" i="1" s="1"/>
  <c r="CA99" i="1"/>
  <c r="BP99" i="1"/>
  <c r="BD99" i="1"/>
  <c r="BS99" i="1"/>
  <c r="CA102" i="1"/>
  <c r="CB102" i="1" s="1"/>
  <c r="CC102" i="1" s="1"/>
  <c r="BP102" i="1"/>
  <c r="BD102" i="1"/>
  <c r="BS102" i="1"/>
  <c r="BP48" i="1"/>
  <c r="CA90" i="1"/>
  <c r="CB90" i="1" s="1"/>
  <c r="CC90" i="1" s="1"/>
  <c r="BP90" i="1"/>
  <c r="BD90" i="1"/>
  <c r="BS90" i="1"/>
  <c r="BX122" i="1"/>
  <c r="BY122" i="1" s="1"/>
  <c r="CB122" i="1" s="1"/>
  <c r="BD162" i="1"/>
  <c r="BD160" i="1"/>
  <c r="BD297" i="1"/>
  <c r="CA92" i="1"/>
  <c r="BP92" i="1"/>
  <c r="BD92" i="1"/>
  <c r="BS92" i="1"/>
  <c r="BX92" i="1"/>
  <c r="BY92" i="1" s="1"/>
  <c r="BP101" i="1"/>
  <c r="CA101" i="1"/>
  <c r="CB101" i="1" s="1"/>
  <c r="CC101" i="1" s="1"/>
  <c r="BD101" i="1"/>
  <c r="BS101" i="1"/>
  <c r="CD89" i="1"/>
  <c r="CD88" i="1"/>
  <c r="BD159" i="1"/>
  <c r="BY27" i="1"/>
  <c r="CB105" i="1"/>
  <c r="CC105" i="1" s="1"/>
  <c r="CB95" i="1"/>
  <c r="CC95" i="1" s="1"/>
  <c r="CB97" i="1"/>
  <c r="CC97" i="1" s="1"/>
  <c r="BT42" i="1"/>
  <c r="BD42" i="1"/>
  <c r="CB92" i="1"/>
  <c r="CC92" i="1" s="1"/>
  <c r="BT43" i="1"/>
  <c r="BD43" i="1"/>
  <c r="BY29" i="1"/>
  <c r="CB29" i="1" s="1"/>
  <c r="BY30" i="1"/>
  <c r="CB30" i="1" s="1"/>
  <c r="CB141" i="1"/>
  <c r="CC141" i="1" s="1"/>
  <c r="CB22" i="1"/>
  <c r="CB123" i="1"/>
  <c r="CB27" i="1"/>
  <c r="CB125" i="1"/>
  <c r="CB21" i="1"/>
  <c r="BR49" i="1"/>
  <c r="BY23" i="1"/>
  <c r="BV82" i="1"/>
  <c r="CA82" i="1" s="1"/>
  <c r="BV50" i="1"/>
  <c r="CA50" i="1" s="1"/>
  <c r="BV81" i="1"/>
  <c r="CA81" i="1" s="1"/>
  <c r="BV86" i="1"/>
  <c r="CA86" i="1" s="1"/>
  <c r="BR48" i="1"/>
  <c r="BV80" i="1"/>
  <c r="CA80" i="1" s="1"/>
  <c r="BV83" i="1"/>
  <c r="CA83" i="1" s="1"/>
  <c r="BV85" i="1"/>
  <c r="CA85" i="1" s="1"/>
  <c r="BV49" i="1"/>
  <c r="CA49" i="1" s="1"/>
  <c r="BV48" i="1"/>
  <c r="CA48" i="1" s="1"/>
  <c r="BV87" i="1"/>
  <c r="CA87" i="1" s="1"/>
  <c r="BV84" i="1"/>
  <c r="CA84" i="1" s="1"/>
  <c r="BY24" i="1"/>
  <c r="BY25" i="1"/>
  <c r="BR50" i="1"/>
  <c r="M42" i="1"/>
  <c r="H42" i="1"/>
  <c r="O42" i="1" s="1"/>
  <c r="Q42" i="1"/>
  <c r="BB43" i="1" s="1"/>
  <c r="AN43" i="1"/>
  <c r="M43" i="1"/>
  <c r="J42" i="1"/>
  <c r="P42" i="1"/>
  <c r="J43" i="1"/>
  <c r="Q43" i="1"/>
  <c r="AN42" i="1"/>
  <c r="P43" i="1"/>
  <c r="CD142" i="1" l="1"/>
  <c r="CD141" i="1"/>
  <c r="CD143" i="1"/>
  <c r="CD140" i="1"/>
  <c r="BY83" i="1"/>
  <c r="CB83" i="1" s="1"/>
  <c r="CC83" i="1" s="1"/>
  <c r="CB25" i="1"/>
  <c r="CB23" i="1"/>
  <c r="CB24" i="1"/>
  <c r="BY82" i="1"/>
  <c r="BY80" i="1"/>
  <c r="BY85" i="1"/>
  <c r="BY86" i="1"/>
  <c r="BY84" i="1"/>
  <c r="BY50" i="1"/>
  <c r="BY81" i="1"/>
  <c r="BY49" i="1"/>
  <c r="BY87" i="1"/>
  <c r="BY48" i="1"/>
  <c r="AP42" i="1"/>
  <c r="BR42" i="1" s="1"/>
  <c r="N42" i="1"/>
  <c r="BW42" i="1" s="1"/>
  <c r="BX42" i="1" s="1"/>
  <c r="AP43" i="1"/>
  <c r="BR43" i="1" s="1"/>
  <c r="N43" i="1"/>
  <c r="BW43" i="1" s="1"/>
  <c r="BX43" i="1" s="1"/>
  <c r="BB42" i="1"/>
  <c r="BE42" i="1" s="1"/>
  <c r="R42" i="1"/>
  <c r="BS42" i="1" s="1"/>
  <c r="R43" i="1"/>
  <c r="BS43" i="1" s="1"/>
  <c r="BE43" i="1"/>
  <c r="F56" i="25"/>
  <c r="G56" i="25" s="1"/>
  <c r="H56" i="25" s="1"/>
  <c r="H54" i="25"/>
  <c r="BP42" i="1" l="1"/>
  <c r="BP43" i="1"/>
  <c r="CD83" i="1"/>
  <c r="CB48" i="1"/>
  <c r="CC48" i="1" s="1"/>
  <c r="CB81" i="1"/>
  <c r="CC81" i="1" s="1"/>
  <c r="CB85" i="1"/>
  <c r="CC85" i="1" s="1"/>
  <c r="CB86" i="1"/>
  <c r="CC86" i="1" s="1"/>
  <c r="CB87" i="1"/>
  <c r="CC87" i="1" s="1"/>
  <c r="CB50" i="1"/>
  <c r="CC50" i="1" s="1"/>
  <c r="CB80" i="1"/>
  <c r="CC80" i="1" s="1"/>
  <c r="CB49" i="1"/>
  <c r="CC49" i="1" s="1"/>
  <c r="CB84" i="1"/>
  <c r="CC84" i="1" s="1"/>
  <c r="CB82" i="1"/>
  <c r="CC82" i="1" s="1"/>
  <c r="BV43" i="1"/>
  <c r="CA43" i="1" s="1"/>
  <c r="BV42" i="1"/>
  <c r="CA42" i="1" s="1"/>
  <c r="AG89" i="14"/>
  <c r="G51" i="25"/>
  <c r="H51" i="25" s="1"/>
  <c r="CD50" i="1" l="1"/>
  <c r="CD87" i="1"/>
  <c r="CD48" i="1"/>
  <c r="CD82" i="1"/>
  <c r="CD84" i="1"/>
  <c r="CD86" i="1"/>
  <c r="CD81" i="1"/>
  <c r="CD49" i="1"/>
  <c r="CD80" i="1"/>
  <c r="CD85" i="1"/>
  <c r="BY43" i="1"/>
  <c r="CB43" i="1" s="1"/>
  <c r="CC43" i="1" s="1"/>
  <c r="BY42" i="1"/>
  <c r="CB42" i="1" s="1"/>
  <c r="CC42" i="1" s="1"/>
  <c r="AW46" i="1"/>
  <c r="AW44" i="1"/>
  <c r="AS47" i="1"/>
  <c r="AW47" i="1" s="1"/>
  <c r="AS45" i="1"/>
  <c r="AW45" i="1" s="1"/>
  <c r="AS158" i="1"/>
  <c r="AW158" i="1" s="1"/>
  <c r="AS157" i="1"/>
  <c r="AW157" i="1" s="1"/>
  <c r="AS156" i="1"/>
  <c r="AW156" i="1" s="1"/>
  <c r="AS155" i="1"/>
  <c r="AW155" i="1" s="1"/>
  <c r="AS116" i="1"/>
  <c r="AW116" i="1" s="1"/>
  <c r="AW117" i="1"/>
  <c r="AU133" i="1"/>
  <c r="AW133" i="1" s="1"/>
  <c r="AU134" i="1"/>
  <c r="AW134" i="1" s="1"/>
  <c r="AU135" i="1"/>
  <c r="AW135" i="1" s="1"/>
  <c r="AU136" i="1"/>
  <c r="AW136" i="1" s="1"/>
  <c r="AU137" i="1"/>
  <c r="AW137" i="1" s="1"/>
  <c r="AU132" i="1"/>
  <c r="AW132" i="1" s="1"/>
  <c r="AS131" i="1"/>
  <c r="AW131" i="1" s="1"/>
  <c r="AS130" i="1"/>
  <c r="AW130" i="1" s="1"/>
  <c r="AS129" i="1"/>
  <c r="AW129" i="1" s="1"/>
  <c r="AS128" i="1"/>
  <c r="AW128" i="1" s="1"/>
  <c r="AS127" i="1"/>
  <c r="AW127" i="1" s="1"/>
  <c r="AS126" i="1"/>
  <c r="AW126" i="1" s="1"/>
  <c r="AS164" i="1"/>
  <c r="AW164" i="1" s="1"/>
  <c r="AS162" i="1"/>
  <c r="AW162" i="1" s="1"/>
  <c r="AS159" i="1"/>
  <c r="AW159" i="1" s="1"/>
  <c r="AS148" i="1"/>
  <c r="AW148" i="1" s="1"/>
  <c r="AS147" i="1"/>
  <c r="AW147" i="1" s="1"/>
  <c r="AS146" i="1"/>
  <c r="AW146" i="1" s="1"/>
  <c r="AS145" i="1"/>
  <c r="AW145" i="1" s="1"/>
  <c r="AS144" i="1"/>
  <c r="AW144" i="1" s="1"/>
  <c r="AW16" i="1"/>
  <c r="AW15" i="1"/>
  <c r="AW14" i="1"/>
  <c r="AW10" i="1"/>
  <c r="AW9" i="1"/>
  <c r="AS20" i="1"/>
  <c r="AW20" i="1" s="1"/>
  <c r="AS19" i="1"/>
  <c r="AW19" i="1" s="1"/>
  <c r="AS18" i="1"/>
  <c r="AW18" i="1" s="1"/>
  <c r="AS17" i="1"/>
  <c r="AW17" i="1" s="1"/>
  <c r="AS13" i="1"/>
  <c r="AW13" i="1" s="1"/>
  <c r="AS12" i="1"/>
  <c r="AW12" i="1" s="1"/>
  <c r="AS11" i="1"/>
  <c r="AW11" i="1" s="1"/>
  <c r="AW106" i="1"/>
  <c r="AU114" i="1"/>
  <c r="AU113" i="1"/>
  <c r="AU108" i="1"/>
  <c r="AW108" i="1" s="1"/>
  <c r="AS109" i="1"/>
  <c r="AW109" i="1" s="1"/>
  <c r="AS110" i="1"/>
  <c r="AW110" i="1" s="1"/>
  <c r="AS111" i="1"/>
  <c r="AW111" i="1" s="1"/>
  <c r="AS112" i="1"/>
  <c r="AW112" i="1" s="1"/>
  <c r="AS113" i="1"/>
  <c r="AS114" i="1"/>
  <c r="AS115" i="1"/>
  <c r="AW115" i="1" s="1"/>
  <c r="AU107" i="1"/>
  <c r="AW107" i="1" s="1"/>
  <c r="AW168" i="1"/>
  <c r="BZ168" i="1" s="1"/>
  <c r="AW169" i="1"/>
  <c r="BZ169" i="1" s="1"/>
  <c r="AW170" i="1"/>
  <c r="BZ170" i="1" s="1"/>
  <c r="AW171" i="1"/>
  <c r="BZ171" i="1" s="1"/>
  <c r="AW167" i="1"/>
  <c r="BZ167" i="1" s="1"/>
  <c r="AW52" i="1"/>
  <c r="AW53" i="1"/>
  <c r="AW54" i="1"/>
  <c r="AW55" i="1"/>
  <c r="AW56" i="1"/>
  <c r="AW57" i="1"/>
  <c r="BZ57" i="1" s="1"/>
  <c r="AW58" i="1"/>
  <c r="BZ58" i="1" s="1"/>
  <c r="AW59" i="1"/>
  <c r="AW60" i="1"/>
  <c r="AW61" i="1"/>
  <c r="AW62" i="1"/>
  <c r="AW63" i="1"/>
  <c r="AW64" i="1"/>
  <c r="AW65" i="1"/>
  <c r="BZ65" i="1" s="1"/>
  <c r="AW66" i="1"/>
  <c r="AW67" i="1"/>
  <c r="AW68" i="1"/>
  <c r="AW69" i="1"/>
  <c r="AW70" i="1"/>
  <c r="BZ70" i="1" s="1"/>
  <c r="AW71" i="1"/>
  <c r="BZ71" i="1" s="1"/>
  <c r="AW72" i="1"/>
  <c r="AW73" i="1"/>
  <c r="AW74" i="1"/>
  <c r="AW75" i="1"/>
  <c r="AW76" i="1"/>
  <c r="AW77" i="1"/>
  <c r="AW78" i="1"/>
  <c r="AW79" i="1"/>
  <c r="AW51" i="1"/>
  <c r="P157" i="1"/>
  <c r="BN157" i="1" s="1"/>
  <c r="AW114" i="1" l="1"/>
  <c r="AW113" i="1"/>
  <c r="P46" i="1"/>
  <c r="O156" i="1" l="1"/>
  <c r="N156" i="1" s="1"/>
  <c r="BP156" i="1" s="1"/>
  <c r="O157" i="1"/>
  <c r="N157" i="1" s="1"/>
  <c r="BP157" i="1" s="1"/>
  <c r="O158" i="1"/>
  <c r="N158" i="1" s="1"/>
  <c r="BP158" i="1" s="1"/>
  <c r="O138" i="1"/>
  <c r="N138" i="1" s="1"/>
  <c r="BP138" i="1" s="1"/>
  <c r="O139" i="1"/>
  <c r="N139" i="1" s="1"/>
  <c r="BP139" i="1" s="1"/>
  <c r="O52" i="1"/>
  <c r="N52" i="1" s="1"/>
  <c r="BW52" i="1" s="1"/>
  <c r="O53" i="1"/>
  <c r="N53" i="1" s="1"/>
  <c r="BW53" i="1" s="1"/>
  <c r="O54" i="1"/>
  <c r="N54" i="1" s="1"/>
  <c r="BW54" i="1" s="1"/>
  <c r="O55" i="1"/>
  <c r="N55" i="1" s="1"/>
  <c r="BW55" i="1" s="1"/>
  <c r="O57" i="1"/>
  <c r="N57" i="1" s="1"/>
  <c r="BW57" i="1" s="1"/>
  <c r="O58" i="1"/>
  <c r="N58" i="1" s="1"/>
  <c r="BW58" i="1" s="1"/>
  <c r="O59" i="1"/>
  <c r="N59" i="1" s="1"/>
  <c r="BW59" i="1" s="1"/>
  <c r="O62" i="1"/>
  <c r="N62" i="1" s="1"/>
  <c r="BW62" i="1" s="1"/>
  <c r="O63" i="1"/>
  <c r="N63" i="1" s="1"/>
  <c r="BW63" i="1" s="1"/>
  <c r="O64" i="1"/>
  <c r="N64" i="1" s="1"/>
  <c r="BW64" i="1" s="1"/>
  <c r="O65" i="1"/>
  <c r="N65" i="1" s="1"/>
  <c r="BW65" i="1" s="1"/>
  <c r="O66" i="1"/>
  <c r="N66" i="1" s="1"/>
  <c r="BW66" i="1" s="1"/>
  <c r="O67" i="1"/>
  <c r="N67" i="1" s="1"/>
  <c r="BW67" i="1" s="1"/>
  <c r="O70" i="1"/>
  <c r="N70" i="1" s="1"/>
  <c r="BW70" i="1" s="1"/>
  <c r="O71" i="1"/>
  <c r="N71" i="1" s="1"/>
  <c r="BW71" i="1" s="1"/>
  <c r="O72" i="1"/>
  <c r="N72" i="1" s="1"/>
  <c r="BW72" i="1" s="1"/>
  <c r="O73" i="1"/>
  <c r="N73" i="1" s="1"/>
  <c r="BW73" i="1" s="1"/>
  <c r="O74" i="1"/>
  <c r="N74" i="1" s="1"/>
  <c r="BW74" i="1" s="1"/>
  <c r="O75" i="1"/>
  <c r="N75" i="1" s="1"/>
  <c r="BW75" i="1" s="1"/>
  <c r="O77" i="1"/>
  <c r="N77" i="1" s="1"/>
  <c r="BW77" i="1" s="1"/>
  <c r="O78" i="1"/>
  <c r="N78" i="1" s="1"/>
  <c r="BW78" i="1" s="1"/>
  <c r="O79" i="1"/>
  <c r="N79" i="1" s="1"/>
  <c r="BW79" i="1" s="1"/>
  <c r="O172" i="1"/>
  <c r="N172" i="1" s="1"/>
  <c r="O173" i="1"/>
  <c r="N173" i="1" s="1"/>
  <c r="O174" i="1"/>
  <c r="N174" i="1" s="1"/>
  <c r="O175" i="1"/>
  <c r="N175" i="1" s="1"/>
  <c r="O177" i="1"/>
  <c r="N177" i="1" s="1"/>
  <c r="O178" i="1"/>
  <c r="N178" i="1" s="1"/>
  <c r="O179" i="1"/>
  <c r="N179" i="1" s="1"/>
  <c r="O180" i="1"/>
  <c r="N180" i="1" s="1"/>
  <c r="O181" i="1"/>
  <c r="O182" i="1"/>
  <c r="O183" i="1"/>
  <c r="O184" i="1"/>
  <c r="O185" i="1"/>
  <c r="O186" i="1"/>
  <c r="O187" i="1"/>
  <c r="N187" i="1" s="1"/>
  <c r="O190" i="1"/>
  <c r="N190" i="1" s="1"/>
  <c r="O191" i="1"/>
  <c r="N191" i="1" s="1"/>
  <c r="O192" i="1"/>
  <c r="N192" i="1" s="1"/>
  <c r="O193" i="1"/>
  <c r="N193" i="1" s="1"/>
  <c r="O194" i="1"/>
  <c r="N194" i="1" s="1"/>
  <c r="O195" i="1"/>
  <c r="N195" i="1" s="1"/>
  <c r="O198" i="1"/>
  <c r="N198" i="1" s="1"/>
  <c r="O199" i="1"/>
  <c r="O200" i="1"/>
  <c r="O201" i="1"/>
  <c r="O202" i="1"/>
  <c r="O203" i="1"/>
  <c r="O205" i="1"/>
  <c r="N205" i="1" s="1"/>
  <c r="O206" i="1"/>
  <c r="N206" i="1" s="1"/>
  <c r="O207" i="1"/>
  <c r="N207" i="1" s="1"/>
  <c r="O208" i="1"/>
  <c r="N208" i="1" s="1"/>
  <c r="O209" i="1"/>
  <c r="N209" i="1" s="1"/>
  <c r="O210" i="1"/>
  <c r="N210" i="1" s="1"/>
  <c r="O211" i="1"/>
  <c r="N211" i="1" s="1"/>
  <c r="O213" i="1"/>
  <c r="N213" i="1" s="1"/>
  <c r="O214" i="1"/>
  <c r="N214" i="1" s="1"/>
  <c r="O215" i="1"/>
  <c r="N215" i="1" s="1"/>
  <c r="O218" i="1"/>
  <c r="O219" i="1"/>
  <c r="O220" i="1"/>
  <c r="O221" i="1"/>
  <c r="O222" i="1"/>
  <c r="O223" i="1"/>
  <c r="N223" i="1" s="1"/>
  <c r="O226" i="1"/>
  <c r="N226" i="1" s="1"/>
  <c r="O227" i="1"/>
  <c r="N227" i="1" s="1"/>
  <c r="O228" i="1"/>
  <c r="N228" i="1" s="1"/>
  <c r="O229" i="1"/>
  <c r="N229" i="1" s="1"/>
  <c r="O230" i="1"/>
  <c r="N230" i="1" s="1"/>
  <c r="O231" i="1"/>
  <c r="N231" i="1" s="1"/>
  <c r="O233" i="1"/>
  <c r="N233" i="1" s="1"/>
  <c r="O234" i="1"/>
  <c r="N234" i="1" s="1"/>
  <c r="O235" i="1"/>
  <c r="N235" i="1" s="1"/>
  <c r="O236" i="1"/>
  <c r="N236" i="1" s="1"/>
  <c r="O237" i="1"/>
  <c r="N237" i="1" s="1"/>
  <c r="O167" i="1"/>
  <c r="N167" i="1" s="1"/>
  <c r="O168" i="1"/>
  <c r="N168" i="1" s="1"/>
  <c r="O170" i="1"/>
  <c r="N170" i="1" s="1"/>
  <c r="O171" i="1"/>
  <c r="N171" i="1" s="1"/>
  <c r="O292" i="1"/>
  <c r="N292" i="1" s="1"/>
  <c r="O293" i="1"/>
  <c r="N293" i="1" s="1"/>
  <c r="O294" i="1"/>
  <c r="N294" i="1" s="1"/>
  <c r="O296" i="1"/>
  <c r="N296" i="1" s="1"/>
  <c r="O297" i="1"/>
  <c r="N297" i="1" s="1"/>
  <c r="O298" i="1"/>
  <c r="N298" i="1" s="1"/>
  <c r="O300" i="1"/>
  <c r="N300" i="1" s="1"/>
  <c r="O144" i="1"/>
  <c r="N144" i="1" s="1"/>
  <c r="BP144" i="1" s="1"/>
  <c r="O145" i="1"/>
  <c r="N145" i="1" s="1"/>
  <c r="BP145" i="1" s="1"/>
  <c r="O147" i="1"/>
  <c r="N147" i="1" s="1"/>
  <c r="BP147" i="1" s="1"/>
  <c r="O148" i="1"/>
  <c r="N148" i="1" s="1"/>
  <c r="BP148" i="1" s="1"/>
  <c r="O159" i="1"/>
  <c r="N159" i="1" s="1"/>
  <c r="BP159" i="1" s="1"/>
  <c r="O160" i="1"/>
  <c r="N160" i="1" s="1"/>
  <c r="BP160" i="1" s="1"/>
  <c r="O161" i="1"/>
  <c r="N161" i="1" s="1"/>
  <c r="BP161" i="1" s="1"/>
  <c r="O162" i="1"/>
  <c r="N162" i="1" s="1"/>
  <c r="BP162" i="1" s="1"/>
  <c r="O163" i="1"/>
  <c r="N163" i="1" s="1"/>
  <c r="BP163" i="1" s="1"/>
  <c r="O164" i="1"/>
  <c r="N164" i="1" s="1"/>
  <c r="BP164" i="1" s="1"/>
  <c r="O166" i="1"/>
  <c r="N166" i="1" s="1"/>
  <c r="BP166" i="1" s="1"/>
  <c r="O126" i="1"/>
  <c r="N126" i="1" s="1"/>
  <c r="BP126" i="1" s="1"/>
  <c r="O127" i="1"/>
  <c r="N127" i="1" s="1"/>
  <c r="BP127" i="1" s="1"/>
  <c r="O128" i="1"/>
  <c r="N128" i="1" s="1"/>
  <c r="BP128" i="1" s="1"/>
  <c r="O129" i="1"/>
  <c r="N129" i="1" s="1"/>
  <c r="BP129" i="1" s="1"/>
  <c r="O130" i="1"/>
  <c r="N130" i="1" s="1"/>
  <c r="BP130" i="1" s="1"/>
  <c r="O131" i="1"/>
  <c r="N131" i="1" s="1"/>
  <c r="BP131" i="1" s="1"/>
  <c r="O132" i="1"/>
  <c r="N132" i="1" s="1"/>
  <c r="BP132" i="1" s="1"/>
  <c r="O133" i="1"/>
  <c r="N133" i="1" s="1"/>
  <c r="BP133" i="1" s="1"/>
  <c r="O134" i="1"/>
  <c r="N134" i="1" s="1"/>
  <c r="BP134" i="1" s="1"/>
  <c r="O135" i="1"/>
  <c r="N135" i="1" s="1"/>
  <c r="BP135" i="1" s="1"/>
  <c r="O51" i="1"/>
  <c r="N51" i="1" s="1"/>
  <c r="O56" i="1"/>
  <c r="N56" i="1" s="1"/>
  <c r="BW56" i="1" s="1"/>
  <c r="O60" i="1"/>
  <c r="N60" i="1" s="1"/>
  <c r="BW60" i="1" s="1"/>
  <c r="O61" i="1"/>
  <c r="N61" i="1" s="1"/>
  <c r="BW61" i="1" s="1"/>
  <c r="O68" i="1"/>
  <c r="N68" i="1" s="1"/>
  <c r="BW68" i="1" s="1"/>
  <c r="O69" i="1"/>
  <c r="N69" i="1" s="1"/>
  <c r="BW69" i="1" s="1"/>
  <c r="O76" i="1"/>
  <c r="N76" i="1" s="1"/>
  <c r="BW76" i="1" s="1"/>
  <c r="O176" i="1"/>
  <c r="N176" i="1" s="1"/>
  <c r="O188" i="1"/>
  <c r="N188" i="1" s="1"/>
  <c r="O189" i="1"/>
  <c r="N189" i="1" s="1"/>
  <c r="O196" i="1"/>
  <c r="N196" i="1" s="1"/>
  <c r="O197" i="1"/>
  <c r="N197" i="1" s="1"/>
  <c r="O204" i="1"/>
  <c r="O212" i="1"/>
  <c r="N212" i="1" s="1"/>
  <c r="O216" i="1"/>
  <c r="N216" i="1" s="1"/>
  <c r="O217" i="1"/>
  <c r="O224" i="1"/>
  <c r="N224" i="1" s="1"/>
  <c r="O225" i="1"/>
  <c r="N225" i="1" s="1"/>
  <c r="O232" i="1"/>
  <c r="N232" i="1" s="1"/>
  <c r="O169" i="1"/>
  <c r="N169" i="1" s="1"/>
  <c r="O291" i="1"/>
  <c r="N291" i="1" s="1"/>
  <c r="O295" i="1"/>
  <c r="N295" i="1" s="1"/>
  <c r="O299" i="1"/>
  <c r="N299" i="1" s="1"/>
  <c r="O146" i="1"/>
  <c r="N146" i="1" s="1"/>
  <c r="BP146" i="1" s="1"/>
  <c r="O165" i="1"/>
  <c r="N165" i="1" s="1"/>
  <c r="BP165" i="1" s="1"/>
  <c r="O136" i="1"/>
  <c r="N136" i="1" s="1"/>
  <c r="BP136" i="1" s="1"/>
  <c r="O137" i="1"/>
  <c r="N137" i="1" s="1"/>
  <c r="BP137" i="1" s="1"/>
  <c r="M52" i="1"/>
  <c r="M53" i="1"/>
  <c r="M54" i="1"/>
  <c r="M55" i="1"/>
  <c r="M56" i="1"/>
  <c r="M57" i="1"/>
  <c r="M58" i="1"/>
  <c r="M59" i="1"/>
  <c r="M60" i="1"/>
  <c r="M61" i="1"/>
  <c r="M62" i="1"/>
  <c r="M63" i="1"/>
  <c r="M64" i="1"/>
  <c r="M65" i="1"/>
  <c r="M66" i="1"/>
  <c r="M67" i="1"/>
  <c r="M68" i="1"/>
  <c r="M69" i="1"/>
  <c r="M70" i="1"/>
  <c r="M71" i="1"/>
  <c r="M72" i="1"/>
  <c r="M73" i="1"/>
  <c r="M74" i="1"/>
  <c r="M75" i="1"/>
  <c r="M76" i="1"/>
  <c r="M77" i="1"/>
  <c r="M78" i="1"/>
  <c r="M79" i="1"/>
  <c r="M172" i="1"/>
  <c r="M173" i="1"/>
  <c r="M174" i="1"/>
  <c r="M175" i="1"/>
  <c r="M176" i="1"/>
  <c r="M177" i="1"/>
  <c r="M178" i="1"/>
  <c r="M179" i="1"/>
  <c r="M180" i="1"/>
  <c r="M181" i="1"/>
  <c r="M182" i="1"/>
  <c r="M183" i="1"/>
  <c r="M184" i="1"/>
  <c r="M185" i="1"/>
  <c r="M186" i="1"/>
  <c r="M187" i="1"/>
  <c r="M188" i="1"/>
  <c r="M189" i="1"/>
  <c r="M190" i="1"/>
  <c r="M191" i="1"/>
  <c r="M192" i="1"/>
  <c r="M193" i="1"/>
  <c r="M194" i="1"/>
  <c r="M195" i="1"/>
  <c r="M196" i="1"/>
  <c r="M197" i="1"/>
  <c r="M198" i="1"/>
  <c r="M199" i="1"/>
  <c r="M200" i="1"/>
  <c r="M201" i="1"/>
  <c r="M202" i="1"/>
  <c r="M203" i="1"/>
  <c r="M204" i="1"/>
  <c r="M205" i="1"/>
  <c r="M206" i="1"/>
  <c r="M207" i="1"/>
  <c r="M208" i="1"/>
  <c r="M209" i="1"/>
  <c r="M210" i="1"/>
  <c r="M211" i="1"/>
  <c r="M212" i="1"/>
  <c r="M213" i="1"/>
  <c r="M214" i="1"/>
  <c r="M215" i="1"/>
  <c r="M216" i="1"/>
  <c r="M217" i="1"/>
  <c r="M218" i="1"/>
  <c r="M219" i="1"/>
  <c r="M220" i="1"/>
  <c r="M221" i="1"/>
  <c r="M222" i="1"/>
  <c r="M223" i="1"/>
  <c r="M224" i="1"/>
  <c r="M225" i="1"/>
  <c r="M226" i="1"/>
  <c r="M227" i="1"/>
  <c r="M228" i="1"/>
  <c r="M229" i="1"/>
  <c r="M230" i="1"/>
  <c r="M231" i="1"/>
  <c r="M232" i="1"/>
  <c r="M233" i="1"/>
  <c r="M234" i="1"/>
  <c r="M235" i="1"/>
  <c r="M236" i="1"/>
  <c r="M237" i="1"/>
  <c r="M167" i="1"/>
  <c r="M168" i="1"/>
  <c r="M169" i="1"/>
  <c r="M170" i="1"/>
  <c r="M171" i="1"/>
  <c r="M291" i="1"/>
  <c r="M292" i="1"/>
  <c r="M293" i="1"/>
  <c r="M294" i="1"/>
  <c r="M295" i="1"/>
  <c r="M296" i="1"/>
  <c r="M297" i="1"/>
  <c r="M298" i="1"/>
  <c r="M299" i="1"/>
  <c r="M300" i="1"/>
  <c r="M144" i="1"/>
  <c r="M145" i="1"/>
  <c r="M146" i="1"/>
  <c r="M147" i="1"/>
  <c r="M148" i="1"/>
  <c r="M159" i="1"/>
  <c r="M160" i="1"/>
  <c r="M161" i="1"/>
  <c r="M162" i="1"/>
  <c r="M163" i="1"/>
  <c r="M164" i="1"/>
  <c r="M165" i="1"/>
  <c r="M166" i="1"/>
  <c r="M126" i="1"/>
  <c r="M127" i="1"/>
  <c r="M128" i="1"/>
  <c r="M129" i="1"/>
  <c r="M130" i="1"/>
  <c r="M131" i="1"/>
  <c r="M132" i="1"/>
  <c r="M133" i="1"/>
  <c r="M134" i="1"/>
  <c r="M135" i="1"/>
  <c r="M136" i="1"/>
  <c r="M137" i="1"/>
  <c r="M155" i="1"/>
  <c r="M156" i="1"/>
  <c r="M157" i="1"/>
  <c r="M158" i="1"/>
  <c r="M138" i="1"/>
  <c r="M139" i="1"/>
  <c r="M51" i="1"/>
  <c r="O155" i="1"/>
  <c r="N155" i="1" s="1"/>
  <c r="BP155" i="1" s="1"/>
  <c r="BW206" i="1" l="1"/>
  <c r="BX206" i="1" s="1"/>
  <c r="BP206" i="1"/>
  <c r="BP295" i="1"/>
  <c r="BW212" i="1"/>
  <c r="BX212" i="1" s="1"/>
  <c r="BP212" i="1"/>
  <c r="BP293" i="1"/>
  <c r="BW235" i="1"/>
  <c r="BX235" i="1" s="1"/>
  <c r="BP235" i="1"/>
  <c r="BW226" i="1"/>
  <c r="BX226" i="1" s="1"/>
  <c r="BP226" i="1"/>
  <c r="BW214" i="1"/>
  <c r="BX214" i="1" s="1"/>
  <c r="BP214" i="1"/>
  <c r="BW205" i="1"/>
  <c r="BX205" i="1" s="1"/>
  <c r="BP205" i="1"/>
  <c r="BW194" i="1"/>
  <c r="BX194" i="1" s="1"/>
  <c r="BP194" i="1"/>
  <c r="BW175" i="1"/>
  <c r="BX175" i="1" s="1"/>
  <c r="BP175" i="1"/>
  <c r="BW216" i="1"/>
  <c r="BX216" i="1" s="1"/>
  <c r="BP216" i="1"/>
  <c r="BW291" i="1"/>
  <c r="BX291" i="1" s="1"/>
  <c r="BP291" i="1"/>
  <c r="BP292" i="1"/>
  <c r="BW234" i="1"/>
  <c r="BX234" i="1" s="1"/>
  <c r="BP234" i="1"/>
  <c r="BW223" i="1"/>
  <c r="BX223" i="1" s="1"/>
  <c r="BP223" i="1"/>
  <c r="BW213" i="1"/>
  <c r="BX213" i="1" s="1"/>
  <c r="BP213" i="1"/>
  <c r="BW193" i="1"/>
  <c r="BX193" i="1" s="1"/>
  <c r="BP193" i="1"/>
  <c r="BW174" i="1"/>
  <c r="BX174" i="1" s="1"/>
  <c r="BP174" i="1"/>
  <c r="BP294" i="1"/>
  <c r="BW215" i="1"/>
  <c r="BX215" i="1" s="1"/>
  <c r="BP215" i="1"/>
  <c r="BW195" i="1"/>
  <c r="BX195" i="1" s="1"/>
  <c r="BP195" i="1"/>
  <c r="BW169" i="1"/>
  <c r="BX169" i="1" s="1"/>
  <c r="BP169" i="1"/>
  <c r="BW197" i="1"/>
  <c r="BX197" i="1" s="1"/>
  <c r="BP197" i="1"/>
  <c r="BW171" i="1"/>
  <c r="BX171" i="1" s="1"/>
  <c r="BP171" i="1"/>
  <c r="BW233" i="1"/>
  <c r="BX233" i="1" s="1"/>
  <c r="BP233" i="1"/>
  <c r="BW211" i="1"/>
  <c r="BX211" i="1" s="1"/>
  <c r="BP211" i="1"/>
  <c r="BW192" i="1"/>
  <c r="BX192" i="1" s="1"/>
  <c r="BP192" i="1"/>
  <c r="BW173" i="1"/>
  <c r="BX173" i="1" s="1"/>
  <c r="BP173" i="1"/>
  <c r="BP299" i="1"/>
  <c r="BW232" i="1"/>
  <c r="BX232" i="1" s="1"/>
  <c r="BP232" i="1"/>
  <c r="BW196" i="1"/>
  <c r="BX196" i="1" s="1"/>
  <c r="BP196" i="1"/>
  <c r="BP300" i="1"/>
  <c r="BW170" i="1"/>
  <c r="BX170" i="1" s="1"/>
  <c r="BP170" i="1"/>
  <c r="BW231" i="1"/>
  <c r="BX231" i="1" s="1"/>
  <c r="BP231" i="1"/>
  <c r="BW210" i="1"/>
  <c r="BX210" i="1" s="1"/>
  <c r="BP210" i="1"/>
  <c r="BW191" i="1"/>
  <c r="BX191" i="1" s="1"/>
  <c r="BP191" i="1"/>
  <c r="BW172" i="1"/>
  <c r="BX172" i="1" s="1"/>
  <c r="BP172" i="1"/>
  <c r="BW227" i="1"/>
  <c r="BX227" i="1" s="1"/>
  <c r="BP227" i="1"/>
  <c r="BW225" i="1"/>
  <c r="BX225" i="1" s="1"/>
  <c r="BP225" i="1"/>
  <c r="BW189" i="1"/>
  <c r="BX189" i="1" s="1"/>
  <c r="BP189" i="1"/>
  <c r="BP298" i="1"/>
  <c r="BW168" i="1"/>
  <c r="BX168" i="1" s="1"/>
  <c r="BP168" i="1"/>
  <c r="BW230" i="1"/>
  <c r="BX230" i="1" s="1"/>
  <c r="BP230" i="1"/>
  <c r="BW209" i="1"/>
  <c r="BX209" i="1" s="1"/>
  <c r="BP209" i="1"/>
  <c r="BW190" i="1"/>
  <c r="BX190" i="1" s="1"/>
  <c r="BP190" i="1"/>
  <c r="BW180" i="1"/>
  <c r="BX180" i="1" s="1"/>
  <c r="BP180" i="1"/>
  <c r="BW224" i="1"/>
  <c r="BX224" i="1" s="1"/>
  <c r="BP224" i="1"/>
  <c r="BW188" i="1"/>
  <c r="BX188" i="1" s="1"/>
  <c r="BP188" i="1"/>
  <c r="BW51" i="1"/>
  <c r="BX51" i="1" s="1"/>
  <c r="BP51" i="1"/>
  <c r="BP297" i="1"/>
  <c r="BW167" i="1"/>
  <c r="BX167" i="1" s="1"/>
  <c r="BP167" i="1"/>
  <c r="BW229" i="1"/>
  <c r="BX229" i="1" s="1"/>
  <c r="BP229" i="1"/>
  <c r="BW208" i="1"/>
  <c r="BX208" i="1" s="1"/>
  <c r="BP208" i="1"/>
  <c r="BW187" i="1"/>
  <c r="BX187" i="1" s="1"/>
  <c r="BP187" i="1"/>
  <c r="BW179" i="1"/>
  <c r="BX179" i="1" s="1"/>
  <c r="BP179" i="1"/>
  <c r="BW236" i="1"/>
  <c r="BX236" i="1" s="1"/>
  <c r="BP236" i="1"/>
  <c r="BW177" i="1"/>
  <c r="BX177" i="1" s="1"/>
  <c r="BP177" i="1"/>
  <c r="BW176" i="1"/>
  <c r="BX176" i="1" s="1"/>
  <c r="BP176" i="1"/>
  <c r="BP296" i="1"/>
  <c r="BW237" i="1"/>
  <c r="BX237" i="1" s="1"/>
  <c r="BP237" i="1"/>
  <c r="BW228" i="1"/>
  <c r="BX228" i="1" s="1"/>
  <c r="BP228" i="1"/>
  <c r="BW207" i="1"/>
  <c r="BX207" i="1" s="1"/>
  <c r="BP207" i="1"/>
  <c r="BW198" i="1"/>
  <c r="BX198" i="1" s="1"/>
  <c r="BP198" i="1"/>
  <c r="BW178" i="1"/>
  <c r="BX178" i="1" s="1"/>
  <c r="BP178" i="1"/>
  <c r="BY51" i="1"/>
  <c r="N221" i="1"/>
  <c r="AP221" i="1"/>
  <c r="BR221" i="1" s="1"/>
  <c r="N201" i="1"/>
  <c r="AP201" i="1"/>
  <c r="BR201" i="1" s="1"/>
  <c r="N181" i="1"/>
  <c r="AP181" i="1"/>
  <c r="BR181" i="1" s="1"/>
  <c r="N220" i="1"/>
  <c r="AP220" i="1"/>
  <c r="BR220" i="1" s="1"/>
  <c r="N200" i="1"/>
  <c r="AP200" i="1"/>
  <c r="BR200" i="1" s="1"/>
  <c r="N184" i="1"/>
  <c r="AP184" i="1"/>
  <c r="BR184" i="1" s="1"/>
  <c r="N204" i="1"/>
  <c r="AP204" i="1"/>
  <c r="BR204" i="1" s="1"/>
  <c r="N219" i="1"/>
  <c r="AP219" i="1"/>
  <c r="BR219" i="1" s="1"/>
  <c r="N203" i="1"/>
  <c r="AP203" i="1"/>
  <c r="BR203" i="1" s="1"/>
  <c r="N199" i="1"/>
  <c r="AP199" i="1"/>
  <c r="BR199" i="1" s="1"/>
  <c r="N183" i="1"/>
  <c r="AP183" i="1"/>
  <c r="BR183" i="1" s="1"/>
  <c r="N185" i="1"/>
  <c r="AP185" i="1"/>
  <c r="BR185" i="1" s="1"/>
  <c r="N217" i="1"/>
  <c r="AP217" i="1"/>
  <c r="BR217" i="1" s="1"/>
  <c r="N222" i="1"/>
  <c r="AP222" i="1"/>
  <c r="BR222" i="1" s="1"/>
  <c r="N218" i="1"/>
  <c r="AP218" i="1"/>
  <c r="BR218" i="1" s="1"/>
  <c r="N202" i="1"/>
  <c r="AP202" i="1"/>
  <c r="BR202" i="1" s="1"/>
  <c r="N186" i="1"/>
  <c r="AP186" i="1"/>
  <c r="BR186" i="1" s="1"/>
  <c r="N182" i="1"/>
  <c r="AP182" i="1"/>
  <c r="BR182" i="1" s="1"/>
  <c r="L139" i="1"/>
  <c r="L138" i="1"/>
  <c r="L158" i="1"/>
  <c r="L157" i="1"/>
  <c r="L156" i="1"/>
  <c r="L155" i="1"/>
  <c r="L137" i="1"/>
  <c r="L136" i="1"/>
  <c r="L135" i="1"/>
  <c r="L134" i="1"/>
  <c r="L133" i="1"/>
  <c r="L132" i="1"/>
  <c r="L131" i="1"/>
  <c r="L130" i="1"/>
  <c r="L129" i="1"/>
  <c r="L128" i="1"/>
  <c r="L127" i="1"/>
  <c r="L126" i="1"/>
  <c r="L166" i="1"/>
  <c r="L165" i="1"/>
  <c r="L164" i="1"/>
  <c r="L163" i="1"/>
  <c r="L162" i="1"/>
  <c r="L161" i="1"/>
  <c r="L160" i="1"/>
  <c r="L159" i="1"/>
  <c r="L148" i="1"/>
  <c r="L147" i="1"/>
  <c r="L146" i="1"/>
  <c r="L145" i="1"/>
  <c r="L144" i="1"/>
  <c r="L300" i="1"/>
  <c r="BW300" i="1" s="1"/>
  <c r="L299" i="1"/>
  <c r="BW299" i="1" s="1"/>
  <c r="L298" i="1"/>
  <c r="BW298" i="1" s="1"/>
  <c r="L297" i="1"/>
  <c r="BW297" i="1" s="1"/>
  <c r="BX297" i="1" s="1"/>
  <c r="L296" i="1"/>
  <c r="BW296" i="1" s="1"/>
  <c r="L295" i="1"/>
  <c r="BW295" i="1" s="1"/>
  <c r="L294" i="1"/>
  <c r="BW294" i="1" s="1"/>
  <c r="BX294" i="1" s="1"/>
  <c r="L293" i="1"/>
  <c r="BW293" i="1" s="1"/>
  <c r="BX293" i="1" s="1"/>
  <c r="L292" i="1"/>
  <c r="BW292" i="1" s="1"/>
  <c r="BX292" i="1" s="1"/>
  <c r="L291" i="1"/>
  <c r="AL20" i="1"/>
  <c r="AL19" i="1"/>
  <c r="AL12" i="1"/>
  <c r="AL10" i="1"/>
  <c r="BX298" i="1" l="1"/>
  <c r="BX299" i="1"/>
  <c r="BX296" i="1"/>
  <c r="BX300" i="1"/>
  <c r="BX295" i="1"/>
  <c r="BW222" i="1"/>
  <c r="BX222" i="1" s="1"/>
  <c r="BP222" i="1"/>
  <c r="BW184" i="1"/>
  <c r="BX184" i="1" s="1"/>
  <c r="BP184" i="1"/>
  <c r="BW163" i="1"/>
  <c r="BX163" i="1" s="1"/>
  <c r="BW155" i="1"/>
  <c r="BX155" i="1" s="1"/>
  <c r="BW162" i="1"/>
  <c r="BX162" i="1" s="1"/>
  <c r="BZ137" i="1"/>
  <c r="BW199" i="1"/>
  <c r="BX199" i="1" s="1"/>
  <c r="BP199" i="1"/>
  <c r="BW201" i="1"/>
  <c r="BX201" i="1" s="1"/>
  <c r="BP201" i="1"/>
  <c r="BZ145" i="1"/>
  <c r="BZ130" i="1"/>
  <c r="BZ146" i="1"/>
  <c r="BW164" i="1"/>
  <c r="BX164" i="1" s="1"/>
  <c r="BW156" i="1"/>
  <c r="BX156" i="1" s="1"/>
  <c r="BW186" i="1"/>
  <c r="BX186" i="1" s="1"/>
  <c r="BP186" i="1"/>
  <c r="BW217" i="1"/>
  <c r="BX217" i="1" s="1"/>
  <c r="BP217" i="1"/>
  <c r="BW203" i="1"/>
  <c r="BX203" i="1" s="1"/>
  <c r="BP203" i="1"/>
  <c r="BW200" i="1"/>
  <c r="BX200" i="1" s="1"/>
  <c r="BP200" i="1"/>
  <c r="BW221" i="1"/>
  <c r="BX221" i="1" s="1"/>
  <c r="BP221" i="1"/>
  <c r="BZ144" i="1"/>
  <c r="BW182" i="1"/>
  <c r="BX182" i="1" s="1"/>
  <c r="BP182" i="1"/>
  <c r="BW165" i="1"/>
  <c r="BX165" i="1" s="1"/>
  <c r="BW166" i="1"/>
  <c r="BX166" i="1" s="1"/>
  <c r="BW158" i="1"/>
  <c r="BX158" i="1" s="1"/>
  <c r="BW219" i="1"/>
  <c r="BX219" i="1" s="1"/>
  <c r="BP219" i="1"/>
  <c r="BW220" i="1"/>
  <c r="BX220" i="1" s="1"/>
  <c r="BP220" i="1"/>
  <c r="BW159" i="1"/>
  <c r="BX159" i="1" s="1"/>
  <c r="BW202" i="1"/>
  <c r="BX202" i="1" s="1"/>
  <c r="BP202" i="1"/>
  <c r="BW160" i="1"/>
  <c r="BX160" i="1" s="1"/>
  <c r="BW218" i="1"/>
  <c r="BX218" i="1" s="1"/>
  <c r="BP218" i="1"/>
  <c r="BW183" i="1"/>
  <c r="BX183" i="1" s="1"/>
  <c r="BP183" i="1"/>
  <c r="BW204" i="1"/>
  <c r="BX204" i="1" s="1"/>
  <c r="BP204" i="1"/>
  <c r="BW181" i="1"/>
  <c r="BX181" i="1" s="1"/>
  <c r="BP181" i="1"/>
  <c r="BZ133" i="1"/>
  <c r="BW185" i="1"/>
  <c r="BX185" i="1" s="1"/>
  <c r="BP185" i="1"/>
  <c r="BZ134" i="1"/>
  <c r="BW161" i="1"/>
  <c r="BX161" i="1" s="1"/>
  <c r="BW127" i="1"/>
  <c r="BX127" i="1" s="1"/>
  <c r="BZ127" i="1"/>
  <c r="BW147" i="1"/>
  <c r="BX147" i="1" s="1"/>
  <c r="BZ147" i="1"/>
  <c r="BW128" i="1"/>
  <c r="BX128" i="1" s="1"/>
  <c r="BZ128" i="1"/>
  <c r="BW132" i="1"/>
  <c r="BX132" i="1" s="1"/>
  <c r="BZ132" i="1"/>
  <c r="BW136" i="1"/>
  <c r="BX136" i="1" s="1"/>
  <c r="BZ136" i="1"/>
  <c r="BW148" i="1"/>
  <c r="BX148" i="1" s="1"/>
  <c r="BZ148" i="1"/>
  <c r="BW129" i="1"/>
  <c r="BX129" i="1" s="1"/>
  <c r="BZ129" i="1"/>
  <c r="BW126" i="1"/>
  <c r="BX126" i="1" s="1"/>
  <c r="BZ126" i="1"/>
  <c r="BW131" i="1"/>
  <c r="BX131" i="1" s="1"/>
  <c r="BZ131" i="1"/>
  <c r="BW135" i="1"/>
  <c r="BX135" i="1" s="1"/>
  <c r="BZ135" i="1"/>
  <c r="BW146" i="1"/>
  <c r="BX146" i="1" s="1"/>
  <c r="BW137" i="1"/>
  <c r="BX137" i="1" s="1"/>
  <c r="BW139" i="1"/>
  <c r="BX139" i="1" s="1"/>
  <c r="BW145" i="1"/>
  <c r="BX145" i="1" s="1"/>
  <c r="BW138" i="1"/>
  <c r="BX138" i="1" s="1"/>
  <c r="BW157" i="1"/>
  <c r="BX157" i="1" s="1"/>
  <c r="BW134" i="1"/>
  <c r="BX134" i="1" s="1"/>
  <c r="BW133" i="1"/>
  <c r="BX133" i="1" s="1"/>
  <c r="BW144" i="1"/>
  <c r="BX144" i="1" s="1"/>
  <c r="BW130" i="1"/>
  <c r="BX130" i="1" s="1"/>
  <c r="P139" i="1"/>
  <c r="BN139" i="1" s="1"/>
  <c r="P138" i="1"/>
  <c r="BN138" i="1" s="1"/>
  <c r="Q139" i="1"/>
  <c r="Q138" i="1"/>
  <c r="BB139" i="1"/>
  <c r="BB138" i="1"/>
  <c r="AQ139" i="1"/>
  <c r="AQ138" i="1"/>
  <c r="AM139" i="1"/>
  <c r="AN139" i="1" s="1"/>
  <c r="AM138" i="1"/>
  <c r="AN138" i="1" s="1"/>
  <c r="AP139" i="1"/>
  <c r="AP138" i="1"/>
  <c r="J139" i="1"/>
  <c r="J138" i="1"/>
  <c r="P47" i="1"/>
  <c r="P44" i="1"/>
  <c r="P45" i="1"/>
  <c r="AY47" i="1"/>
  <c r="AY45" i="1"/>
  <c r="AQ47" i="1"/>
  <c r="AQ46" i="1"/>
  <c r="AQ45" i="1"/>
  <c r="AM47" i="1"/>
  <c r="AM46" i="1"/>
  <c r="AM45" i="1"/>
  <c r="AO47" i="1"/>
  <c r="AO46" i="1"/>
  <c r="AO45" i="1"/>
  <c r="X45" i="1"/>
  <c r="Y45" i="1" s="1"/>
  <c r="X46" i="1"/>
  <c r="Y46" i="1" s="1"/>
  <c r="X47" i="1"/>
  <c r="Y47" i="1" s="1"/>
  <c r="X44" i="1"/>
  <c r="Y44" i="1" s="1"/>
  <c r="K45" i="1"/>
  <c r="K46" i="1"/>
  <c r="K47" i="1"/>
  <c r="K44" i="1"/>
  <c r="I45" i="1"/>
  <c r="I46" i="1"/>
  <c r="I47" i="1"/>
  <c r="I44" i="1"/>
  <c r="G45" i="1"/>
  <c r="T45" i="1" s="1"/>
  <c r="G46" i="1"/>
  <c r="G47" i="1"/>
  <c r="T47" i="1" s="1"/>
  <c r="G44" i="1"/>
  <c r="BA158" i="1"/>
  <c r="BA157" i="1"/>
  <c r="BA156" i="1"/>
  <c r="BA155" i="1"/>
  <c r="AM158" i="1"/>
  <c r="AN158" i="1" s="1"/>
  <c r="AM157" i="1"/>
  <c r="AN157" i="1" s="1"/>
  <c r="AM156" i="1"/>
  <c r="AN156" i="1" s="1"/>
  <c r="AM155" i="1"/>
  <c r="AN155" i="1" s="1"/>
  <c r="P156" i="1"/>
  <c r="BN156" i="1" s="1"/>
  <c r="BB157" i="1"/>
  <c r="P158" i="1"/>
  <c r="P155" i="1"/>
  <c r="BN155" i="1" s="1"/>
  <c r="Q158" i="1"/>
  <c r="Q157" i="1"/>
  <c r="Q156" i="1"/>
  <c r="Q155" i="1"/>
  <c r="AP158" i="1"/>
  <c r="AP157" i="1"/>
  <c r="AP156" i="1"/>
  <c r="AP155" i="1"/>
  <c r="J158" i="1"/>
  <c r="J157" i="1"/>
  <c r="J156" i="1"/>
  <c r="J155" i="1"/>
  <c r="H44" i="1" l="1"/>
  <c r="T44" i="1"/>
  <c r="L45" i="1"/>
  <c r="S45" i="1"/>
  <c r="AI45" i="1"/>
  <c r="H46" i="1"/>
  <c r="T46" i="1"/>
  <c r="S46" i="1"/>
  <c r="AI46" i="1"/>
  <c r="L44" i="1"/>
  <c r="AN44" i="1" s="1"/>
  <c r="BR44" i="1" s="1"/>
  <c r="S44" i="1"/>
  <c r="AI44" i="1"/>
  <c r="L47" i="1"/>
  <c r="S47" i="1"/>
  <c r="AI47" i="1"/>
  <c r="AX157" i="1"/>
  <c r="AZ157" i="1" s="1"/>
  <c r="BQ157" i="1" s="1"/>
  <c r="BZ157" i="1"/>
  <c r="AX158" i="1"/>
  <c r="AZ158" i="1" s="1"/>
  <c r="BQ158" i="1" s="1"/>
  <c r="BZ158" i="1"/>
  <c r="AX155" i="1"/>
  <c r="AZ155" i="1" s="1"/>
  <c r="BQ155" i="1" s="1"/>
  <c r="BZ155" i="1"/>
  <c r="AX156" i="1"/>
  <c r="AZ156" i="1" s="1"/>
  <c r="BQ156" i="1" s="1"/>
  <c r="BZ156" i="1"/>
  <c r="BR138" i="1"/>
  <c r="BR139" i="1"/>
  <c r="BR155" i="1"/>
  <c r="BB158" i="1"/>
  <c r="BC158" i="1" s="1"/>
  <c r="BD158" i="1" s="1"/>
  <c r="BN158" i="1"/>
  <c r="BR156" i="1"/>
  <c r="BR157" i="1"/>
  <c r="BR158" i="1"/>
  <c r="BA45" i="1"/>
  <c r="H45" i="1"/>
  <c r="O45" i="1" s="1"/>
  <c r="BA47" i="1"/>
  <c r="H47" i="1"/>
  <c r="O47" i="1" s="1"/>
  <c r="Q44" i="1"/>
  <c r="J44" i="1"/>
  <c r="O44" i="1"/>
  <c r="M44" i="1"/>
  <c r="AN47" i="1"/>
  <c r="R157" i="1"/>
  <c r="R156" i="1"/>
  <c r="O46" i="1"/>
  <c r="M46" i="1"/>
  <c r="J46" i="1"/>
  <c r="L46" i="1"/>
  <c r="AN46" i="1" s="1"/>
  <c r="BC157" i="1"/>
  <c r="BD157" i="1" s="1"/>
  <c r="M47" i="1"/>
  <c r="M45" i="1"/>
  <c r="Q45" i="1"/>
  <c r="R45" i="1" s="1"/>
  <c r="AN45" i="1"/>
  <c r="BE139" i="1"/>
  <c r="R138" i="1"/>
  <c r="R139" i="1"/>
  <c r="BE138" i="1"/>
  <c r="BC139" i="1"/>
  <c r="BD139" i="1" s="1"/>
  <c r="BC138" i="1"/>
  <c r="BD138" i="1" s="1"/>
  <c r="R155" i="1"/>
  <c r="J47" i="1"/>
  <c r="J45" i="1"/>
  <c r="Q46" i="1"/>
  <c r="R46" i="1" s="1"/>
  <c r="BS46" i="1" s="1"/>
  <c r="R158" i="1"/>
  <c r="BB156" i="1"/>
  <c r="Q47" i="1"/>
  <c r="R47" i="1" s="1"/>
  <c r="BB155" i="1"/>
  <c r="BC155" i="1" s="1"/>
  <c r="BD155" i="1" s="1"/>
  <c r="AM117" i="1"/>
  <c r="AM116" i="1"/>
  <c r="AQ117" i="1"/>
  <c r="AQ116" i="1"/>
  <c r="BA116" i="1"/>
  <c r="BA117" i="1"/>
  <c r="AO116" i="1"/>
  <c r="K117" i="1"/>
  <c r="K116" i="1"/>
  <c r="BC117" i="1"/>
  <c r="BC116" i="1"/>
  <c r="I117" i="1"/>
  <c r="L117" i="1" s="1"/>
  <c r="G117" i="1"/>
  <c r="H117" i="1" s="1"/>
  <c r="I116" i="1"/>
  <c r="G116" i="1"/>
  <c r="H116" i="1" s="1"/>
  <c r="AV137" i="1"/>
  <c r="AV136" i="1"/>
  <c r="AV135" i="1"/>
  <c r="AV134" i="1"/>
  <c r="AV133" i="1"/>
  <c r="AV132" i="1"/>
  <c r="AZ132" i="1"/>
  <c r="BQ132" i="1" s="1"/>
  <c r="AZ137" i="1"/>
  <c r="BQ137" i="1" s="1"/>
  <c r="AZ135" i="1"/>
  <c r="BQ135" i="1" s="1"/>
  <c r="AZ134" i="1"/>
  <c r="BQ134" i="1" s="1"/>
  <c r="AZ133" i="1"/>
  <c r="BQ133" i="1" s="1"/>
  <c r="AZ136" i="1"/>
  <c r="BQ136" i="1" s="1"/>
  <c r="P137" i="1"/>
  <c r="Q137" i="1"/>
  <c r="BC137" i="1" s="1"/>
  <c r="BD137" i="1" s="1"/>
  <c r="P136" i="1"/>
  <c r="Q136" i="1"/>
  <c r="BC136" i="1" s="1"/>
  <c r="BD136" i="1" s="1"/>
  <c r="P135" i="1"/>
  <c r="BN135" i="1" s="1"/>
  <c r="Q135" i="1"/>
  <c r="BC135" i="1" s="1"/>
  <c r="BD135" i="1" s="1"/>
  <c r="P134" i="1"/>
  <c r="Q134" i="1"/>
  <c r="BC134" i="1" s="1"/>
  <c r="BD134" i="1" s="1"/>
  <c r="P133" i="1"/>
  <c r="BN133" i="1" s="1"/>
  <c r="Q133" i="1"/>
  <c r="BC133" i="1" s="1"/>
  <c r="BD133" i="1" s="1"/>
  <c r="P132" i="1"/>
  <c r="Q132" i="1"/>
  <c r="BC132" i="1" s="1"/>
  <c r="BD132" i="1" s="1"/>
  <c r="AQ137" i="1"/>
  <c r="AL137" i="1"/>
  <c r="AM137" i="1"/>
  <c r="AN137" i="1" s="1"/>
  <c r="AQ136" i="1"/>
  <c r="AL136" i="1"/>
  <c r="AM136" i="1"/>
  <c r="AN136" i="1" s="1"/>
  <c r="AQ135" i="1"/>
  <c r="AL135" i="1"/>
  <c r="AM135" i="1"/>
  <c r="AN135" i="1" s="1"/>
  <c r="AQ134" i="1"/>
  <c r="AL134" i="1"/>
  <c r="AM134" i="1"/>
  <c r="AN134" i="1" s="1"/>
  <c r="AQ133" i="1"/>
  <c r="AL133" i="1"/>
  <c r="AM133" i="1"/>
  <c r="AN133" i="1" s="1"/>
  <c r="AQ132" i="1"/>
  <c r="AL132" i="1"/>
  <c r="AM132" i="1"/>
  <c r="AN132" i="1" s="1"/>
  <c r="AP137" i="1"/>
  <c r="AP136" i="1"/>
  <c r="AP135" i="1"/>
  <c r="AP134" i="1"/>
  <c r="AP133" i="1"/>
  <c r="AP132" i="1"/>
  <c r="AX131" i="1"/>
  <c r="AZ131" i="1" s="1"/>
  <c r="BQ131" i="1" s="1"/>
  <c r="AX130" i="1"/>
  <c r="AZ130" i="1" s="1"/>
  <c r="BQ130" i="1" s="1"/>
  <c r="AX129" i="1"/>
  <c r="AZ129" i="1" s="1"/>
  <c r="BQ129" i="1" s="1"/>
  <c r="AX128" i="1"/>
  <c r="AZ128" i="1" s="1"/>
  <c r="BQ128" i="1" s="1"/>
  <c r="AX127" i="1"/>
  <c r="AZ127" i="1" s="1"/>
  <c r="BQ127" i="1" s="1"/>
  <c r="AX126" i="1"/>
  <c r="AZ126" i="1" s="1"/>
  <c r="BQ126" i="1" s="1"/>
  <c r="AQ127" i="1"/>
  <c r="AQ128" i="1"/>
  <c r="AQ129" i="1"/>
  <c r="AQ130" i="1"/>
  <c r="AQ131" i="1"/>
  <c r="AQ126" i="1"/>
  <c r="AL131" i="1"/>
  <c r="AL130" i="1"/>
  <c r="AL129" i="1"/>
  <c r="AL128" i="1"/>
  <c r="AL127" i="1"/>
  <c r="AM131" i="1"/>
  <c r="AN131" i="1" s="1"/>
  <c r="AM130" i="1"/>
  <c r="AN130" i="1" s="1"/>
  <c r="AM129" i="1"/>
  <c r="AN129" i="1" s="1"/>
  <c r="AM128" i="1"/>
  <c r="AN128" i="1" s="1"/>
  <c r="AM127" i="1"/>
  <c r="AN127" i="1" s="1"/>
  <c r="AL126" i="1"/>
  <c r="AM126" i="1"/>
  <c r="AN126" i="1" s="1"/>
  <c r="P131" i="1"/>
  <c r="P130" i="1"/>
  <c r="P129" i="1"/>
  <c r="P128" i="1"/>
  <c r="P127" i="1"/>
  <c r="P126" i="1"/>
  <c r="Q131" i="1"/>
  <c r="Q130" i="1"/>
  <c r="BC130" i="1" s="1"/>
  <c r="BD130" i="1" s="1"/>
  <c r="Q129" i="1"/>
  <c r="BC129" i="1" s="1"/>
  <c r="BD129" i="1" s="1"/>
  <c r="Q128" i="1"/>
  <c r="Q127" i="1"/>
  <c r="Q126" i="1"/>
  <c r="BC126" i="1" s="1"/>
  <c r="BD126" i="1" s="1"/>
  <c r="AP131" i="1"/>
  <c r="AP130" i="1"/>
  <c r="AP129" i="1"/>
  <c r="AP128" i="1"/>
  <c r="AP127" i="1"/>
  <c r="AP126" i="1"/>
  <c r="J137" i="1"/>
  <c r="J136" i="1"/>
  <c r="J135" i="1"/>
  <c r="J134" i="1"/>
  <c r="J133" i="1"/>
  <c r="J132" i="1"/>
  <c r="J131" i="1"/>
  <c r="J130" i="1"/>
  <c r="J129" i="1"/>
  <c r="J128" i="1"/>
  <c r="J127" i="1"/>
  <c r="J126" i="1"/>
  <c r="AM166" i="1"/>
  <c r="AN166" i="1" s="1"/>
  <c r="AM165" i="1"/>
  <c r="AN165" i="1" s="1"/>
  <c r="AM164" i="1"/>
  <c r="AN164" i="1" s="1"/>
  <c r="AM162" i="1"/>
  <c r="AN162" i="1" s="1"/>
  <c r="AM163" i="1"/>
  <c r="AN163" i="1" s="1"/>
  <c r="AM160" i="1"/>
  <c r="AN160" i="1" s="1"/>
  <c r="AM159" i="1"/>
  <c r="AN159" i="1" s="1"/>
  <c r="AM161" i="1"/>
  <c r="AN161" i="1" s="1"/>
  <c r="BA166" i="1"/>
  <c r="BA165" i="1"/>
  <c r="BA163" i="1"/>
  <c r="BA161" i="1"/>
  <c r="BA160" i="1"/>
  <c r="BA164" i="1"/>
  <c r="BZ164" i="1" s="1"/>
  <c r="BA162" i="1"/>
  <c r="BZ162" i="1" s="1"/>
  <c r="AV166" i="1"/>
  <c r="AU166" i="1" s="1"/>
  <c r="AW166" i="1" s="1"/>
  <c r="AV165" i="1"/>
  <c r="AU165" i="1" s="1"/>
  <c r="AW165" i="1" s="1"/>
  <c r="AV164" i="1"/>
  <c r="AV163" i="1"/>
  <c r="AU163" i="1" s="1"/>
  <c r="AW163" i="1" s="1"/>
  <c r="AV162" i="1"/>
  <c r="AV161" i="1"/>
  <c r="AU161" i="1" s="1"/>
  <c r="AW161" i="1" s="1"/>
  <c r="AV160" i="1"/>
  <c r="AU160" i="1" s="1"/>
  <c r="AW160" i="1" s="1"/>
  <c r="BA159" i="1"/>
  <c r="BZ159" i="1" s="1"/>
  <c r="AX166" i="1"/>
  <c r="AZ166" i="1" s="1"/>
  <c r="BQ166" i="1" s="1"/>
  <c r="AX165" i="1"/>
  <c r="AZ165" i="1" s="1"/>
  <c r="BQ165" i="1" s="1"/>
  <c r="AX164" i="1"/>
  <c r="AZ164" i="1" s="1"/>
  <c r="BQ164" i="1" s="1"/>
  <c r="AX163" i="1"/>
  <c r="AZ163" i="1" s="1"/>
  <c r="BQ163" i="1" s="1"/>
  <c r="AX162" i="1"/>
  <c r="AZ162" i="1" s="1"/>
  <c r="BQ162" i="1" s="1"/>
  <c r="AX161" i="1"/>
  <c r="AZ161" i="1" s="1"/>
  <c r="BQ161" i="1" s="1"/>
  <c r="AX160" i="1"/>
  <c r="AZ160" i="1" s="1"/>
  <c r="BQ160" i="1" s="1"/>
  <c r="AX159" i="1"/>
  <c r="AV159" i="1"/>
  <c r="X166" i="1"/>
  <c r="Y166" i="1" s="1"/>
  <c r="X165" i="1"/>
  <c r="Y165" i="1" s="1"/>
  <c r="X164" i="1"/>
  <c r="Y164" i="1" s="1"/>
  <c r="X163" i="1"/>
  <c r="Y163" i="1" s="1"/>
  <c r="X162" i="1"/>
  <c r="Y162" i="1" s="1"/>
  <c r="X161" i="1"/>
  <c r="Y161" i="1" s="1"/>
  <c r="X160" i="1"/>
  <c r="Y160" i="1" s="1"/>
  <c r="X159" i="1"/>
  <c r="Y159" i="1" s="1"/>
  <c r="P166" i="1"/>
  <c r="P165" i="1"/>
  <c r="P164" i="1"/>
  <c r="P163" i="1"/>
  <c r="P162" i="1"/>
  <c r="P161" i="1"/>
  <c r="P160" i="1"/>
  <c r="P159" i="1"/>
  <c r="Q166" i="1"/>
  <c r="Q165" i="1"/>
  <c r="Q164" i="1"/>
  <c r="Q163" i="1"/>
  <c r="Q162" i="1"/>
  <c r="Q161" i="1"/>
  <c r="Q160" i="1"/>
  <c r="R160" i="1" s="1"/>
  <c r="BS160" i="1" s="1"/>
  <c r="Q159" i="1"/>
  <c r="AP166" i="1"/>
  <c r="AP165" i="1"/>
  <c r="AP164" i="1"/>
  <c r="AP163" i="1"/>
  <c r="AP162" i="1"/>
  <c r="AP161" i="1"/>
  <c r="AP160" i="1"/>
  <c r="AP159" i="1"/>
  <c r="J166" i="1"/>
  <c r="J165" i="1"/>
  <c r="J164" i="1"/>
  <c r="J163" i="1"/>
  <c r="J162" i="1"/>
  <c r="J161" i="1"/>
  <c r="J160" i="1"/>
  <c r="J159" i="1"/>
  <c r="BE154" i="1"/>
  <c r="BE153" i="1"/>
  <c r="BE152" i="1"/>
  <c r="BE151" i="1"/>
  <c r="BE150" i="1"/>
  <c r="BE149" i="1"/>
  <c r="AL154" i="1"/>
  <c r="AL152" i="1"/>
  <c r="AL151" i="1"/>
  <c r="AL150" i="1"/>
  <c r="AL149" i="1"/>
  <c r="AV154" i="1"/>
  <c r="AS154" i="1" s="1"/>
  <c r="AW154" i="1" s="1"/>
  <c r="BZ154" i="1" s="1"/>
  <c r="AV153" i="1"/>
  <c r="AS153" i="1" s="1"/>
  <c r="AW153" i="1" s="1"/>
  <c r="BZ153" i="1" s="1"/>
  <c r="AV152" i="1"/>
  <c r="AS152" i="1" s="1"/>
  <c r="AW152" i="1" s="1"/>
  <c r="BZ152" i="1" s="1"/>
  <c r="AV151" i="1"/>
  <c r="AS151" i="1" s="1"/>
  <c r="AW151" i="1" s="1"/>
  <c r="BZ151" i="1" s="1"/>
  <c r="AV150" i="1"/>
  <c r="AS150" i="1" s="1"/>
  <c r="AW150" i="1" s="1"/>
  <c r="BZ150" i="1" s="1"/>
  <c r="AV149" i="1"/>
  <c r="AS149" i="1" s="1"/>
  <c r="AW149" i="1" s="1"/>
  <c r="BZ149" i="1" s="1"/>
  <c r="AM154" i="1"/>
  <c r="AM153" i="1"/>
  <c r="AM151" i="1"/>
  <c r="AM152" i="1"/>
  <c r="AM150" i="1"/>
  <c r="AM149" i="1"/>
  <c r="K150" i="1"/>
  <c r="K151" i="1"/>
  <c r="K152" i="1"/>
  <c r="K153" i="1"/>
  <c r="K154" i="1"/>
  <c r="K149" i="1"/>
  <c r="I150" i="1"/>
  <c r="AI150" i="1" s="1"/>
  <c r="I151" i="1"/>
  <c r="AI151" i="1" s="1"/>
  <c r="I152" i="1"/>
  <c r="AI152" i="1" s="1"/>
  <c r="I153" i="1"/>
  <c r="AI153" i="1" s="1"/>
  <c r="I154" i="1"/>
  <c r="AI154" i="1" s="1"/>
  <c r="I149" i="1"/>
  <c r="AI149" i="1" s="1"/>
  <c r="G153" i="1"/>
  <c r="H153" i="1" s="1"/>
  <c r="G154" i="1"/>
  <c r="H154" i="1" s="1"/>
  <c r="G152" i="1"/>
  <c r="H152" i="1" s="1"/>
  <c r="G150" i="1"/>
  <c r="H150" i="1" s="1"/>
  <c r="G151" i="1"/>
  <c r="H151" i="1" s="1"/>
  <c r="G149" i="1"/>
  <c r="H149" i="1" s="1"/>
  <c r="BV155" i="1" l="1"/>
  <c r="CA155" i="1" s="1"/>
  <c r="BS155" i="1"/>
  <c r="BV156" i="1"/>
  <c r="CA156" i="1" s="1"/>
  <c r="BS156" i="1"/>
  <c r="BV157" i="1"/>
  <c r="CA157" i="1" s="1"/>
  <c r="BS157" i="1"/>
  <c r="BV47" i="1"/>
  <c r="CA47" i="1" s="1"/>
  <c r="CA46" i="1"/>
  <c r="BV158" i="1"/>
  <c r="CA158" i="1" s="1"/>
  <c r="BS158" i="1"/>
  <c r="BV139" i="1"/>
  <c r="CA139" i="1" s="1"/>
  <c r="BS139" i="1"/>
  <c r="BV138" i="1"/>
  <c r="CA138" i="1" s="1"/>
  <c r="BS138" i="1"/>
  <c r="R162" i="1"/>
  <c r="BT116" i="1"/>
  <c r="BT117" i="1"/>
  <c r="BT137" i="1"/>
  <c r="BT129" i="1"/>
  <c r="BT155" i="1"/>
  <c r="BT138" i="1"/>
  <c r="BT133" i="1"/>
  <c r="BT158" i="1"/>
  <c r="BT126" i="1"/>
  <c r="BT130" i="1"/>
  <c r="BT132" i="1"/>
  <c r="BT134" i="1"/>
  <c r="BT136" i="1"/>
  <c r="BT139" i="1"/>
  <c r="BT135" i="1"/>
  <c r="BZ160" i="1"/>
  <c r="BZ166" i="1"/>
  <c r="BT157" i="1"/>
  <c r="BZ161" i="1"/>
  <c r="AX47" i="1"/>
  <c r="AZ47" i="1" s="1"/>
  <c r="BQ47" i="1" s="1"/>
  <c r="BZ47" i="1"/>
  <c r="BZ163" i="1"/>
  <c r="BZ165" i="1"/>
  <c r="BZ117" i="1"/>
  <c r="AX45" i="1"/>
  <c r="AZ45" i="1" s="1"/>
  <c r="BQ45" i="1" s="1"/>
  <c r="BZ45" i="1"/>
  <c r="BY155" i="1"/>
  <c r="BY139" i="1"/>
  <c r="BC156" i="1"/>
  <c r="BD156" i="1" s="1"/>
  <c r="BM153" i="1"/>
  <c r="BV160" i="1"/>
  <c r="CA160" i="1" s="1"/>
  <c r="BR128" i="1"/>
  <c r="BV46" i="1"/>
  <c r="BV45" i="1"/>
  <c r="CA45" i="1" s="1"/>
  <c r="BY158" i="1"/>
  <c r="BR134" i="1"/>
  <c r="AP45" i="1"/>
  <c r="BR45" i="1" s="1"/>
  <c r="N45" i="1"/>
  <c r="BW45" i="1" s="1"/>
  <c r="BX45" i="1" s="1"/>
  <c r="BR164" i="1"/>
  <c r="AP46" i="1"/>
  <c r="BR46" i="1" s="1"/>
  <c r="N46" i="1"/>
  <c r="BW46" i="1" s="1"/>
  <c r="BX46" i="1" s="1"/>
  <c r="BM152" i="1"/>
  <c r="BR161" i="1"/>
  <c r="BR165" i="1"/>
  <c r="BE128" i="1"/>
  <c r="BN128" i="1"/>
  <c r="BR126" i="1"/>
  <c r="BR129" i="1"/>
  <c r="AP44" i="1"/>
  <c r="N44" i="1"/>
  <c r="BW44" i="1" s="1"/>
  <c r="BX44" i="1" s="1"/>
  <c r="BE131" i="1"/>
  <c r="BN131" i="1"/>
  <c r="BM149" i="1"/>
  <c r="BM151" i="1"/>
  <c r="BR162" i="1"/>
  <c r="BR166" i="1"/>
  <c r="BE129" i="1"/>
  <c r="BN129" i="1"/>
  <c r="BR130" i="1"/>
  <c r="BR133" i="1"/>
  <c r="BR137" i="1"/>
  <c r="BE132" i="1"/>
  <c r="BN132" i="1"/>
  <c r="BE134" i="1"/>
  <c r="BN134" i="1"/>
  <c r="BE136" i="1"/>
  <c r="BN136" i="1"/>
  <c r="AP47" i="1"/>
  <c r="BR47" i="1" s="1"/>
  <c r="N47" i="1"/>
  <c r="BW47" i="1" s="1"/>
  <c r="BX47" i="1" s="1"/>
  <c r="BR160" i="1"/>
  <c r="BE127" i="1"/>
  <c r="BN127" i="1"/>
  <c r="BR135" i="1"/>
  <c r="BE137" i="1"/>
  <c r="BN137" i="1"/>
  <c r="BM154" i="1"/>
  <c r="BM150" i="1"/>
  <c r="BR159" i="1"/>
  <c r="BR163" i="1"/>
  <c r="BE126" i="1"/>
  <c r="BN126" i="1"/>
  <c r="BE130" i="1"/>
  <c r="BN130" i="1"/>
  <c r="BR127" i="1"/>
  <c r="BR131" i="1"/>
  <c r="BR132" i="1"/>
  <c r="BR136" i="1"/>
  <c r="AD117" i="1"/>
  <c r="AF117" i="1" s="1"/>
  <c r="AD116" i="1"/>
  <c r="AF116" i="1" s="1"/>
  <c r="Q116" i="1"/>
  <c r="R166" i="1"/>
  <c r="R127" i="1"/>
  <c r="R131" i="1"/>
  <c r="AN152" i="1"/>
  <c r="Q117" i="1"/>
  <c r="BB117" i="1" s="1"/>
  <c r="AN150" i="1"/>
  <c r="AN154" i="1"/>
  <c r="AN117" i="1"/>
  <c r="M154" i="1"/>
  <c r="O154" i="1"/>
  <c r="N154" i="1" s="1"/>
  <c r="BW154" i="1" s="1"/>
  <c r="BX154" i="1" s="1"/>
  <c r="M116" i="1"/>
  <c r="O116" i="1"/>
  <c r="AX117" i="1"/>
  <c r="O151" i="1"/>
  <c r="M151" i="1"/>
  <c r="O153" i="1"/>
  <c r="M153" i="1"/>
  <c r="AN151" i="1"/>
  <c r="R128" i="1"/>
  <c r="J116" i="1"/>
  <c r="L116" i="1"/>
  <c r="AN116" i="1" s="1"/>
  <c r="P117" i="1"/>
  <c r="AX116" i="1"/>
  <c r="M150" i="1"/>
  <c r="O150" i="1"/>
  <c r="AN149" i="1"/>
  <c r="AN153" i="1"/>
  <c r="J117" i="1"/>
  <c r="O117" i="1"/>
  <c r="M117" i="1"/>
  <c r="O149" i="1"/>
  <c r="M149" i="1"/>
  <c r="O152" i="1"/>
  <c r="M152" i="1"/>
  <c r="P116" i="1"/>
  <c r="BB116" i="1"/>
  <c r="R135" i="1"/>
  <c r="R44" i="1"/>
  <c r="BS44" i="1" s="1"/>
  <c r="BC127" i="1"/>
  <c r="BD127" i="1" s="1"/>
  <c r="Q152" i="1"/>
  <c r="R152" i="1" s="1"/>
  <c r="BE133" i="1"/>
  <c r="BC131" i="1"/>
  <c r="BD131" i="1" s="1"/>
  <c r="R133" i="1"/>
  <c r="R129" i="1"/>
  <c r="R126" i="1"/>
  <c r="R130" i="1"/>
  <c r="BC128" i="1"/>
  <c r="BD128" i="1" s="1"/>
  <c r="R132" i="1"/>
  <c r="R134" i="1"/>
  <c r="AZ159" i="1"/>
  <c r="BQ159" i="1" s="1"/>
  <c r="BE135" i="1"/>
  <c r="R137" i="1"/>
  <c r="R136" i="1"/>
  <c r="AX151" i="1"/>
  <c r="AZ151" i="1" s="1"/>
  <c r="BQ151" i="1" s="1"/>
  <c r="AX152" i="1"/>
  <c r="AZ152" i="1" s="1"/>
  <c r="BQ152" i="1" s="1"/>
  <c r="J154" i="1"/>
  <c r="J150" i="1"/>
  <c r="Q149" i="1"/>
  <c r="BC149" i="1" s="1"/>
  <c r="BD149" i="1" s="1"/>
  <c r="R163" i="1"/>
  <c r="R161" i="1"/>
  <c r="J153" i="1"/>
  <c r="J151" i="1"/>
  <c r="J149" i="1"/>
  <c r="Q153" i="1"/>
  <c r="AX149" i="1"/>
  <c r="AZ149" i="1" s="1"/>
  <c r="BQ149" i="1" s="1"/>
  <c r="AX153" i="1"/>
  <c r="AZ153" i="1" s="1"/>
  <c r="BQ153" i="1" s="1"/>
  <c r="Q150" i="1"/>
  <c r="Q154" i="1"/>
  <c r="AX150" i="1"/>
  <c r="AZ150" i="1" s="1"/>
  <c r="BQ150" i="1" s="1"/>
  <c r="AX154" i="1"/>
  <c r="AZ154" i="1" s="1"/>
  <c r="BQ154" i="1" s="1"/>
  <c r="R165" i="1"/>
  <c r="R159" i="1"/>
  <c r="Q151" i="1"/>
  <c r="J152" i="1"/>
  <c r="AO154" i="1"/>
  <c r="R164" i="1"/>
  <c r="AX148" i="1"/>
  <c r="AZ148" i="1" s="1"/>
  <c r="BQ148" i="1" s="1"/>
  <c r="AX147" i="1"/>
  <c r="AZ147" i="1" s="1"/>
  <c r="BQ147" i="1" s="1"/>
  <c r="AX146" i="1"/>
  <c r="AZ146" i="1" s="1"/>
  <c r="BQ146" i="1" s="1"/>
  <c r="AX145" i="1"/>
  <c r="AZ145" i="1" s="1"/>
  <c r="BQ145" i="1" s="1"/>
  <c r="AX144" i="1"/>
  <c r="AZ144" i="1" s="1"/>
  <c r="BQ144" i="1" s="1"/>
  <c r="AM148" i="1"/>
  <c r="AN148" i="1" s="1"/>
  <c r="AM147" i="1"/>
  <c r="AM146" i="1"/>
  <c r="AM145" i="1"/>
  <c r="P146" i="1"/>
  <c r="BN146" i="1" s="1"/>
  <c r="P148" i="1"/>
  <c r="BN148" i="1" s="1"/>
  <c r="P147" i="1"/>
  <c r="BN147" i="1" s="1"/>
  <c r="P300" i="1"/>
  <c r="P299" i="1"/>
  <c r="P298" i="1"/>
  <c r="P294" i="1"/>
  <c r="P293" i="1"/>
  <c r="P292" i="1"/>
  <c r="P291" i="1"/>
  <c r="P145" i="1"/>
  <c r="BN145" i="1" s="1"/>
  <c r="P144" i="1"/>
  <c r="BN144" i="1" s="1"/>
  <c r="Q144" i="1"/>
  <c r="BB144" i="1" s="1"/>
  <c r="BV130" i="1" l="1"/>
  <c r="CA130" i="1" s="1"/>
  <c r="BS130" i="1"/>
  <c r="BS47" i="1"/>
  <c r="BV165" i="1"/>
  <c r="CA165" i="1" s="1"/>
  <c r="BS165" i="1"/>
  <c r="BV136" i="1"/>
  <c r="CA136" i="1" s="1"/>
  <c r="BS136" i="1"/>
  <c r="BV126" i="1"/>
  <c r="CA126" i="1" s="1"/>
  <c r="BS126" i="1"/>
  <c r="BV135" i="1"/>
  <c r="CA135" i="1" s="1"/>
  <c r="BS135" i="1"/>
  <c r="BV164" i="1"/>
  <c r="CA164" i="1" s="1"/>
  <c r="BS164" i="1"/>
  <c r="BV161" i="1"/>
  <c r="CA161" i="1" s="1"/>
  <c r="BS161" i="1"/>
  <c r="BV137" i="1"/>
  <c r="CA137" i="1" s="1"/>
  <c r="BS137" i="1"/>
  <c r="BV129" i="1"/>
  <c r="CA129" i="1" s="1"/>
  <c r="BS129" i="1"/>
  <c r="BP154" i="1"/>
  <c r="BV162" i="1"/>
  <c r="CA162" i="1" s="1"/>
  <c r="BS162" i="1"/>
  <c r="BV127" i="1"/>
  <c r="CA127" i="1" s="1"/>
  <c r="BS127" i="1"/>
  <c r="BY138" i="1"/>
  <c r="BP45" i="1"/>
  <c r="BP47" i="1"/>
  <c r="BP44" i="1"/>
  <c r="BS45" i="1"/>
  <c r="BV131" i="1"/>
  <c r="CA131" i="1" s="1"/>
  <c r="BS131" i="1"/>
  <c r="BV134" i="1"/>
  <c r="CA134" i="1" s="1"/>
  <c r="BS134" i="1"/>
  <c r="BV166" i="1"/>
  <c r="CA166" i="1" s="1"/>
  <c r="BS166" i="1"/>
  <c r="BY156" i="1"/>
  <c r="CB156" i="1" s="1"/>
  <c r="CC156" i="1" s="1"/>
  <c r="BV163" i="1"/>
  <c r="CA163" i="1" s="1"/>
  <c r="BS163" i="1"/>
  <c r="BV133" i="1"/>
  <c r="CA133" i="1" s="1"/>
  <c r="BS133" i="1"/>
  <c r="BV128" i="1"/>
  <c r="CA128" i="1" s="1"/>
  <c r="BS128" i="1"/>
  <c r="BV159" i="1"/>
  <c r="CA159" i="1" s="1"/>
  <c r="BS159" i="1"/>
  <c r="BV132" i="1"/>
  <c r="CA132" i="1" s="1"/>
  <c r="BS132" i="1"/>
  <c r="BV152" i="1"/>
  <c r="CA152" i="1" s="1"/>
  <c r="BS152" i="1"/>
  <c r="BY157" i="1"/>
  <c r="BP46" i="1"/>
  <c r="AG116" i="1"/>
  <c r="AH116" i="1"/>
  <c r="AH117" i="1"/>
  <c r="AG117" i="1"/>
  <c r="AI117" i="1" s="1"/>
  <c r="BN298" i="1"/>
  <c r="BN292" i="1"/>
  <c r="BN299" i="1"/>
  <c r="BN291" i="1"/>
  <c r="BN293" i="1"/>
  <c r="BN300" i="1"/>
  <c r="BN294" i="1"/>
  <c r="BT128" i="1"/>
  <c r="BT127" i="1"/>
  <c r="BT149" i="1"/>
  <c r="BT131" i="1"/>
  <c r="BT156" i="1"/>
  <c r="CB158" i="1"/>
  <c r="CC158" i="1" s="1"/>
  <c r="CB138" i="1"/>
  <c r="CB139" i="1"/>
  <c r="CB155" i="1"/>
  <c r="CC155" i="1" s="1"/>
  <c r="BZ116" i="1"/>
  <c r="CB157" i="1"/>
  <c r="CC157" i="1" s="1"/>
  <c r="BY163" i="1"/>
  <c r="CB163" i="1" s="1"/>
  <c r="CC163" i="1" s="1"/>
  <c r="BY160" i="1"/>
  <c r="CB160" i="1" s="1"/>
  <c r="CC160" i="1" s="1"/>
  <c r="BY162" i="1"/>
  <c r="CB162" i="1" s="1"/>
  <c r="CC162" i="1" s="1"/>
  <c r="BY129" i="1"/>
  <c r="BY133" i="1"/>
  <c r="BY166" i="1"/>
  <c r="CB166" i="1" s="1"/>
  <c r="CC166" i="1" s="1"/>
  <c r="BY130" i="1"/>
  <c r="BY128" i="1"/>
  <c r="BY131" i="1"/>
  <c r="BY161" i="1"/>
  <c r="CB161" i="1" s="1"/>
  <c r="CC161" i="1" s="1"/>
  <c r="BY132" i="1"/>
  <c r="BY135" i="1"/>
  <c r="BY136" i="1"/>
  <c r="BV44" i="1"/>
  <c r="CA44" i="1" s="1"/>
  <c r="BY127" i="1"/>
  <c r="BY165" i="1"/>
  <c r="CB165" i="1" s="1"/>
  <c r="CC165" i="1" s="1"/>
  <c r="BY159" i="1"/>
  <c r="CB159" i="1" s="1"/>
  <c r="CC159" i="1" s="1"/>
  <c r="AP148" i="1"/>
  <c r="BR148" i="1" s="1"/>
  <c r="AP152" i="1"/>
  <c r="BR152" i="1" s="1"/>
  <c r="N152" i="1"/>
  <c r="AP117" i="1"/>
  <c r="BR117" i="1" s="1"/>
  <c r="N117" i="1"/>
  <c r="AP150" i="1"/>
  <c r="N150" i="1"/>
  <c r="AP151" i="1"/>
  <c r="BR151" i="1" s="1"/>
  <c r="N151" i="1"/>
  <c r="BR150" i="1"/>
  <c r="AP153" i="1"/>
  <c r="BR153" i="1" s="1"/>
  <c r="N153" i="1"/>
  <c r="AP116" i="1"/>
  <c r="BR116" i="1" s="1"/>
  <c r="N116" i="1"/>
  <c r="AP149" i="1"/>
  <c r="BR149" i="1" s="1"/>
  <c r="N149" i="1"/>
  <c r="R117" i="1"/>
  <c r="BE116" i="1"/>
  <c r="R116" i="1"/>
  <c r="AN144" i="1"/>
  <c r="AN147" i="1"/>
  <c r="BE117" i="1"/>
  <c r="AN146" i="1"/>
  <c r="AN145" i="1"/>
  <c r="BE144" i="1"/>
  <c r="R149" i="1"/>
  <c r="BS149" i="1" s="1"/>
  <c r="BC152" i="1"/>
  <c r="BD152" i="1" s="1"/>
  <c r="AP154" i="1"/>
  <c r="BR154" i="1" s="1"/>
  <c r="R144" i="1"/>
  <c r="R154" i="1"/>
  <c r="BS154" i="1" s="1"/>
  <c r="BC154" i="1"/>
  <c r="BD154" i="1" s="1"/>
  <c r="BC153" i="1"/>
  <c r="BD153" i="1" s="1"/>
  <c r="R153" i="1"/>
  <c r="BS153" i="1" s="1"/>
  <c r="R151" i="1"/>
  <c r="BS151" i="1" s="1"/>
  <c r="BC151" i="1"/>
  <c r="BD151" i="1" s="1"/>
  <c r="R150" i="1"/>
  <c r="BS150" i="1" s="1"/>
  <c r="BC150" i="1"/>
  <c r="BD150" i="1" s="1"/>
  <c r="Q148" i="1"/>
  <c r="BB148" i="1" s="1"/>
  <c r="Q147" i="1"/>
  <c r="BB147" i="1" s="1"/>
  <c r="Q146" i="1"/>
  <c r="BB146" i="1" s="1"/>
  <c r="Q145" i="1"/>
  <c r="BB145" i="1" s="1"/>
  <c r="J148" i="1"/>
  <c r="J147" i="1"/>
  <c r="J146" i="1"/>
  <c r="J145" i="1"/>
  <c r="J144" i="1"/>
  <c r="BV117" i="1" l="1"/>
  <c r="BW151" i="1"/>
  <c r="BX151" i="1" s="1"/>
  <c r="BP151" i="1"/>
  <c r="BW149" i="1"/>
  <c r="BX149" i="1" s="1"/>
  <c r="BP149" i="1"/>
  <c r="BY137" i="1"/>
  <c r="CB137" i="1" s="1"/>
  <c r="CC137" i="1" s="1"/>
  <c r="BD117" i="1"/>
  <c r="BP117" i="1"/>
  <c r="CA117" i="1"/>
  <c r="BW150" i="1"/>
  <c r="BX150" i="1" s="1"/>
  <c r="BP150" i="1"/>
  <c r="BY164" i="1"/>
  <c r="CB164" i="1" s="1"/>
  <c r="CC164" i="1" s="1"/>
  <c r="CD139" i="1"/>
  <c r="CC139" i="1"/>
  <c r="BV144" i="1"/>
  <c r="CA144" i="1" s="1"/>
  <c r="BS144" i="1"/>
  <c r="AI116" i="1"/>
  <c r="CD138" i="1"/>
  <c r="CC138" i="1"/>
  <c r="BW153" i="1"/>
  <c r="BX153" i="1" s="1"/>
  <c r="BP153" i="1"/>
  <c r="BY126" i="1"/>
  <c r="CB126" i="1" s="1"/>
  <c r="CC126" i="1" s="1"/>
  <c r="BV116" i="1"/>
  <c r="BW152" i="1"/>
  <c r="BX152" i="1" s="1"/>
  <c r="BP152" i="1"/>
  <c r="BY134" i="1"/>
  <c r="CB134" i="1" s="1"/>
  <c r="CC134" i="1" s="1"/>
  <c r="CD155" i="1"/>
  <c r="CD156" i="1"/>
  <c r="CD157" i="1"/>
  <c r="CD158" i="1"/>
  <c r="CB127" i="1"/>
  <c r="CC127" i="1" s="1"/>
  <c r="BT151" i="1"/>
  <c r="BT154" i="1"/>
  <c r="BT152" i="1"/>
  <c r="CB131" i="1"/>
  <c r="CC131" i="1" s="1"/>
  <c r="BT150" i="1"/>
  <c r="BT153" i="1"/>
  <c r="CB135" i="1"/>
  <c r="CC135" i="1" s="1"/>
  <c r="CB132" i="1"/>
  <c r="CC132" i="1" s="1"/>
  <c r="CB136" i="1"/>
  <c r="CC136" i="1" s="1"/>
  <c r="CB128" i="1"/>
  <c r="CC128" i="1" s="1"/>
  <c r="CB130" i="1"/>
  <c r="CC130" i="1" s="1"/>
  <c r="CB133" i="1"/>
  <c r="CC133" i="1" s="1"/>
  <c r="CB129" i="1"/>
  <c r="CC129" i="1" s="1"/>
  <c r="BW117" i="1"/>
  <c r="BW116" i="1"/>
  <c r="BE148" i="1"/>
  <c r="BV151" i="1"/>
  <c r="CA151" i="1" s="1"/>
  <c r="BV154" i="1"/>
  <c r="CA154" i="1" s="1"/>
  <c r="BV149" i="1"/>
  <c r="CA149" i="1" s="1"/>
  <c r="BE147" i="1"/>
  <c r="BE145" i="1"/>
  <c r="BV153" i="1"/>
  <c r="CA153" i="1" s="1"/>
  <c r="BE146" i="1"/>
  <c r="BV150" i="1"/>
  <c r="CA150" i="1" s="1"/>
  <c r="BY152" i="1"/>
  <c r="AP144" i="1"/>
  <c r="BR144" i="1" s="1"/>
  <c r="AP146" i="1"/>
  <c r="BR146" i="1" s="1"/>
  <c r="AP147" i="1"/>
  <c r="BR147" i="1" s="1"/>
  <c r="AP145" i="1"/>
  <c r="BR145" i="1" s="1"/>
  <c r="R146" i="1"/>
  <c r="R148" i="1"/>
  <c r="R145" i="1"/>
  <c r="R147" i="1"/>
  <c r="AV300" i="1"/>
  <c r="AX300" i="1" s="1"/>
  <c r="AZ300" i="1" s="1"/>
  <c r="BQ300" i="1" s="1"/>
  <c r="AV299" i="1"/>
  <c r="AX299" i="1" s="1"/>
  <c r="AZ299" i="1" s="1"/>
  <c r="BQ299" i="1" s="1"/>
  <c r="AV298" i="1"/>
  <c r="AX298" i="1" s="1"/>
  <c r="AZ298" i="1" s="1"/>
  <c r="BQ298" i="1" s="1"/>
  <c r="AV297" i="1"/>
  <c r="AX297" i="1" s="1"/>
  <c r="AZ297" i="1" s="1"/>
  <c r="BQ297" i="1" s="1"/>
  <c r="AV296" i="1"/>
  <c r="AX296" i="1" s="1"/>
  <c r="AZ296" i="1" s="1"/>
  <c r="BQ296" i="1" s="1"/>
  <c r="AV295" i="1"/>
  <c r="AX295" i="1" s="1"/>
  <c r="AZ295" i="1" s="1"/>
  <c r="BQ295" i="1" s="1"/>
  <c r="AV294" i="1"/>
  <c r="AX294" i="1" s="1"/>
  <c r="AZ294" i="1" s="1"/>
  <c r="BQ294" i="1" s="1"/>
  <c r="AV293" i="1"/>
  <c r="AX293" i="1" s="1"/>
  <c r="AZ293" i="1" s="1"/>
  <c r="BQ293" i="1" s="1"/>
  <c r="AV292" i="1"/>
  <c r="AX292" i="1" s="1"/>
  <c r="AZ292" i="1" s="1"/>
  <c r="BQ292" i="1" s="1"/>
  <c r="AV291" i="1"/>
  <c r="AX291" i="1" s="1"/>
  <c r="AZ291" i="1" s="1"/>
  <c r="BQ291" i="1" s="1"/>
  <c r="AW300" i="1"/>
  <c r="BZ300" i="1" s="1"/>
  <c r="AW299" i="1"/>
  <c r="BZ299" i="1" s="1"/>
  <c r="AW298" i="1"/>
  <c r="BZ298" i="1" s="1"/>
  <c r="AW297" i="1"/>
  <c r="BZ297" i="1" s="1"/>
  <c r="AW296" i="1"/>
  <c r="BZ296" i="1" s="1"/>
  <c r="AW295" i="1"/>
  <c r="BZ295" i="1" s="1"/>
  <c r="AW294" i="1"/>
  <c r="BZ294" i="1" s="1"/>
  <c r="AW293" i="1"/>
  <c r="BZ293" i="1" s="1"/>
  <c r="AW292" i="1"/>
  <c r="BZ292" i="1" s="1"/>
  <c r="AW291" i="1"/>
  <c r="BZ291" i="1" s="1"/>
  <c r="AM299" i="1"/>
  <c r="AM300" i="1"/>
  <c r="AM298" i="1"/>
  <c r="AM296" i="1"/>
  <c r="AM297" i="1"/>
  <c r="AM295" i="1"/>
  <c r="AM292" i="1"/>
  <c r="AN292" i="1" s="1"/>
  <c r="AM293" i="1"/>
  <c r="AN293" i="1" s="1"/>
  <c r="AM294" i="1"/>
  <c r="AM291" i="1"/>
  <c r="L115" i="1"/>
  <c r="L114" i="1"/>
  <c r="Q292" i="1"/>
  <c r="Q293" i="1"/>
  <c r="Q294" i="1"/>
  <c r="Q295" i="1"/>
  <c r="BB295" i="1" s="1"/>
  <c r="Q296" i="1"/>
  <c r="BB296" i="1" s="1"/>
  <c r="Q297" i="1"/>
  <c r="BB297" i="1" s="1"/>
  <c r="Q298" i="1"/>
  <c r="Q299" i="1"/>
  <c r="Q300" i="1"/>
  <c r="P296" i="1"/>
  <c r="P297" i="1"/>
  <c r="P295" i="1"/>
  <c r="P107" i="1"/>
  <c r="Q291" i="1"/>
  <c r="BV148" i="1" l="1"/>
  <c r="CA148" i="1" s="1"/>
  <c r="BS148" i="1"/>
  <c r="BY144" i="1"/>
  <c r="BV146" i="1"/>
  <c r="CA146" i="1" s="1"/>
  <c r="BS146" i="1"/>
  <c r="CD135" i="1"/>
  <c r="BX116" i="1"/>
  <c r="BY116" i="1" s="1"/>
  <c r="CB116" i="1" s="1"/>
  <c r="CC116" i="1" s="1"/>
  <c r="BX117" i="1"/>
  <c r="BY117" i="1" s="1"/>
  <c r="CB117" i="1" s="1"/>
  <c r="CC117" i="1" s="1"/>
  <c r="BV147" i="1"/>
  <c r="CA147" i="1" s="1"/>
  <c r="BS147" i="1"/>
  <c r="CA116" i="1"/>
  <c r="BP116" i="1"/>
  <c r="BV145" i="1"/>
  <c r="CA145" i="1" s="1"/>
  <c r="BS145" i="1"/>
  <c r="BD116" i="1"/>
  <c r="CD133" i="1"/>
  <c r="CD130" i="1"/>
  <c r="CD132" i="1"/>
  <c r="CD126" i="1"/>
  <c r="CD129" i="1"/>
  <c r="CD128" i="1"/>
  <c r="CD131" i="1"/>
  <c r="CD127" i="1"/>
  <c r="CD137" i="1"/>
  <c r="CD136" i="1"/>
  <c r="CD134" i="1"/>
  <c r="BN296" i="1"/>
  <c r="R296" i="1"/>
  <c r="BB293" i="1"/>
  <c r="BE293" i="1" s="1"/>
  <c r="R293" i="1"/>
  <c r="BB298" i="1"/>
  <c r="R298" i="1"/>
  <c r="BB291" i="1"/>
  <c r="R291" i="1"/>
  <c r="BB300" i="1"/>
  <c r="R300" i="1"/>
  <c r="BB292" i="1"/>
  <c r="R292" i="1"/>
  <c r="BN297" i="1"/>
  <c r="R297" i="1"/>
  <c r="BB294" i="1"/>
  <c r="R294" i="1"/>
  <c r="BN295" i="1"/>
  <c r="R295" i="1"/>
  <c r="BB299" i="1"/>
  <c r="R299" i="1"/>
  <c r="CB152" i="1"/>
  <c r="CC152" i="1" s="1"/>
  <c r="CB144" i="1"/>
  <c r="CC144" i="1" s="1"/>
  <c r="BY154" i="1"/>
  <c r="BY151" i="1"/>
  <c r="CB151" i="1" s="1"/>
  <c r="CC151" i="1" s="1"/>
  <c r="BY150" i="1"/>
  <c r="BY149" i="1"/>
  <c r="BY148" i="1"/>
  <c r="BY147" i="1"/>
  <c r="BE294" i="1"/>
  <c r="BY153" i="1"/>
  <c r="BY145" i="1"/>
  <c r="AP293" i="1"/>
  <c r="BR293" i="1" s="1"/>
  <c r="AP292" i="1"/>
  <c r="BR292" i="1" s="1"/>
  <c r="AN296" i="1"/>
  <c r="AN298" i="1"/>
  <c r="AN291" i="1"/>
  <c r="AN300" i="1"/>
  <c r="AN295" i="1"/>
  <c r="AN294" i="1"/>
  <c r="AN297" i="1"/>
  <c r="AN299" i="1"/>
  <c r="BE297" i="1"/>
  <c r="BE296" i="1"/>
  <c r="BE295" i="1"/>
  <c r="J300" i="1"/>
  <c r="J299" i="1"/>
  <c r="J298" i="1"/>
  <c r="J297" i="1"/>
  <c r="J296" i="1"/>
  <c r="J295" i="1"/>
  <c r="J294" i="1"/>
  <c r="J293" i="1"/>
  <c r="J292" i="1"/>
  <c r="J291" i="1"/>
  <c r="BV297" i="1" l="1"/>
  <c r="BS297" i="1"/>
  <c r="BV298" i="1"/>
  <c r="CA298" i="1" s="1"/>
  <c r="BS298" i="1"/>
  <c r="BE298" i="1"/>
  <c r="BR291" i="1"/>
  <c r="BV299" i="1"/>
  <c r="CA299" i="1" s="1"/>
  <c r="BS299" i="1"/>
  <c r="BV292" i="1"/>
  <c r="CA292" i="1" s="1"/>
  <c r="BS292" i="1"/>
  <c r="BV293" i="1"/>
  <c r="CA293" i="1" s="1"/>
  <c r="BS293" i="1"/>
  <c r="BY146" i="1"/>
  <c r="BV295" i="1"/>
  <c r="BS295" i="1"/>
  <c r="BV300" i="1"/>
  <c r="CA300" i="1" s="1"/>
  <c r="BS300" i="1"/>
  <c r="BV296" i="1"/>
  <c r="BS296" i="1"/>
  <c r="BY299" i="1"/>
  <c r="CB299" i="1" s="1"/>
  <c r="BR295" i="1"/>
  <c r="BE300" i="1"/>
  <c r="BY300" i="1"/>
  <c r="CB300" i="1" s="1"/>
  <c r="BE292" i="1"/>
  <c r="BE299" i="1"/>
  <c r="BV294" i="1"/>
  <c r="CA294" i="1" s="1"/>
  <c r="BS294" i="1"/>
  <c r="BV291" i="1"/>
  <c r="CA291" i="1" s="1"/>
  <c r="BS291" i="1"/>
  <c r="CD152" i="1"/>
  <c r="CD151" i="1"/>
  <c r="CD144" i="1"/>
  <c r="CB145" i="1"/>
  <c r="CC145" i="1" s="1"/>
  <c r="CB147" i="1"/>
  <c r="CC147" i="1" s="1"/>
  <c r="CB148" i="1"/>
  <c r="CC148" i="1" s="1"/>
  <c r="CB146" i="1"/>
  <c r="CC146" i="1" s="1"/>
  <c r="CB153" i="1"/>
  <c r="CC153" i="1" s="1"/>
  <c r="CB150" i="1"/>
  <c r="CC150" i="1" s="1"/>
  <c r="CB149" i="1"/>
  <c r="CC149" i="1" s="1"/>
  <c r="CB154" i="1"/>
  <c r="CC154" i="1" s="1"/>
  <c r="AP299" i="1"/>
  <c r="BR299" i="1" s="1"/>
  <c r="AP291" i="1"/>
  <c r="AP294" i="1"/>
  <c r="BR294" i="1" s="1"/>
  <c r="AP298" i="1"/>
  <c r="BR298" i="1" s="1"/>
  <c r="AP300" i="1"/>
  <c r="BR300" i="1" s="1"/>
  <c r="AP297" i="1"/>
  <c r="BR297" i="1" s="1"/>
  <c r="AP295" i="1"/>
  <c r="AP296" i="1"/>
  <c r="BR296" i="1" s="1"/>
  <c r="BG20" i="1"/>
  <c r="BH20" i="1" s="1"/>
  <c r="BL20" i="1" s="1"/>
  <c r="BG19" i="1"/>
  <c r="BH19" i="1" s="1"/>
  <c r="BL19" i="1" s="1"/>
  <c r="BG18" i="1"/>
  <c r="BH18" i="1" s="1"/>
  <c r="BL18" i="1" s="1"/>
  <c r="BG17" i="1"/>
  <c r="BH17" i="1" s="1"/>
  <c r="BL17" i="1" s="1"/>
  <c r="BG16" i="1"/>
  <c r="BH16" i="1" s="1"/>
  <c r="BL16" i="1" s="1"/>
  <c r="BG15" i="1"/>
  <c r="BH15" i="1" s="1"/>
  <c r="BL15" i="1" s="1"/>
  <c r="BG14" i="1"/>
  <c r="BH14" i="1" s="1"/>
  <c r="BL14" i="1" s="1"/>
  <c r="BG13" i="1"/>
  <c r="BH13" i="1" s="1"/>
  <c r="BL13" i="1" s="1"/>
  <c r="BG12" i="1"/>
  <c r="BH12" i="1" s="1"/>
  <c r="BL12" i="1" s="1"/>
  <c r="BG11" i="1"/>
  <c r="BG10" i="1"/>
  <c r="BH10" i="1" s="1"/>
  <c r="BL10" i="1" s="1"/>
  <c r="BG9" i="1"/>
  <c r="BH9" i="1" s="1"/>
  <c r="BL9" i="1" s="1"/>
  <c r="AV20" i="1"/>
  <c r="AV19" i="1"/>
  <c r="AV18" i="1"/>
  <c r="AV17" i="1"/>
  <c r="AV13" i="1"/>
  <c r="AV12" i="1"/>
  <c r="AV11" i="1"/>
  <c r="M19" i="12"/>
  <c r="N19" i="12" s="1"/>
  <c r="M17" i="12"/>
  <c r="N17" i="12" s="1"/>
  <c r="R21" i="12"/>
  <c r="S20" i="12"/>
  <c r="O19" i="12" s="1"/>
  <c r="M18" i="12"/>
  <c r="N18" i="12" s="1"/>
  <c r="M16" i="12"/>
  <c r="N16" i="12" s="1"/>
  <c r="BY298" i="1" l="1"/>
  <c r="CB298" i="1" s="1"/>
  <c r="CD299" i="1"/>
  <c r="CC299" i="1"/>
  <c r="CA295" i="1"/>
  <c r="BY295" i="1"/>
  <c r="CC300" i="1"/>
  <c r="CD300" i="1"/>
  <c r="BY291" i="1"/>
  <c r="CB291" i="1" s="1"/>
  <c r="BY292" i="1"/>
  <c r="CB292" i="1" s="1"/>
  <c r="BY293" i="1"/>
  <c r="CB293" i="1" s="1"/>
  <c r="CA297" i="1"/>
  <c r="BY297" i="1"/>
  <c r="CB297" i="1" s="1"/>
  <c r="CA296" i="1"/>
  <c r="BY296" i="1"/>
  <c r="CB296" i="1" s="1"/>
  <c r="BY294" i="1"/>
  <c r="CB294" i="1" s="1"/>
  <c r="CD150" i="1"/>
  <c r="CD153" i="1"/>
  <c r="CD145" i="1"/>
  <c r="CD154" i="1"/>
  <c r="CD146" i="1"/>
  <c r="CD147" i="1"/>
  <c r="CD149" i="1"/>
  <c r="CD148" i="1"/>
  <c r="BB11" i="1"/>
  <c r="BH11" i="1"/>
  <c r="BL11" i="1" s="1"/>
  <c r="P19" i="12"/>
  <c r="O16" i="12"/>
  <c r="P16" i="12" s="1"/>
  <c r="BB9" i="1"/>
  <c r="BB13" i="1"/>
  <c r="BB17" i="1"/>
  <c r="O17" i="12"/>
  <c r="P17" i="12" s="1"/>
  <c r="BB10" i="1"/>
  <c r="BB14" i="1"/>
  <c r="BB18" i="1"/>
  <c r="O18" i="12"/>
  <c r="P18" i="12" s="1"/>
  <c r="BB15" i="1"/>
  <c r="BB19" i="1"/>
  <c r="BB12" i="1"/>
  <c r="BB16" i="1"/>
  <c r="BB20" i="1"/>
  <c r="AM20" i="1"/>
  <c r="AM19" i="1"/>
  <c r="AM18" i="1"/>
  <c r="AM17" i="1"/>
  <c r="AM16" i="1"/>
  <c r="AM14" i="1"/>
  <c r="AM13" i="1"/>
  <c r="AM15" i="1"/>
  <c r="AM12" i="1"/>
  <c r="AM10" i="1"/>
  <c r="CC294" i="1" l="1"/>
  <c r="CD294" i="1"/>
  <c r="CC296" i="1"/>
  <c r="CD296" i="1"/>
  <c r="CB295" i="1"/>
  <c r="CD291" i="1"/>
  <c r="CC291" i="1"/>
  <c r="CC293" i="1"/>
  <c r="CD293" i="1"/>
  <c r="CC297" i="1"/>
  <c r="CD297" i="1"/>
  <c r="CC292" i="1"/>
  <c r="CD292" i="1"/>
  <c r="CC298" i="1"/>
  <c r="CD298" i="1"/>
  <c r="K10" i="1"/>
  <c r="AA10" i="1" s="1"/>
  <c r="AG10" i="1" s="1"/>
  <c r="AI10" i="1" s="1"/>
  <c r="K11" i="1"/>
  <c r="K12" i="1"/>
  <c r="K13" i="1"/>
  <c r="K14" i="1"/>
  <c r="AA14" i="1" s="1"/>
  <c r="AG14" i="1" s="1"/>
  <c r="AI14" i="1" s="1"/>
  <c r="K15" i="1"/>
  <c r="K16" i="1"/>
  <c r="K17" i="1"/>
  <c r="K18" i="1"/>
  <c r="AA18" i="1" s="1"/>
  <c r="AG18" i="1" s="1"/>
  <c r="AI18" i="1" s="1"/>
  <c r="K19" i="1"/>
  <c r="K20" i="1"/>
  <c r="K9" i="1"/>
  <c r="Q143" i="2"/>
  <c r="Q144" i="2"/>
  <c r="Q145" i="2"/>
  <c r="Q146" i="2"/>
  <c r="Q147" i="2"/>
  <c r="Q148" i="2"/>
  <c r="Q149" i="2"/>
  <c r="Q150" i="2"/>
  <c r="Q151" i="2"/>
  <c r="Q152" i="2"/>
  <c r="Q153" i="2"/>
  <c r="Q142" i="2"/>
  <c r="I10" i="1"/>
  <c r="I11" i="1"/>
  <c r="S11" i="1" s="1"/>
  <c r="I12" i="1"/>
  <c r="S12" i="1" s="1"/>
  <c r="I13" i="1"/>
  <c r="S13" i="1" s="1"/>
  <c r="I14" i="1"/>
  <c r="S14" i="1" s="1"/>
  <c r="I15" i="1"/>
  <c r="S15" i="1" s="1"/>
  <c r="I16" i="1"/>
  <c r="S16" i="1" s="1"/>
  <c r="I17" i="1"/>
  <c r="S17" i="1" s="1"/>
  <c r="I18" i="1"/>
  <c r="S18" i="1" s="1"/>
  <c r="I19" i="1"/>
  <c r="S19" i="1" s="1"/>
  <c r="I20" i="1"/>
  <c r="I9" i="1"/>
  <c r="S9" i="1" s="1"/>
  <c r="G10" i="1"/>
  <c r="G11" i="1"/>
  <c r="G12" i="1"/>
  <c r="H12" i="1" s="1"/>
  <c r="G13" i="1"/>
  <c r="G14" i="1"/>
  <c r="G15" i="1"/>
  <c r="G16" i="1"/>
  <c r="G17" i="1"/>
  <c r="G18" i="1"/>
  <c r="G19" i="1"/>
  <c r="G20" i="1"/>
  <c r="G9" i="1"/>
  <c r="X20" i="1"/>
  <c r="Y20" i="1" s="1"/>
  <c r="X19" i="1"/>
  <c r="Y19" i="1" s="1"/>
  <c r="X18" i="1"/>
  <c r="Y18" i="1" s="1"/>
  <c r="X17" i="1"/>
  <c r="Y17" i="1" s="1"/>
  <c r="X15" i="1"/>
  <c r="Y15" i="1" s="1"/>
  <c r="X10" i="1"/>
  <c r="Y10" i="1" s="1"/>
  <c r="X11" i="1"/>
  <c r="Y11" i="1" s="1"/>
  <c r="X12" i="1"/>
  <c r="Y12" i="1" s="1"/>
  <c r="X13" i="1"/>
  <c r="Y13" i="1" s="1"/>
  <c r="X14" i="1"/>
  <c r="Y14" i="1" s="1"/>
  <c r="X16" i="1"/>
  <c r="Y16" i="1" s="1"/>
  <c r="X9" i="1"/>
  <c r="Y9" i="1" s="1"/>
  <c r="L113" i="1"/>
  <c r="L112" i="1"/>
  <c r="L111" i="1"/>
  <c r="L110" i="1"/>
  <c r="L109" i="1"/>
  <c r="L108" i="1"/>
  <c r="L107" i="1"/>
  <c r="AY109" i="1"/>
  <c r="AY115" i="1"/>
  <c r="AY113" i="1" s="1"/>
  <c r="AY114" i="1"/>
  <c r="AY112" i="1"/>
  <c r="AY111" i="1"/>
  <c r="AY110" i="1"/>
  <c r="AZ110" i="1" s="1"/>
  <c r="BQ110" i="1" s="1"/>
  <c r="AY108" i="1"/>
  <c r="AY107" i="1"/>
  <c r="AZ107" i="1" s="1"/>
  <c r="BQ107" i="1" s="1"/>
  <c r="AV114" i="1"/>
  <c r="AV113" i="1"/>
  <c r="AV108" i="1"/>
  <c r="AV107" i="1"/>
  <c r="BA114" i="1"/>
  <c r="BA113" i="1"/>
  <c r="BZ113" i="1" s="1"/>
  <c r="BA108" i="1"/>
  <c r="BZ108" i="1" s="1"/>
  <c r="BA107" i="1"/>
  <c r="BZ107" i="1" s="1"/>
  <c r="AZ106" i="1"/>
  <c r="BQ106" i="1" s="1"/>
  <c r="AP107" i="1"/>
  <c r="AP108" i="1"/>
  <c r="AP109" i="1"/>
  <c r="AP110" i="1"/>
  <c r="AP111" i="1"/>
  <c r="AP112" i="1"/>
  <c r="AP113" i="1"/>
  <c r="AP114" i="1"/>
  <c r="AP115" i="1"/>
  <c r="AP106" i="1"/>
  <c r="P108" i="1"/>
  <c r="P109" i="1"/>
  <c r="P110" i="1"/>
  <c r="P111" i="1"/>
  <c r="P112" i="1"/>
  <c r="P113" i="1"/>
  <c r="P114" i="1"/>
  <c r="P115" i="1"/>
  <c r="X107" i="1"/>
  <c r="X108" i="1"/>
  <c r="X109" i="1"/>
  <c r="X110" i="1"/>
  <c r="X111" i="1"/>
  <c r="X112" i="1"/>
  <c r="X113" i="1"/>
  <c r="X114" i="1"/>
  <c r="X115" i="1"/>
  <c r="X106" i="1"/>
  <c r="BE107" i="1"/>
  <c r="BE108" i="1"/>
  <c r="BE109" i="1"/>
  <c r="BE110" i="1"/>
  <c r="BE111" i="1"/>
  <c r="BE112" i="1"/>
  <c r="BE113" i="1"/>
  <c r="BE114" i="1"/>
  <c r="BE115" i="1"/>
  <c r="BE106" i="1"/>
  <c r="T3" i="1"/>
  <c r="Q4" i="1"/>
  <c r="G107" i="1"/>
  <c r="G108" i="1"/>
  <c r="G109" i="1"/>
  <c r="G110" i="1"/>
  <c r="G111" i="1"/>
  <c r="H111" i="1" s="1"/>
  <c r="G112" i="1"/>
  <c r="G113" i="1"/>
  <c r="G114" i="1"/>
  <c r="G115" i="1"/>
  <c r="H115" i="1" s="1"/>
  <c r="G106" i="1"/>
  <c r="K107" i="1"/>
  <c r="K108" i="1"/>
  <c r="K109" i="1"/>
  <c r="K110" i="1"/>
  <c r="K111" i="1"/>
  <c r="K112" i="1"/>
  <c r="K113" i="1"/>
  <c r="K114" i="1"/>
  <c r="K115" i="1"/>
  <c r="K106" i="1"/>
  <c r="I107" i="1"/>
  <c r="S107" i="1" s="1"/>
  <c r="I108" i="1"/>
  <c r="S108" i="1" s="1"/>
  <c r="I109" i="1"/>
  <c r="S109" i="1" s="1"/>
  <c r="I110" i="1"/>
  <c r="S110" i="1" s="1"/>
  <c r="I111" i="1"/>
  <c r="S111" i="1" s="1"/>
  <c r="I112" i="1"/>
  <c r="S112" i="1" s="1"/>
  <c r="I113" i="1"/>
  <c r="I114" i="1"/>
  <c r="S114" i="1" s="1"/>
  <c r="I115" i="1"/>
  <c r="S115" i="1" s="1"/>
  <c r="I106" i="1"/>
  <c r="S106" i="1" s="1"/>
  <c r="P173" i="1"/>
  <c r="BN173" i="1" s="1"/>
  <c r="P174" i="1"/>
  <c r="BN174" i="1" s="1"/>
  <c r="P175" i="1"/>
  <c r="BN175" i="1" s="1"/>
  <c r="P176" i="1"/>
  <c r="BN176" i="1" s="1"/>
  <c r="P177" i="1"/>
  <c r="BN177" i="1" s="1"/>
  <c r="P178" i="1"/>
  <c r="BN178" i="1" s="1"/>
  <c r="P179" i="1"/>
  <c r="BN179" i="1" s="1"/>
  <c r="P180" i="1"/>
  <c r="BN180" i="1" s="1"/>
  <c r="P181" i="1"/>
  <c r="BN181" i="1" s="1"/>
  <c r="P182" i="1"/>
  <c r="BN182" i="1" s="1"/>
  <c r="P183" i="1"/>
  <c r="BN183" i="1" s="1"/>
  <c r="P184" i="1"/>
  <c r="BN184" i="1" s="1"/>
  <c r="P185" i="1"/>
  <c r="BN185" i="1" s="1"/>
  <c r="P186" i="1"/>
  <c r="BN186" i="1" s="1"/>
  <c r="P187" i="1"/>
  <c r="BN187" i="1" s="1"/>
  <c r="P188" i="1"/>
  <c r="BN188" i="1" s="1"/>
  <c r="P189" i="1"/>
  <c r="BN189" i="1" s="1"/>
  <c r="P190" i="1"/>
  <c r="BN190" i="1" s="1"/>
  <c r="P191" i="1"/>
  <c r="BN191" i="1" s="1"/>
  <c r="P192" i="1"/>
  <c r="BN192" i="1" s="1"/>
  <c r="P193" i="1"/>
  <c r="BN193" i="1" s="1"/>
  <c r="P194" i="1"/>
  <c r="BN194" i="1" s="1"/>
  <c r="P195" i="1"/>
  <c r="BN195" i="1" s="1"/>
  <c r="P196" i="1"/>
  <c r="BN196" i="1" s="1"/>
  <c r="P197" i="1"/>
  <c r="BN197" i="1" s="1"/>
  <c r="P198" i="1"/>
  <c r="BN198" i="1" s="1"/>
  <c r="P199" i="1"/>
  <c r="BN199" i="1" s="1"/>
  <c r="P200" i="1"/>
  <c r="BN200" i="1" s="1"/>
  <c r="P201" i="1"/>
  <c r="BN201" i="1" s="1"/>
  <c r="P202" i="1"/>
  <c r="BN202" i="1" s="1"/>
  <c r="P203" i="1"/>
  <c r="BN203" i="1" s="1"/>
  <c r="P204" i="1"/>
  <c r="BN204" i="1" s="1"/>
  <c r="P205" i="1"/>
  <c r="BN205" i="1" s="1"/>
  <c r="P206" i="1"/>
  <c r="BN206" i="1" s="1"/>
  <c r="P207" i="1"/>
  <c r="BN207" i="1" s="1"/>
  <c r="P208" i="1"/>
  <c r="BN208" i="1" s="1"/>
  <c r="P209" i="1"/>
  <c r="BN209" i="1" s="1"/>
  <c r="P210" i="1"/>
  <c r="BN210" i="1" s="1"/>
  <c r="P211" i="1"/>
  <c r="BN211" i="1" s="1"/>
  <c r="P212" i="1"/>
  <c r="BN212" i="1" s="1"/>
  <c r="P213" i="1"/>
  <c r="BN213" i="1" s="1"/>
  <c r="P214" i="1"/>
  <c r="BN214" i="1" s="1"/>
  <c r="P215" i="1"/>
  <c r="BN215" i="1" s="1"/>
  <c r="P216" i="1"/>
  <c r="BN216" i="1" s="1"/>
  <c r="P217" i="1"/>
  <c r="BN217" i="1" s="1"/>
  <c r="P218" i="1"/>
  <c r="BN218" i="1" s="1"/>
  <c r="P219" i="1"/>
  <c r="BN219" i="1" s="1"/>
  <c r="P220" i="1"/>
  <c r="BN220" i="1" s="1"/>
  <c r="P221" i="1"/>
  <c r="BN221" i="1" s="1"/>
  <c r="P222" i="1"/>
  <c r="BN222" i="1" s="1"/>
  <c r="P223" i="1"/>
  <c r="BN223" i="1" s="1"/>
  <c r="P224" i="1"/>
  <c r="BN224" i="1" s="1"/>
  <c r="P225" i="1"/>
  <c r="BN225" i="1" s="1"/>
  <c r="P226" i="1"/>
  <c r="BN226" i="1" s="1"/>
  <c r="P227" i="1"/>
  <c r="BN227" i="1" s="1"/>
  <c r="P228" i="1"/>
  <c r="BN228" i="1" s="1"/>
  <c r="P229" i="1"/>
  <c r="BN229" i="1" s="1"/>
  <c r="P230" i="1"/>
  <c r="BN230" i="1" s="1"/>
  <c r="P231" i="1"/>
  <c r="BN231" i="1" s="1"/>
  <c r="P232" i="1"/>
  <c r="BN232" i="1" s="1"/>
  <c r="P233" i="1"/>
  <c r="BN233" i="1" s="1"/>
  <c r="P234" i="1"/>
  <c r="BN234" i="1" s="1"/>
  <c r="P235" i="1"/>
  <c r="BN235" i="1" s="1"/>
  <c r="P236" i="1"/>
  <c r="BN236" i="1" s="1"/>
  <c r="P237" i="1"/>
  <c r="BN237" i="1" s="1"/>
  <c r="P172" i="1"/>
  <c r="BN172" i="1" s="1"/>
  <c r="H14" i="1" l="1"/>
  <c r="T14" i="1"/>
  <c r="L10" i="1"/>
  <c r="S10" i="1"/>
  <c r="H110" i="1"/>
  <c r="T110" i="1"/>
  <c r="H9" i="1"/>
  <c r="T9" i="1"/>
  <c r="H13" i="1"/>
  <c r="T13" i="1"/>
  <c r="AA17" i="1"/>
  <c r="AG17" i="1" s="1"/>
  <c r="AI17" i="1" s="1"/>
  <c r="BP10" i="1"/>
  <c r="J113" i="1"/>
  <c r="S113" i="1"/>
  <c r="H109" i="1"/>
  <c r="T109" i="1"/>
  <c r="H20" i="1"/>
  <c r="T20" i="1"/>
  <c r="AA16" i="1"/>
  <c r="AG16" i="1" s="1"/>
  <c r="AI16" i="1" s="1"/>
  <c r="H106" i="1"/>
  <c r="T106" i="1"/>
  <c r="H108" i="1"/>
  <c r="T108" i="1"/>
  <c r="H19" i="1"/>
  <c r="T19" i="1"/>
  <c r="H11" i="1"/>
  <c r="T12" i="1"/>
  <c r="T11" i="1"/>
  <c r="AA15" i="1"/>
  <c r="AG15" i="1" s="1"/>
  <c r="AI15" i="1" s="1"/>
  <c r="CD295" i="1"/>
  <c r="CC295" i="1"/>
  <c r="H114" i="1"/>
  <c r="T114" i="1"/>
  <c r="H17" i="1"/>
  <c r="T17" i="1"/>
  <c r="AA9" i="1"/>
  <c r="AG9" i="1" s="1"/>
  <c r="AI9" i="1" s="1"/>
  <c r="AA13" i="1"/>
  <c r="AG13" i="1" s="1"/>
  <c r="AI13" i="1" s="1"/>
  <c r="H18" i="1"/>
  <c r="T18" i="1"/>
  <c r="H10" i="1"/>
  <c r="T10" i="1"/>
  <c r="H113" i="1"/>
  <c r="T113" i="1"/>
  <c r="H16" i="1"/>
  <c r="T16" i="1"/>
  <c r="L20" i="1"/>
  <c r="S20" i="1"/>
  <c r="AA20" i="1"/>
  <c r="AG20" i="1" s="1"/>
  <c r="AI20" i="1" s="1"/>
  <c r="AA12" i="1"/>
  <c r="AG12" i="1" s="1"/>
  <c r="AI12" i="1" s="1"/>
  <c r="H107" i="1"/>
  <c r="O107" i="1" s="1"/>
  <c r="N107" i="1" s="1"/>
  <c r="T107" i="1"/>
  <c r="H112" i="1"/>
  <c r="T112" i="1"/>
  <c r="H15" i="1"/>
  <c r="T15" i="1"/>
  <c r="AA19" i="1"/>
  <c r="AG19" i="1" s="1"/>
  <c r="AI19" i="1" s="1"/>
  <c r="AA11" i="1"/>
  <c r="AG11" i="1" s="1"/>
  <c r="AI11" i="1" s="1"/>
  <c r="BR114" i="1"/>
  <c r="Y114" i="1"/>
  <c r="BR110" i="1"/>
  <c r="Y110" i="1"/>
  <c r="BZ114" i="1"/>
  <c r="BR113" i="1"/>
  <c r="Y113" i="1"/>
  <c r="BR109" i="1"/>
  <c r="Y109" i="1"/>
  <c r="BR106" i="1"/>
  <c r="Y106" i="1"/>
  <c r="BR112" i="1"/>
  <c r="Y112" i="1"/>
  <c r="BR108" i="1"/>
  <c r="Y108" i="1"/>
  <c r="BR115" i="1"/>
  <c r="Y115" i="1"/>
  <c r="BR111" i="1"/>
  <c r="Y111" i="1"/>
  <c r="BR107" i="1"/>
  <c r="Y107" i="1"/>
  <c r="BM11" i="1"/>
  <c r="BM15" i="1"/>
  <c r="BH163" i="1"/>
  <c r="BL163" i="1" s="1"/>
  <c r="CD163" i="1" s="1"/>
  <c r="BH159" i="1"/>
  <c r="BL159" i="1" s="1"/>
  <c r="CD159" i="1" s="1"/>
  <c r="BH164" i="1"/>
  <c r="BL164" i="1" s="1"/>
  <c r="CD164" i="1" s="1"/>
  <c r="BH160" i="1"/>
  <c r="BL160" i="1" s="1"/>
  <c r="CD160" i="1" s="1"/>
  <c r="BH166" i="1"/>
  <c r="BL166" i="1" s="1"/>
  <c r="CD166" i="1" s="1"/>
  <c r="BH162" i="1"/>
  <c r="BL162" i="1" s="1"/>
  <c r="CD162" i="1" s="1"/>
  <c r="BH165" i="1"/>
  <c r="BL165" i="1" s="1"/>
  <c r="CD165" i="1" s="1"/>
  <c r="BH161" i="1"/>
  <c r="BL161" i="1" s="1"/>
  <c r="CD161" i="1" s="1"/>
  <c r="BM18" i="1"/>
  <c r="BM14" i="1"/>
  <c r="BM10" i="1"/>
  <c r="BM19" i="1"/>
  <c r="BM17" i="1"/>
  <c r="BM13" i="1"/>
  <c r="BM20" i="1"/>
  <c r="BM16" i="1"/>
  <c r="BM12" i="1"/>
  <c r="BF113" i="1"/>
  <c r="BF109" i="1"/>
  <c r="BG118" i="1"/>
  <c r="BF115" i="1"/>
  <c r="BF111" i="1"/>
  <c r="BF107" i="1"/>
  <c r="BG119" i="1"/>
  <c r="BF112" i="1"/>
  <c r="BF108" i="1"/>
  <c r="BF110" i="1"/>
  <c r="BF106" i="1"/>
  <c r="BF114" i="1"/>
  <c r="BG45" i="1"/>
  <c r="BG47" i="1"/>
  <c r="BH46" i="1"/>
  <c r="BG44" i="1"/>
  <c r="BH45" i="1"/>
  <c r="BG46" i="1"/>
  <c r="BH47" i="1"/>
  <c r="BM9" i="1"/>
  <c r="AN20" i="1"/>
  <c r="AP20" i="1" s="1"/>
  <c r="AN10" i="1"/>
  <c r="M113" i="1"/>
  <c r="O113" i="1"/>
  <c r="N113" i="1" s="1"/>
  <c r="O109" i="1"/>
  <c r="N109" i="1" s="1"/>
  <c r="M109" i="1"/>
  <c r="BB45" i="1"/>
  <c r="BY45" i="1" s="1"/>
  <c r="CB45" i="1" s="1"/>
  <c r="CC45" i="1" s="1"/>
  <c r="BH44" i="1"/>
  <c r="BB47" i="1"/>
  <c r="BY47" i="1" s="1"/>
  <c r="CB47" i="1" s="1"/>
  <c r="CC47" i="1" s="1"/>
  <c r="BB44" i="1"/>
  <c r="BY44" i="1" s="1"/>
  <c r="CB44" i="1" s="1"/>
  <c r="CC44" i="1" s="1"/>
  <c r="BB46" i="1"/>
  <c r="BY46" i="1" s="1"/>
  <c r="CB46" i="1" s="1"/>
  <c r="CC46" i="1" s="1"/>
  <c r="O19" i="1"/>
  <c r="N19" i="1" s="1"/>
  <c r="M19" i="1"/>
  <c r="O15" i="1"/>
  <c r="N15" i="1" s="1"/>
  <c r="M15" i="1"/>
  <c r="O11" i="1"/>
  <c r="N11" i="1" s="1"/>
  <c r="M11" i="1"/>
  <c r="AQ20" i="1"/>
  <c r="L19" i="1"/>
  <c r="AN19" i="1" s="1"/>
  <c r="AP19" i="1" s="1"/>
  <c r="L15" i="1"/>
  <c r="AN15" i="1" s="1"/>
  <c r="AQ16" i="1"/>
  <c r="AQ12" i="1"/>
  <c r="L11" i="1"/>
  <c r="AN11" i="1" s="1"/>
  <c r="O106" i="1"/>
  <c r="N106" i="1" s="1"/>
  <c r="M106" i="1"/>
  <c r="M112" i="1"/>
  <c r="O112" i="1"/>
  <c r="N112" i="1" s="1"/>
  <c r="BP112" i="1" s="1"/>
  <c r="M108" i="1"/>
  <c r="O108" i="1"/>
  <c r="N108" i="1" s="1"/>
  <c r="M18" i="1"/>
  <c r="O18" i="1"/>
  <c r="N18" i="1" s="1"/>
  <c r="BP18" i="1" s="1"/>
  <c r="O14" i="1"/>
  <c r="N14" i="1" s="1"/>
  <c r="BP14" i="1" s="1"/>
  <c r="M14" i="1"/>
  <c r="M10" i="1"/>
  <c r="O10" i="1"/>
  <c r="N10" i="1" s="1"/>
  <c r="BW10" i="1" s="1"/>
  <c r="BX10" i="1" s="1"/>
  <c r="AQ19" i="1"/>
  <c r="L18" i="1"/>
  <c r="AN18" i="1" s="1"/>
  <c r="AQ15" i="1"/>
  <c r="L14" i="1"/>
  <c r="AN14" i="1" s="1"/>
  <c r="O115" i="1"/>
  <c r="N115" i="1" s="1"/>
  <c r="M115" i="1"/>
  <c r="O111" i="1"/>
  <c r="N111" i="1" s="1"/>
  <c r="M111" i="1"/>
  <c r="M107" i="1"/>
  <c r="M9" i="1"/>
  <c r="O9" i="1"/>
  <c r="N9" i="1" s="1"/>
  <c r="M17" i="1"/>
  <c r="O17" i="1"/>
  <c r="N17" i="1" s="1"/>
  <c r="M13" i="1"/>
  <c r="O13" i="1"/>
  <c r="N13" i="1" s="1"/>
  <c r="AQ10" i="1"/>
  <c r="L9" i="1"/>
  <c r="AN9" i="1" s="1"/>
  <c r="L17" i="1"/>
  <c r="AN17" i="1" s="1"/>
  <c r="AQ18" i="1"/>
  <c r="L13" i="1"/>
  <c r="AN13" i="1" s="1"/>
  <c r="AQ14" i="1"/>
  <c r="O114" i="1"/>
  <c r="N114" i="1" s="1"/>
  <c r="M114" i="1"/>
  <c r="O110" i="1"/>
  <c r="N110" i="1" s="1"/>
  <c r="M110" i="1"/>
  <c r="M20" i="1"/>
  <c r="O20" i="1"/>
  <c r="N20" i="1" s="1"/>
  <c r="BW20" i="1" s="1"/>
  <c r="BX20" i="1" s="1"/>
  <c r="O16" i="1"/>
  <c r="N16" i="1" s="1"/>
  <c r="M16" i="1"/>
  <c r="O12" i="1"/>
  <c r="N12" i="1" s="1"/>
  <c r="M12" i="1"/>
  <c r="L16" i="1"/>
  <c r="AN16" i="1" s="1"/>
  <c r="AQ17" i="1"/>
  <c r="L12" i="1"/>
  <c r="AN12" i="1" s="1"/>
  <c r="AQ13" i="1"/>
  <c r="BG115" i="1"/>
  <c r="AZ117" i="1"/>
  <c r="BS117" i="1" s="1"/>
  <c r="BG117" i="1"/>
  <c r="BH117" i="1" s="1"/>
  <c r="BL117" i="1" s="1"/>
  <c r="CD117" i="1" s="1"/>
  <c r="AZ116" i="1"/>
  <c r="BS116" i="1" s="1"/>
  <c r="BG116" i="1"/>
  <c r="BH116" i="1" s="1"/>
  <c r="BL116" i="1" s="1"/>
  <c r="CD116" i="1" s="1"/>
  <c r="J109" i="1"/>
  <c r="Q111" i="1"/>
  <c r="R111" i="1" s="1"/>
  <c r="Q16" i="1"/>
  <c r="BC16" i="1" s="1"/>
  <c r="BD16" i="1" s="1"/>
  <c r="AZ112" i="1"/>
  <c r="BQ112" i="1" s="1"/>
  <c r="BB107" i="1"/>
  <c r="BA19" i="1"/>
  <c r="BA11" i="1"/>
  <c r="J19" i="1"/>
  <c r="J15" i="1"/>
  <c r="P19" i="1"/>
  <c r="BN19" i="1" s="1"/>
  <c r="P15" i="1"/>
  <c r="BN15" i="1" s="1"/>
  <c r="AP15" i="1"/>
  <c r="AX15" i="1"/>
  <c r="AZ15" i="1" s="1"/>
  <c r="BQ15" i="1" s="1"/>
  <c r="P11" i="1"/>
  <c r="BN11" i="1" s="1"/>
  <c r="BG109" i="1"/>
  <c r="BA18" i="1"/>
  <c r="P18" i="1"/>
  <c r="BN18" i="1" s="1"/>
  <c r="AP18" i="1"/>
  <c r="P14" i="1"/>
  <c r="BN14" i="1" s="1"/>
  <c r="AX14" i="1"/>
  <c r="AZ14" i="1" s="1"/>
  <c r="BQ14" i="1" s="1"/>
  <c r="AP14" i="1"/>
  <c r="P10" i="1"/>
  <c r="BN10" i="1" s="1"/>
  <c r="AX10" i="1"/>
  <c r="AZ10" i="1" s="1"/>
  <c r="BQ10" i="1" s="1"/>
  <c r="BB106" i="1"/>
  <c r="BA17" i="1"/>
  <c r="BA13" i="1"/>
  <c r="Q9" i="1"/>
  <c r="P9" i="1"/>
  <c r="BN9" i="1" s="1"/>
  <c r="AX9" i="1"/>
  <c r="AZ9" i="1" s="1"/>
  <c r="BQ9" i="1" s="1"/>
  <c r="Q17" i="1"/>
  <c r="BC17" i="1" s="1"/>
  <c r="BD17" i="1" s="1"/>
  <c r="P17" i="1"/>
  <c r="BN17" i="1" s="1"/>
  <c r="AP17" i="1"/>
  <c r="Q13" i="1"/>
  <c r="BC13" i="1" s="1"/>
  <c r="BD13" i="1" s="1"/>
  <c r="P13" i="1"/>
  <c r="BN13" i="1" s="1"/>
  <c r="AP13" i="1"/>
  <c r="Q113" i="1"/>
  <c r="R113" i="1" s="1"/>
  <c r="Q109" i="1"/>
  <c r="R109" i="1" s="1"/>
  <c r="BB115" i="1"/>
  <c r="BA20" i="1"/>
  <c r="BA12" i="1"/>
  <c r="P20" i="1"/>
  <c r="BN20" i="1" s="1"/>
  <c r="P16" i="1"/>
  <c r="BN16" i="1" s="1"/>
  <c r="AP16" i="1"/>
  <c r="AX16" i="1"/>
  <c r="AZ16" i="1" s="1"/>
  <c r="BQ16" i="1" s="1"/>
  <c r="P12" i="1"/>
  <c r="BN12" i="1" s="1"/>
  <c r="BB112" i="1"/>
  <c r="BB108" i="1"/>
  <c r="J11" i="1"/>
  <c r="Q14" i="1"/>
  <c r="BC14" i="1" s="1"/>
  <c r="BD14" i="1" s="1"/>
  <c r="BB111" i="1"/>
  <c r="BG113" i="1"/>
  <c r="Q18" i="1"/>
  <c r="BC18" i="1" s="1"/>
  <c r="BD18" i="1" s="1"/>
  <c r="J14" i="1"/>
  <c r="Q10" i="1"/>
  <c r="J20" i="1"/>
  <c r="J12" i="1"/>
  <c r="AZ108" i="1"/>
  <c r="BQ108" i="1" s="1"/>
  <c r="J111" i="1"/>
  <c r="J107" i="1"/>
  <c r="J17" i="1"/>
  <c r="J13" i="1"/>
  <c r="J112" i="1"/>
  <c r="BG108" i="1"/>
  <c r="BG112" i="1"/>
  <c r="J9" i="1"/>
  <c r="J18" i="1"/>
  <c r="J10" i="1"/>
  <c r="Q20" i="1"/>
  <c r="BC20" i="1" s="1"/>
  <c r="BD20" i="1" s="1"/>
  <c r="Q12" i="1"/>
  <c r="BC12" i="1" s="1"/>
  <c r="BD12" i="1" s="1"/>
  <c r="Q106" i="1"/>
  <c r="BB114" i="1"/>
  <c r="BB110" i="1"/>
  <c r="BG106" i="1"/>
  <c r="BG110" i="1"/>
  <c r="BG114" i="1"/>
  <c r="AZ115" i="1"/>
  <c r="BQ115" i="1" s="1"/>
  <c r="Q19" i="1"/>
  <c r="BC19" i="1" s="1"/>
  <c r="BD19" i="1" s="1"/>
  <c r="Q15" i="1"/>
  <c r="BC15" i="1" s="1"/>
  <c r="BD15" i="1" s="1"/>
  <c r="Q11" i="1"/>
  <c r="BC11" i="1" s="1"/>
  <c r="BB113" i="1"/>
  <c r="BB109" i="1"/>
  <c r="BG107" i="1"/>
  <c r="BG111" i="1"/>
  <c r="J16" i="1"/>
  <c r="AZ114" i="1"/>
  <c r="BQ114" i="1" s="1"/>
  <c r="AZ111" i="1"/>
  <c r="BQ111" i="1" s="1"/>
  <c r="AZ113" i="1"/>
  <c r="BQ113" i="1" s="1"/>
  <c r="AZ109" i="1"/>
  <c r="BQ109" i="1" s="1"/>
  <c r="Q112" i="1"/>
  <c r="Q115" i="1"/>
  <c r="Q107" i="1"/>
  <c r="Q108" i="1"/>
  <c r="J115" i="1"/>
  <c r="J108" i="1"/>
  <c r="Q114" i="1"/>
  <c r="Q110" i="1"/>
  <c r="J114" i="1"/>
  <c r="J110" i="1"/>
  <c r="J106" i="1"/>
  <c r="BW107" i="1" l="1"/>
  <c r="BX107" i="1" s="1"/>
  <c r="BP107" i="1"/>
  <c r="BP19" i="1"/>
  <c r="BP9" i="1"/>
  <c r="BD11" i="1"/>
  <c r="BW114" i="1"/>
  <c r="BX114" i="1" s="1"/>
  <c r="BP114" i="1"/>
  <c r="BW111" i="1"/>
  <c r="BX111" i="1" s="1"/>
  <c r="BP111" i="1"/>
  <c r="BP12" i="1"/>
  <c r="BP15" i="1"/>
  <c r="BP17" i="1"/>
  <c r="BP11" i="1"/>
  <c r="BV109" i="1"/>
  <c r="CA109" i="1" s="1"/>
  <c r="BS109" i="1"/>
  <c r="BP20" i="1"/>
  <c r="BV113" i="1"/>
  <c r="CA113" i="1" s="1"/>
  <c r="BS113" i="1"/>
  <c r="AO15" i="1"/>
  <c r="BW115" i="1"/>
  <c r="BX115" i="1" s="1"/>
  <c r="BP115" i="1"/>
  <c r="BW106" i="1"/>
  <c r="BX106" i="1" s="1"/>
  <c r="BP106" i="1"/>
  <c r="BW113" i="1"/>
  <c r="BX113" i="1" s="1"/>
  <c r="BP113" i="1"/>
  <c r="BW110" i="1"/>
  <c r="BX110" i="1" s="1"/>
  <c r="BP110" i="1"/>
  <c r="BV111" i="1"/>
  <c r="CA111" i="1" s="1"/>
  <c r="BS111" i="1"/>
  <c r="BW108" i="1"/>
  <c r="BX108" i="1" s="1"/>
  <c r="BP108" i="1"/>
  <c r="BW109" i="1"/>
  <c r="BX109" i="1" s="1"/>
  <c r="BP109" i="1"/>
  <c r="BP13" i="1"/>
  <c r="BP16" i="1"/>
  <c r="AO14" i="1"/>
  <c r="AO16" i="1"/>
  <c r="AO13" i="1"/>
  <c r="BT19" i="1"/>
  <c r="BT13" i="1"/>
  <c r="BT18" i="1"/>
  <c r="BT20" i="1"/>
  <c r="BT11" i="1"/>
  <c r="BT16" i="1"/>
  <c r="BT12" i="1"/>
  <c r="BT14" i="1"/>
  <c r="BT15" i="1"/>
  <c r="BT17" i="1"/>
  <c r="AX17" i="1"/>
  <c r="AZ17" i="1" s="1"/>
  <c r="BQ17" i="1" s="1"/>
  <c r="BZ17" i="1"/>
  <c r="AX18" i="1"/>
  <c r="AZ18" i="1" s="1"/>
  <c r="BQ18" i="1" s="1"/>
  <c r="BZ18" i="1"/>
  <c r="AX12" i="1"/>
  <c r="AZ12" i="1" s="1"/>
  <c r="BQ12" i="1" s="1"/>
  <c r="BZ12" i="1"/>
  <c r="AX20" i="1"/>
  <c r="AZ20" i="1" s="1"/>
  <c r="BQ20" i="1" s="1"/>
  <c r="BZ20" i="1"/>
  <c r="AX13" i="1"/>
  <c r="AZ13" i="1" s="1"/>
  <c r="BQ13" i="1" s="1"/>
  <c r="BZ13" i="1"/>
  <c r="AX19" i="1"/>
  <c r="AZ19" i="1" s="1"/>
  <c r="BQ19" i="1" s="1"/>
  <c r="BZ19" i="1"/>
  <c r="BW17" i="1"/>
  <c r="BX17" i="1" s="1"/>
  <c r="BR18" i="1"/>
  <c r="BW14" i="1"/>
  <c r="BX14" i="1" s="1"/>
  <c r="BW11" i="1"/>
  <c r="BX11" i="1" s="1"/>
  <c r="BW16" i="1"/>
  <c r="BX16" i="1" s="1"/>
  <c r="BR15" i="1"/>
  <c r="BW19" i="1"/>
  <c r="BX19" i="1" s="1"/>
  <c r="BW13" i="1"/>
  <c r="BX13" i="1" s="1"/>
  <c r="BW9" i="1"/>
  <c r="BX9" i="1" s="1"/>
  <c r="BW18" i="1"/>
  <c r="BX18" i="1" s="1"/>
  <c r="BW112" i="1"/>
  <c r="BX112" i="1" s="1"/>
  <c r="BW12" i="1"/>
  <c r="BX12" i="1" s="1"/>
  <c r="BW15" i="1"/>
  <c r="BX15" i="1" s="1"/>
  <c r="BR16" i="1"/>
  <c r="BY113" i="1"/>
  <c r="CB113" i="1" s="1"/>
  <c r="BY109" i="1"/>
  <c r="CB109" i="1" s="1"/>
  <c r="AO18" i="1"/>
  <c r="BR17" i="1"/>
  <c r="BY111" i="1"/>
  <c r="CB111" i="1" s="1"/>
  <c r="AP12" i="1"/>
  <c r="BR12" i="1" s="1"/>
  <c r="BQ117" i="1"/>
  <c r="AP9" i="1"/>
  <c r="BR9" i="1"/>
  <c r="BN45" i="1"/>
  <c r="BM45" i="1"/>
  <c r="BN162" i="1"/>
  <c r="BM162" i="1"/>
  <c r="BM159" i="1"/>
  <c r="BN159" i="1"/>
  <c r="BN117" i="1"/>
  <c r="BM117" i="1"/>
  <c r="BN164" i="1"/>
  <c r="BM164" i="1"/>
  <c r="AP10" i="1"/>
  <c r="BR10" i="1" s="1"/>
  <c r="AO17" i="1"/>
  <c r="BM116" i="1"/>
  <c r="BN116" i="1"/>
  <c r="BR13" i="1"/>
  <c r="BM44" i="1"/>
  <c r="BN44" i="1"/>
  <c r="BH114" i="1"/>
  <c r="BL114" i="1" s="1"/>
  <c r="BH115" i="1"/>
  <c r="BL115" i="1" s="1"/>
  <c r="BR19" i="1"/>
  <c r="BN166" i="1"/>
  <c r="BM166" i="1"/>
  <c r="BN163" i="1"/>
  <c r="BM163" i="1"/>
  <c r="BM165" i="1"/>
  <c r="BN165" i="1"/>
  <c r="BQ116" i="1"/>
  <c r="BR14" i="1"/>
  <c r="AP11" i="1"/>
  <c r="BR11" i="1"/>
  <c r="BN47" i="1"/>
  <c r="BM47" i="1"/>
  <c r="BM46" i="1"/>
  <c r="BN46" i="1"/>
  <c r="BR20" i="1"/>
  <c r="BN161" i="1"/>
  <c r="BM161" i="1"/>
  <c r="BN160" i="1"/>
  <c r="BM160" i="1"/>
  <c r="BH112" i="1"/>
  <c r="BL112" i="1" s="1"/>
  <c r="BF44" i="1"/>
  <c r="BH106" i="1"/>
  <c r="BL106" i="1" s="1"/>
  <c r="BH119" i="1"/>
  <c r="BL119" i="1" s="1"/>
  <c r="CD119" i="1" s="1"/>
  <c r="BH118" i="1"/>
  <c r="BL118" i="1" s="1"/>
  <c r="CD118" i="1" s="1"/>
  <c r="BH110" i="1"/>
  <c r="BL110" i="1" s="1"/>
  <c r="BH107" i="1"/>
  <c r="BL107" i="1" s="1"/>
  <c r="BH109" i="1"/>
  <c r="BL109" i="1" s="1"/>
  <c r="BH108" i="1"/>
  <c r="BL108" i="1" s="1"/>
  <c r="BH111" i="1"/>
  <c r="BL111" i="1" s="1"/>
  <c r="BH113" i="1"/>
  <c r="BL113" i="1" s="1"/>
  <c r="BL44" i="1"/>
  <c r="CD44" i="1" s="1"/>
  <c r="BF47" i="1"/>
  <c r="BL47" i="1"/>
  <c r="CD47" i="1" s="1"/>
  <c r="BL46" i="1"/>
  <c r="CD46" i="1" s="1"/>
  <c r="BF46" i="1"/>
  <c r="BL45" i="1"/>
  <c r="CD45" i="1" s="1"/>
  <c r="BF45" i="1"/>
  <c r="BC106" i="1"/>
  <c r="BD106" i="1" s="1"/>
  <c r="BC47" i="1"/>
  <c r="BD47" i="1" s="1"/>
  <c r="BE47" i="1"/>
  <c r="BC45" i="1"/>
  <c r="BD45" i="1" s="1"/>
  <c r="BE45" i="1"/>
  <c r="BE46" i="1"/>
  <c r="BC46" i="1"/>
  <c r="BD46" i="1" s="1"/>
  <c r="BC44" i="1"/>
  <c r="BD44" i="1" s="1"/>
  <c r="BE44" i="1"/>
  <c r="BC111" i="1"/>
  <c r="BD111" i="1" s="1"/>
  <c r="BC113" i="1"/>
  <c r="BD113" i="1" s="1"/>
  <c r="R106" i="1"/>
  <c r="BC109" i="1"/>
  <c r="BD109" i="1" s="1"/>
  <c r="R20" i="1"/>
  <c r="BE20" i="1"/>
  <c r="R18" i="1"/>
  <c r="BE18" i="1"/>
  <c r="R19" i="1"/>
  <c r="BE19" i="1"/>
  <c r="R13" i="1"/>
  <c r="BE13" i="1"/>
  <c r="R17" i="1"/>
  <c r="BE17" i="1"/>
  <c r="BE10" i="1"/>
  <c r="R14" i="1"/>
  <c r="BE14" i="1"/>
  <c r="R10" i="1"/>
  <c r="BC10" i="1"/>
  <c r="BD10" i="1" s="1"/>
  <c r="R12" i="1"/>
  <c r="BE12" i="1"/>
  <c r="R16" i="1"/>
  <c r="BE16" i="1"/>
  <c r="BE9" i="1"/>
  <c r="R11" i="1"/>
  <c r="BE11" i="1"/>
  <c r="R15" i="1"/>
  <c r="BE15" i="1"/>
  <c r="R9" i="1"/>
  <c r="BS9" i="1" s="1"/>
  <c r="BC9" i="1"/>
  <c r="BD9" i="1" s="1"/>
  <c r="AX11" i="1"/>
  <c r="AZ11" i="1"/>
  <c r="R107" i="1"/>
  <c r="BC107" i="1"/>
  <c r="BD107" i="1" s="1"/>
  <c r="R110" i="1"/>
  <c r="BC110" i="1"/>
  <c r="BD110" i="1" s="1"/>
  <c r="R115" i="1"/>
  <c r="BC115" i="1"/>
  <c r="BD115" i="1" s="1"/>
  <c r="R114" i="1"/>
  <c r="BC114" i="1"/>
  <c r="BD114" i="1" s="1"/>
  <c r="R108" i="1"/>
  <c r="BC108" i="1"/>
  <c r="BD108" i="1" s="1"/>
  <c r="R112" i="1"/>
  <c r="BC112" i="1"/>
  <c r="BD112" i="1" s="1"/>
  <c r="BV114" i="1" l="1"/>
  <c r="CA114" i="1" s="1"/>
  <c r="BS114" i="1"/>
  <c r="BV18" i="1"/>
  <c r="CA18" i="1" s="1"/>
  <c r="BS18" i="1"/>
  <c r="BV115" i="1"/>
  <c r="CA115" i="1" s="1"/>
  <c r="BS115" i="1"/>
  <c r="BV20" i="1"/>
  <c r="CA20" i="1" s="1"/>
  <c r="BS20" i="1"/>
  <c r="BV12" i="1"/>
  <c r="CA12" i="1" s="1"/>
  <c r="BS12" i="1"/>
  <c r="BV112" i="1"/>
  <c r="CA112" i="1" s="1"/>
  <c r="BS112" i="1"/>
  <c r="BV13" i="1"/>
  <c r="CA13" i="1" s="1"/>
  <c r="BS13" i="1"/>
  <c r="BV106" i="1"/>
  <c r="CA106" i="1" s="1"/>
  <c r="BS106" i="1"/>
  <c r="BV16" i="1"/>
  <c r="CA16" i="1" s="1"/>
  <c r="BS16" i="1"/>
  <c r="BV110" i="1"/>
  <c r="CA110" i="1" s="1"/>
  <c r="BS110" i="1"/>
  <c r="BV15" i="1"/>
  <c r="CA15" i="1" s="1"/>
  <c r="BS15" i="1"/>
  <c r="BV10" i="1"/>
  <c r="CA10" i="1" s="1"/>
  <c r="BS10" i="1"/>
  <c r="BV107" i="1"/>
  <c r="CA107" i="1" s="1"/>
  <c r="BS107" i="1"/>
  <c r="BV17" i="1"/>
  <c r="CA17" i="1" s="1"/>
  <c r="BS17" i="1"/>
  <c r="BV108" i="1"/>
  <c r="CA108" i="1" s="1"/>
  <c r="BS108" i="1"/>
  <c r="BV11" i="1"/>
  <c r="CA11" i="1" s="1"/>
  <c r="BS11" i="1"/>
  <c r="BV19" i="1"/>
  <c r="CA19" i="1" s="1"/>
  <c r="BS19" i="1"/>
  <c r="BV14" i="1"/>
  <c r="CA14" i="1" s="1"/>
  <c r="BS14" i="1"/>
  <c r="BV9" i="1"/>
  <c r="CA9" i="1" s="1"/>
  <c r="BT115" i="1"/>
  <c r="BT107" i="1"/>
  <c r="BT111" i="1"/>
  <c r="BT112" i="1"/>
  <c r="BT114" i="1"/>
  <c r="BT110" i="1"/>
  <c r="BT109" i="1"/>
  <c r="BT106" i="1"/>
  <c r="BT108" i="1"/>
  <c r="BT113" i="1"/>
  <c r="BT10" i="1"/>
  <c r="BT44" i="1"/>
  <c r="BT45" i="1"/>
  <c r="BT47" i="1"/>
  <c r="BT9" i="1"/>
  <c r="BT46" i="1"/>
  <c r="BY112" i="1"/>
  <c r="BY110" i="1"/>
  <c r="CB110" i="1" s="1"/>
  <c r="BY114" i="1"/>
  <c r="BY107" i="1"/>
  <c r="BY115" i="1"/>
  <c r="CB115" i="1" s="1"/>
  <c r="AY11" i="1"/>
  <c r="BZ11" i="1" s="1"/>
  <c r="BQ11" i="1"/>
  <c r="BM106" i="1"/>
  <c r="BN106" i="1"/>
  <c r="BN111" i="1"/>
  <c r="BM111" i="1"/>
  <c r="BM110" i="1"/>
  <c r="BN110" i="1"/>
  <c r="BM114" i="1"/>
  <c r="BN114" i="1"/>
  <c r="BN113" i="1"/>
  <c r="BM113" i="1"/>
  <c r="BN115" i="1"/>
  <c r="BM115" i="1"/>
  <c r="BM108" i="1"/>
  <c r="BN108" i="1"/>
  <c r="BM118" i="1"/>
  <c r="BN118" i="1"/>
  <c r="BM112" i="1"/>
  <c r="BN112" i="1"/>
  <c r="BN107" i="1"/>
  <c r="BM107" i="1"/>
  <c r="BN109" i="1"/>
  <c r="BM109" i="1"/>
  <c r="BN119" i="1"/>
  <c r="BM119" i="1"/>
  <c r="AZ167" i="1"/>
  <c r="BQ167" i="1" s="1"/>
  <c r="AZ168" i="1"/>
  <c r="BQ168" i="1" s="1"/>
  <c r="AZ169" i="1"/>
  <c r="BQ169" i="1" s="1"/>
  <c r="AZ170" i="1"/>
  <c r="BQ170" i="1" s="1"/>
  <c r="AZ171" i="1"/>
  <c r="BQ171" i="1" s="1"/>
  <c r="AP171" i="1"/>
  <c r="BR171" i="1" s="1"/>
  <c r="AP170" i="1"/>
  <c r="BR170" i="1" s="1"/>
  <c r="AP169" i="1"/>
  <c r="BR169" i="1" s="1"/>
  <c r="AP168" i="1"/>
  <c r="BR168" i="1" s="1"/>
  <c r="AP167" i="1"/>
  <c r="BR167" i="1" s="1"/>
  <c r="BE168" i="1"/>
  <c r="BE169" i="1"/>
  <c r="BE170" i="1"/>
  <c r="BE171" i="1"/>
  <c r="BE167" i="1"/>
  <c r="Q168" i="1"/>
  <c r="Q169" i="1"/>
  <c r="Q170" i="1"/>
  <c r="Q171" i="1"/>
  <c r="Q167" i="1"/>
  <c r="J168" i="1"/>
  <c r="J169" i="1"/>
  <c r="J170" i="1"/>
  <c r="J171" i="1"/>
  <c r="J167" i="1"/>
  <c r="BE173" i="1"/>
  <c r="BE174" i="1"/>
  <c r="BE175" i="1"/>
  <c r="BE176" i="1"/>
  <c r="BE177" i="1"/>
  <c r="BE178" i="1"/>
  <c r="BE179" i="1"/>
  <c r="BE180" i="1"/>
  <c r="BE181" i="1"/>
  <c r="BE182" i="1"/>
  <c r="BE183" i="1"/>
  <c r="BE184" i="1"/>
  <c r="BE185" i="1"/>
  <c r="BE186" i="1"/>
  <c r="BE187" i="1"/>
  <c r="BE188" i="1"/>
  <c r="BE189" i="1"/>
  <c r="BE190" i="1"/>
  <c r="BE191" i="1"/>
  <c r="BE192" i="1"/>
  <c r="BE193" i="1"/>
  <c r="BE194" i="1"/>
  <c r="BE195" i="1"/>
  <c r="BE196" i="1"/>
  <c r="BE197" i="1"/>
  <c r="BE198" i="1"/>
  <c r="BE199" i="1"/>
  <c r="BE200" i="1"/>
  <c r="BE201" i="1"/>
  <c r="BE202" i="1"/>
  <c r="BE203" i="1"/>
  <c r="BE204" i="1"/>
  <c r="BE205" i="1"/>
  <c r="BE206" i="1"/>
  <c r="BE207" i="1"/>
  <c r="BE208" i="1"/>
  <c r="BE209" i="1"/>
  <c r="BE210" i="1"/>
  <c r="BE211" i="1"/>
  <c r="BE212" i="1"/>
  <c r="BE213" i="1"/>
  <c r="BE214" i="1"/>
  <c r="BE215" i="1"/>
  <c r="BE216" i="1"/>
  <c r="BE217" i="1"/>
  <c r="BE218" i="1"/>
  <c r="BE219" i="1"/>
  <c r="BE220" i="1"/>
  <c r="BE221" i="1"/>
  <c r="BE222" i="1"/>
  <c r="BE223" i="1"/>
  <c r="BE224" i="1"/>
  <c r="BE225" i="1"/>
  <c r="BE226" i="1"/>
  <c r="BE227" i="1"/>
  <c r="BE228" i="1"/>
  <c r="BE229" i="1"/>
  <c r="BE230" i="1"/>
  <c r="BE231" i="1"/>
  <c r="BE232" i="1"/>
  <c r="BE233" i="1"/>
  <c r="BE234" i="1"/>
  <c r="BE235" i="1"/>
  <c r="BE236" i="1"/>
  <c r="BE237" i="1"/>
  <c r="BE172" i="1"/>
  <c r="AX173" i="1"/>
  <c r="AU173" i="1" s="1"/>
  <c r="AW173" i="1" s="1"/>
  <c r="AX174" i="1"/>
  <c r="AU174" i="1" s="1"/>
  <c r="AW174" i="1" s="1"/>
  <c r="AX175" i="1"/>
  <c r="AU175" i="1" s="1"/>
  <c r="AW175" i="1" s="1"/>
  <c r="BZ175" i="1" s="1"/>
  <c r="AX176" i="1"/>
  <c r="AU176" i="1" s="1"/>
  <c r="AW176" i="1" s="1"/>
  <c r="BZ176" i="1" s="1"/>
  <c r="AX177" i="1"/>
  <c r="AX178" i="1"/>
  <c r="AU178" i="1" s="1"/>
  <c r="AW178" i="1" s="1"/>
  <c r="BZ178" i="1" s="1"/>
  <c r="AX179" i="1"/>
  <c r="AU179" i="1" s="1"/>
  <c r="AW179" i="1" s="1"/>
  <c r="BZ179" i="1" s="1"/>
  <c r="AX180" i="1"/>
  <c r="AU180" i="1" s="1"/>
  <c r="AW180" i="1" s="1"/>
  <c r="BZ180" i="1" s="1"/>
  <c r="AX181" i="1"/>
  <c r="AX182" i="1"/>
  <c r="AU182" i="1" s="1"/>
  <c r="AW182" i="1" s="1"/>
  <c r="AX183" i="1"/>
  <c r="AU183" i="1" s="1"/>
  <c r="AW183" i="1" s="1"/>
  <c r="AX184" i="1"/>
  <c r="AU184" i="1" s="1"/>
  <c r="AW184" i="1" s="1"/>
  <c r="BZ184" i="1" s="1"/>
  <c r="AX185" i="1"/>
  <c r="AU185" i="1" s="1"/>
  <c r="AW185" i="1" s="1"/>
  <c r="BZ185" i="1" s="1"/>
  <c r="AX186" i="1"/>
  <c r="AU186" i="1" s="1"/>
  <c r="AW186" i="1" s="1"/>
  <c r="BZ186" i="1" s="1"/>
  <c r="AX187" i="1"/>
  <c r="AU187" i="1" s="1"/>
  <c r="AW187" i="1" s="1"/>
  <c r="AX188" i="1"/>
  <c r="AU188" i="1" s="1"/>
  <c r="AW188" i="1" s="1"/>
  <c r="AX189" i="1"/>
  <c r="AU189" i="1" s="1"/>
  <c r="AW189" i="1" s="1"/>
  <c r="AX190" i="1"/>
  <c r="AU190" i="1" s="1"/>
  <c r="AW190" i="1" s="1"/>
  <c r="AX191" i="1"/>
  <c r="AU191" i="1" s="1"/>
  <c r="AW191" i="1" s="1"/>
  <c r="AX192" i="1"/>
  <c r="AU192" i="1" s="1"/>
  <c r="AW192" i="1" s="1"/>
  <c r="AX193" i="1"/>
  <c r="AX194" i="1"/>
  <c r="AU194" i="1" s="1"/>
  <c r="AW194" i="1" s="1"/>
  <c r="BZ194" i="1" s="1"/>
  <c r="AX195" i="1"/>
  <c r="AU195" i="1" s="1"/>
  <c r="AW195" i="1" s="1"/>
  <c r="BZ195" i="1" s="1"/>
  <c r="AX196" i="1"/>
  <c r="AU196" i="1" s="1"/>
  <c r="AW196" i="1" s="1"/>
  <c r="BZ196" i="1" s="1"/>
  <c r="AX197" i="1"/>
  <c r="AX198" i="1"/>
  <c r="AU198" i="1" s="1"/>
  <c r="AW198" i="1" s="1"/>
  <c r="BZ198" i="1" s="1"/>
  <c r="AX199" i="1"/>
  <c r="AU199" i="1" s="1"/>
  <c r="AW199" i="1" s="1"/>
  <c r="AX200" i="1"/>
  <c r="AU200" i="1" s="1"/>
  <c r="AW200" i="1" s="1"/>
  <c r="AX201" i="1"/>
  <c r="AU201" i="1" s="1"/>
  <c r="AW201" i="1" s="1"/>
  <c r="AX202" i="1"/>
  <c r="AU202" i="1" s="1"/>
  <c r="AW202" i="1" s="1"/>
  <c r="BZ202" i="1" s="1"/>
  <c r="AX203" i="1"/>
  <c r="AU203" i="1" s="1"/>
  <c r="AW203" i="1" s="1"/>
  <c r="BZ203" i="1" s="1"/>
  <c r="AX204" i="1"/>
  <c r="AU204" i="1" s="1"/>
  <c r="AW204" i="1" s="1"/>
  <c r="BZ204" i="1" s="1"/>
  <c r="AX205" i="1"/>
  <c r="AU205" i="1" s="1"/>
  <c r="AW205" i="1" s="1"/>
  <c r="AX206" i="1"/>
  <c r="AU206" i="1" s="1"/>
  <c r="AW206" i="1" s="1"/>
  <c r="AX207" i="1"/>
  <c r="AU207" i="1" s="1"/>
  <c r="AW207" i="1" s="1"/>
  <c r="AX208" i="1"/>
  <c r="AU208" i="1" s="1"/>
  <c r="AW208" i="1" s="1"/>
  <c r="AX209" i="1"/>
  <c r="AX210" i="1"/>
  <c r="AU210" i="1" s="1"/>
  <c r="AW210" i="1" s="1"/>
  <c r="AX211" i="1"/>
  <c r="AU211" i="1" s="1"/>
  <c r="AW211" i="1" s="1"/>
  <c r="BZ211" i="1" s="1"/>
  <c r="AX212" i="1"/>
  <c r="AU212" i="1" s="1"/>
  <c r="AW212" i="1" s="1"/>
  <c r="BZ212" i="1" s="1"/>
  <c r="AX213" i="1"/>
  <c r="AX214" i="1"/>
  <c r="AU214" i="1" s="1"/>
  <c r="AW214" i="1" s="1"/>
  <c r="BZ214" i="1" s="1"/>
  <c r="AX215" i="1"/>
  <c r="AU215" i="1" s="1"/>
  <c r="AW215" i="1" s="1"/>
  <c r="BZ215" i="1" s="1"/>
  <c r="AX216" i="1"/>
  <c r="AU216" i="1" s="1"/>
  <c r="AW216" i="1" s="1"/>
  <c r="BZ216" i="1" s="1"/>
  <c r="AX217" i="1"/>
  <c r="AU217" i="1" s="1"/>
  <c r="AW217" i="1" s="1"/>
  <c r="AX218" i="1"/>
  <c r="AU218" i="1" s="1"/>
  <c r="AW218" i="1" s="1"/>
  <c r="AX219" i="1"/>
  <c r="AU219" i="1" s="1"/>
  <c r="AW219" i="1" s="1"/>
  <c r="AX220" i="1"/>
  <c r="AU220" i="1" s="1"/>
  <c r="AW220" i="1" s="1"/>
  <c r="BZ220" i="1" s="1"/>
  <c r="AX221" i="1"/>
  <c r="AU221" i="1" s="1"/>
  <c r="AW221" i="1" s="1"/>
  <c r="BZ221" i="1" s="1"/>
  <c r="AX222" i="1"/>
  <c r="AU222" i="1" s="1"/>
  <c r="AW222" i="1" s="1"/>
  <c r="BZ222" i="1" s="1"/>
  <c r="AX223" i="1"/>
  <c r="AU223" i="1" s="1"/>
  <c r="AW223" i="1" s="1"/>
  <c r="AX224" i="1"/>
  <c r="AU224" i="1" s="1"/>
  <c r="AW224" i="1" s="1"/>
  <c r="AX225" i="1"/>
  <c r="AX226" i="1"/>
  <c r="AU226" i="1" s="1"/>
  <c r="AW226" i="1" s="1"/>
  <c r="BZ226" i="1" s="1"/>
  <c r="AX227" i="1"/>
  <c r="AU227" i="1" s="1"/>
  <c r="AW227" i="1" s="1"/>
  <c r="BZ227" i="1" s="1"/>
  <c r="AX228" i="1"/>
  <c r="AU228" i="1" s="1"/>
  <c r="AW228" i="1" s="1"/>
  <c r="BZ228" i="1" s="1"/>
  <c r="AX229" i="1"/>
  <c r="AX230" i="1"/>
  <c r="AU230" i="1" s="1"/>
  <c r="AW230" i="1" s="1"/>
  <c r="BZ230" i="1" s="1"/>
  <c r="AX231" i="1"/>
  <c r="AU231" i="1" s="1"/>
  <c r="AW231" i="1" s="1"/>
  <c r="BZ231" i="1" s="1"/>
  <c r="AX232" i="1"/>
  <c r="AX233" i="1"/>
  <c r="AX234" i="1"/>
  <c r="AU234" i="1" s="1"/>
  <c r="AW234" i="1" s="1"/>
  <c r="BZ234" i="1" s="1"/>
  <c r="AX235" i="1"/>
  <c r="AX236" i="1"/>
  <c r="AX237" i="1"/>
  <c r="AU237" i="1" s="1"/>
  <c r="AW237" i="1" s="1"/>
  <c r="BZ237" i="1" s="1"/>
  <c r="AX172" i="1"/>
  <c r="AM79" i="1"/>
  <c r="AZ57" i="1"/>
  <c r="BQ57" i="1" s="1"/>
  <c r="AZ58" i="1"/>
  <c r="BQ58" i="1" s="1"/>
  <c r="AZ65" i="1"/>
  <c r="BQ65" i="1" s="1"/>
  <c r="AZ70" i="1"/>
  <c r="BQ70" i="1" s="1"/>
  <c r="AZ71" i="1"/>
  <c r="BQ71" i="1" s="1"/>
  <c r="AP172" i="1"/>
  <c r="AP173" i="1"/>
  <c r="AP174" i="1"/>
  <c r="AP175" i="1"/>
  <c r="AP176" i="1"/>
  <c r="AP177" i="1"/>
  <c r="AP178" i="1"/>
  <c r="AP179" i="1"/>
  <c r="AP180" i="1"/>
  <c r="AP187" i="1"/>
  <c r="AP188" i="1"/>
  <c r="AP189" i="1"/>
  <c r="AP190" i="1"/>
  <c r="AP191" i="1"/>
  <c r="AP192" i="1"/>
  <c r="AP193" i="1"/>
  <c r="AP194" i="1"/>
  <c r="AP195" i="1"/>
  <c r="AP196" i="1"/>
  <c r="AP197" i="1"/>
  <c r="AP198" i="1"/>
  <c r="AP205" i="1"/>
  <c r="AP206" i="1"/>
  <c r="AP207" i="1"/>
  <c r="AP208" i="1"/>
  <c r="AP209" i="1"/>
  <c r="AP210" i="1"/>
  <c r="AP211" i="1"/>
  <c r="AP212" i="1"/>
  <c r="AP213" i="1"/>
  <c r="AP214" i="1"/>
  <c r="AP215" i="1"/>
  <c r="AP216" i="1"/>
  <c r="AP223" i="1"/>
  <c r="AP224" i="1"/>
  <c r="AP225" i="1"/>
  <c r="AP226" i="1"/>
  <c r="AP227" i="1"/>
  <c r="AP228" i="1"/>
  <c r="AP229" i="1"/>
  <c r="AP230" i="1"/>
  <c r="AP231" i="1"/>
  <c r="AP232" i="1"/>
  <c r="AP233" i="1"/>
  <c r="AP234" i="1"/>
  <c r="AP235" i="1"/>
  <c r="AP236" i="1"/>
  <c r="AP237" i="1"/>
  <c r="BY106" i="1" l="1"/>
  <c r="BY108" i="1"/>
  <c r="BY14" i="1"/>
  <c r="BY19" i="1"/>
  <c r="BY11" i="1"/>
  <c r="BY16" i="1"/>
  <c r="BY12" i="1"/>
  <c r="BY13" i="1"/>
  <c r="CB107" i="1"/>
  <c r="CB106" i="1"/>
  <c r="CB114" i="1"/>
  <c r="CB108" i="1"/>
  <c r="CB112" i="1"/>
  <c r="BY18" i="1"/>
  <c r="BY17" i="1"/>
  <c r="BY20" i="1"/>
  <c r="BY9" i="1"/>
  <c r="BY10" i="1"/>
  <c r="BY15" i="1"/>
  <c r="AZ213" i="1"/>
  <c r="BQ213" i="1" s="1"/>
  <c r="AU213" i="1"/>
  <c r="AW213" i="1" s="1"/>
  <c r="BZ213" i="1" s="1"/>
  <c r="AZ209" i="1"/>
  <c r="BQ209" i="1" s="1"/>
  <c r="AU209" i="1"/>
  <c r="AW209" i="1" s="1"/>
  <c r="AZ197" i="1"/>
  <c r="BQ197" i="1" s="1"/>
  <c r="AU197" i="1"/>
  <c r="AW197" i="1" s="1"/>
  <c r="BZ197" i="1" s="1"/>
  <c r="AZ181" i="1"/>
  <c r="BQ181" i="1" s="1"/>
  <c r="AU181" i="1"/>
  <c r="AW181" i="1" s="1"/>
  <c r="AZ236" i="1"/>
  <c r="BQ236" i="1" s="1"/>
  <c r="AU236" i="1"/>
  <c r="AW236" i="1" s="1"/>
  <c r="BZ236" i="1" s="1"/>
  <c r="AZ232" i="1"/>
  <c r="BQ232" i="1" s="1"/>
  <c r="AU232" i="1"/>
  <c r="AW232" i="1" s="1"/>
  <c r="BZ232" i="1" s="1"/>
  <c r="AZ233" i="1"/>
  <c r="BQ233" i="1" s="1"/>
  <c r="AU233" i="1"/>
  <c r="AW233" i="1" s="1"/>
  <c r="BZ233" i="1" s="1"/>
  <c r="AZ229" i="1"/>
  <c r="BQ229" i="1" s="1"/>
  <c r="AU229" i="1"/>
  <c r="AW229" i="1" s="1"/>
  <c r="BZ229" i="1" s="1"/>
  <c r="AZ225" i="1"/>
  <c r="BQ225" i="1" s="1"/>
  <c r="AU225" i="1"/>
  <c r="AW225" i="1" s="1"/>
  <c r="AZ193" i="1"/>
  <c r="BQ193" i="1" s="1"/>
  <c r="AU193" i="1"/>
  <c r="AW193" i="1" s="1"/>
  <c r="BZ193" i="1" s="1"/>
  <c r="AZ177" i="1"/>
  <c r="BQ177" i="1" s="1"/>
  <c r="AU177" i="1"/>
  <c r="AW177" i="1" s="1"/>
  <c r="BZ177" i="1" s="1"/>
  <c r="AZ235" i="1"/>
  <c r="BQ235" i="1" s="1"/>
  <c r="AU235" i="1"/>
  <c r="AW235" i="1" s="1"/>
  <c r="BZ235" i="1" s="1"/>
  <c r="AZ172" i="1"/>
  <c r="BQ172" i="1" s="1"/>
  <c r="AU172" i="1"/>
  <c r="AW172" i="1" s="1"/>
  <c r="AZ215" i="1"/>
  <c r="BQ215" i="1" s="1"/>
  <c r="AZ194" i="1"/>
  <c r="BQ194" i="1" s="1"/>
  <c r="AZ174" i="1"/>
  <c r="BQ174" i="1" s="1"/>
  <c r="AZ218" i="1"/>
  <c r="BQ218" i="1" s="1"/>
  <c r="AZ234" i="1"/>
  <c r="BQ234" i="1" s="1"/>
  <c r="AZ226" i="1"/>
  <c r="BQ226" i="1" s="1"/>
  <c r="AZ202" i="1"/>
  <c r="BQ202" i="1" s="1"/>
  <c r="AZ210" i="1"/>
  <c r="BQ210" i="1" s="1"/>
  <c r="AZ179" i="1"/>
  <c r="BQ179" i="1" s="1"/>
  <c r="AZ203" i="1"/>
  <c r="BQ203" i="1" s="1"/>
  <c r="AZ223" i="1"/>
  <c r="BQ223" i="1" s="1"/>
  <c r="AZ211" i="1"/>
  <c r="BQ211" i="1" s="1"/>
  <c r="AZ191" i="1"/>
  <c r="BQ191" i="1" s="1"/>
  <c r="AZ175" i="1"/>
  <c r="BQ175" i="1" s="1"/>
  <c r="AZ219" i="1"/>
  <c r="BQ219" i="1" s="1"/>
  <c r="AZ199" i="1"/>
  <c r="BQ199" i="1" s="1"/>
  <c r="AZ187" i="1"/>
  <c r="BQ187" i="1" s="1"/>
  <c r="AZ227" i="1"/>
  <c r="BQ227" i="1" s="1"/>
  <c r="AZ207" i="1"/>
  <c r="BQ207" i="1" s="1"/>
  <c r="AZ195" i="1"/>
  <c r="BQ195" i="1" s="1"/>
  <c r="AZ183" i="1"/>
  <c r="BQ183" i="1" s="1"/>
  <c r="R167" i="1"/>
  <c r="BS167" i="1" s="1"/>
  <c r="R168" i="1"/>
  <c r="BS168" i="1" s="1"/>
  <c r="AZ231" i="1"/>
  <c r="BQ231" i="1" s="1"/>
  <c r="AZ221" i="1"/>
  <c r="BQ221" i="1" s="1"/>
  <c r="AZ214" i="1"/>
  <c r="BQ214" i="1" s="1"/>
  <c r="AZ206" i="1"/>
  <c r="BQ206" i="1" s="1"/>
  <c r="AZ198" i="1"/>
  <c r="BQ198" i="1" s="1"/>
  <c r="AZ190" i="1"/>
  <c r="BQ190" i="1" s="1"/>
  <c r="AZ182" i="1"/>
  <c r="BQ182" i="1" s="1"/>
  <c r="R171" i="1"/>
  <c r="BS171" i="1" s="1"/>
  <c r="AZ189" i="1"/>
  <c r="BQ189" i="1" s="1"/>
  <c r="R170" i="1"/>
  <c r="BS170" i="1" s="1"/>
  <c r="AZ237" i="1"/>
  <c r="BQ237" i="1" s="1"/>
  <c r="R169" i="1"/>
  <c r="BS169" i="1" s="1"/>
  <c r="AZ230" i="1"/>
  <c r="BQ230" i="1" s="1"/>
  <c r="AZ222" i="1"/>
  <c r="BQ222" i="1" s="1"/>
  <c r="AZ186" i="1"/>
  <c r="BQ186" i="1" s="1"/>
  <c r="AZ178" i="1"/>
  <c r="BQ178" i="1" s="1"/>
  <c r="BC171" i="1"/>
  <c r="BD171" i="1" s="1"/>
  <c r="AZ205" i="1"/>
  <c r="BQ205" i="1" s="1"/>
  <c r="AZ173" i="1"/>
  <c r="BQ173" i="1" s="1"/>
  <c r="AZ196" i="1"/>
  <c r="BQ196" i="1" s="1"/>
  <c r="AZ217" i="1"/>
  <c r="BQ217" i="1" s="1"/>
  <c r="AZ185" i="1"/>
  <c r="BQ185" i="1" s="1"/>
  <c r="BC167" i="1"/>
  <c r="BD167" i="1" s="1"/>
  <c r="BC170" i="1"/>
  <c r="BD170" i="1" s="1"/>
  <c r="BC168" i="1"/>
  <c r="BD168" i="1" s="1"/>
  <c r="AZ201" i="1"/>
  <c r="BQ201" i="1" s="1"/>
  <c r="AZ212" i="1"/>
  <c r="BQ212" i="1" s="1"/>
  <c r="BC169" i="1"/>
  <c r="BD169" i="1" s="1"/>
  <c r="AZ228" i="1"/>
  <c r="BQ228" i="1" s="1"/>
  <c r="AZ224" i="1"/>
  <c r="BQ224" i="1" s="1"/>
  <c r="AZ220" i="1"/>
  <c r="BQ220" i="1" s="1"/>
  <c r="AZ216" i="1"/>
  <c r="BQ216" i="1" s="1"/>
  <c r="AZ208" i="1"/>
  <c r="BQ208" i="1" s="1"/>
  <c r="AZ204" i="1"/>
  <c r="BQ204" i="1" s="1"/>
  <c r="AZ200" i="1"/>
  <c r="BQ200" i="1" s="1"/>
  <c r="AZ192" i="1"/>
  <c r="BQ192" i="1" s="1"/>
  <c r="AZ188" i="1"/>
  <c r="BQ188" i="1" s="1"/>
  <c r="AZ184" i="1"/>
  <c r="BQ184" i="1" s="1"/>
  <c r="AZ180" i="1"/>
  <c r="BQ180" i="1" s="1"/>
  <c r="AZ176" i="1"/>
  <c r="BQ176" i="1" s="1"/>
  <c r="J173" i="1"/>
  <c r="J174" i="1"/>
  <c r="J175" i="1"/>
  <c r="J176" i="1"/>
  <c r="J177" i="1"/>
  <c r="J178" i="1"/>
  <c r="J179" i="1"/>
  <c r="J180" i="1"/>
  <c r="J181" i="1"/>
  <c r="J182" i="1"/>
  <c r="J183" i="1"/>
  <c r="J184" i="1"/>
  <c r="J185" i="1"/>
  <c r="J186" i="1"/>
  <c r="J187" i="1"/>
  <c r="J188" i="1"/>
  <c r="J189" i="1"/>
  <c r="J190" i="1"/>
  <c r="J191" i="1"/>
  <c r="J192" i="1"/>
  <c r="J193" i="1"/>
  <c r="J194" i="1"/>
  <c r="J195" i="1"/>
  <c r="J196" i="1"/>
  <c r="J197" i="1"/>
  <c r="J198" i="1"/>
  <c r="J199" i="1"/>
  <c r="J200" i="1"/>
  <c r="J201" i="1"/>
  <c r="J202" i="1"/>
  <c r="J203" i="1"/>
  <c r="J204" i="1"/>
  <c r="J205" i="1"/>
  <c r="J206" i="1"/>
  <c r="J207" i="1"/>
  <c r="J208" i="1"/>
  <c r="J209" i="1"/>
  <c r="J210" i="1"/>
  <c r="J211" i="1"/>
  <c r="J212" i="1"/>
  <c r="J213" i="1"/>
  <c r="J214" i="1"/>
  <c r="J215" i="1"/>
  <c r="J216" i="1"/>
  <c r="J217" i="1"/>
  <c r="J218" i="1"/>
  <c r="J219" i="1"/>
  <c r="J220" i="1"/>
  <c r="J221" i="1"/>
  <c r="J222" i="1"/>
  <c r="J223" i="1"/>
  <c r="J224" i="1"/>
  <c r="J225" i="1"/>
  <c r="J226" i="1"/>
  <c r="J227" i="1"/>
  <c r="J228" i="1"/>
  <c r="J229" i="1"/>
  <c r="J230" i="1"/>
  <c r="J231" i="1"/>
  <c r="J232" i="1"/>
  <c r="J233" i="1"/>
  <c r="J234" i="1"/>
  <c r="J235" i="1"/>
  <c r="J236" i="1"/>
  <c r="J237" i="1"/>
  <c r="Q173" i="1"/>
  <c r="Q174" i="1"/>
  <c r="Q175" i="1"/>
  <c r="Q176" i="1"/>
  <c r="Q177" i="1"/>
  <c r="Q178" i="1"/>
  <c r="Q179" i="1"/>
  <c r="Q180" i="1"/>
  <c r="Q181" i="1"/>
  <c r="Q182" i="1"/>
  <c r="Q183" i="1"/>
  <c r="Q184" i="1"/>
  <c r="Q185" i="1"/>
  <c r="Q186" i="1"/>
  <c r="Q187" i="1"/>
  <c r="Q188" i="1"/>
  <c r="Q189" i="1"/>
  <c r="Q190" i="1"/>
  <c r="Q191" i="1"/>
  <c r="Q192" i="1"/>
  <c r="Q193" i="1"/>
  <c r="Q194" i="1"/>
  <c r="Q195" i="1"/>
  <c r="Q196" i="1"/>
  <c r="Q197" i="1"/>
  <c r="Q198" i="1"/>
  <c r="Q199" i="1"/>
  <c r="Q200" i="1"/>
  <c r="Q201" i="1"/>
  <c r="Q202" i="1"/>
  <c r="Q203" i="1"/>
  <c r="Q204" i="1"/>
  <c r="Q205" i="1"/>
  <c r="Q206" i="1"/>
  <c r="Q207" i="1"/>
  <c r="Q208" i="1"/>
  <c r="Q209" i="1"/>
  <c r="Q210" i="1"/>
  <c r="Q211" i="1"/>
  <c r="Q212" i="1"/>
  <c r="Q213" i="1"/>
  <c r="Q214" i="1"/>
  <c r="Q215" i="1"/>
  <c r="Q216" i="1"/>
  <c r="Q217" i="1"/>
  <c r="Q218" i="1"/>
  <c r="Q219" i="1"/>
  <c r="Q220" i="1"/>
  <c r="Q221" i="1"/>
  <c r="Q222" i="1"/>
  <c r="Q223" i="1"/>
  <c r="Q224" i="1"/>
  <c r="Q225" i="1"/>
  <c r="Q226" i="1"/>
  <c r="Q227" i="1"/>
  <c r="Q228" i="1"/>
  <c r="Q229" i="1"/>
  <c r="Q230" i="1"/>
  <c r="Q231" i="1"/>
  <c r="Q232" i="1"/>
  <c r="Q233" i="1"/>
  <c r="Q234" i="1"/>
  <c r="Q235" i="1"/>
  <c r="Q236" i="1"/>
  <c r="Q237" i="1"/>
  <c r="Q172" i="1"/>
  <c r="J172" i="1"/>
  <c r="CB17" i="1" l="1"/>
  <c r="CC17" i="1" s="1"/>
  <c r="CB20" i="1"/>
  <c r="CC20" i="1" s="1"/>
  <c r="CB19" i="1"/>
  <c r="CC19" i="1" s="1"/>
  <c r="BT167" i="1"/>
  <c r="CB18" i="1"/>
  <c r="CC18" i="1" s="1"/>
  <c r="BT168" i="1"/>
  <c r="BT171" i="1"/>
  <c r="BT169" i="1"/>
  <c r="BT170" i="1"/>
  <c r="CB13" i="1"/>
  <c r="CC13" i="1" s="1"/>
  <c r="CB9" i="1"/>
  <c r="CC9" i="1" s="1"/>
  <c r="CB14" i="1"/>
  <c r="CC14" i="1" s="1"/>
  <c r="CB15" i="1"/>
  <c r="CC15" i="1" s="1"/>
  <c r="CB16" i="1"/>
  <c r="CC16" i="1" s="1"/>
  <c r="CB10" i="1"/>
  <c r="CC10" i="1" s="1"/>
  <c r="CB11" i="1"/>
  <c r="CC11" i="1" s="1"/>
  <c r="CB12" i="1"/>
  <c r="CC12" i="1" s="1"/>
  <c r="CD13" i="1"/>
  <c r="BV170" i="1"/>
  <c r="CA170" i="1" s="1"/>
  <c r="BV169" i="1"/>
  <c r="CA169" i="1" s="1"/>
  <c r="BV171" i="1"/>
  <c r="CA171" i="1" s="1"/>
  <c r="BV168" i="1"/>
  <c r="CA168" i="1" s="1"/>
  <c r="BV167" i="1"/>
  <c r="CA167" i="1" s="1"/>
  <c r="CD17" i="1"/>
  <c r="BC232" i="1"/>
  <c r="BD232" i="1" s="1"/>
  <c r="R232" i="1"/>
  <c r="BC220" i="1"/>
  <c r="BD220" i="1" s="1"/>
  <c r="R220" i="1"/>
  <c r="BC212" i="1"/>
  <c r="BD212" i="1" s="1"/>
  <c r="R212" i="1"/>
  <c r="BC200" i="1"/>
  <c r="BD200" i="1" s="1"/>
  <c r="R200" i="1"/>
  <c r="BC188" i="1"/>
  <c r="BD188" i="1" s="1"/>
  <c r="R188" i="1"/>
  <c r="BC176" i="1"/>
  <c r="BD176" i="1" s="1"/>
  <c r="R176" i="1"/>
  <c r="BC235" i="1"/>
  <c r="BD235" i="1" s="1"/>
  <c r="R235" i="1"/>
  <c r="BC231" i="1"/>
  <c r="BD231" i="1" s="1"/>
  <c r="R231" i="1"/>
  <c r="BC227" i="1"/>
  <c r="BD227" i="1" s="1"/>
  <c r="R227" i="1"/>
  <c r="BC223" i="1"/>
  <c r="BD223" i="1" s="1"/>
  <c r="R223" i="1"/>
  <c r="BC219" i="1"/>
  <c r="BD219" i="1" s="1"/>
  <c r="R219" i="1"/>
  <c r="BC215" i="1"/>
  <c r="BD215" i="1" s="1"/>
  <c r="R215" i="1"/>
  <c r="BC211" i="1"/>
  <c r="BD211" i="1" s="1"/>
  <c r="R211" i="1"/>
  <c r="BC207" i="1"/>
  <c r="BD207" i="1" s="1"/>
  <c r="R207" i="1"/>
  <c r="BC203" i="1"/>
  <c r="BD203" i="1" s="1"/>
  <c r="R203" i="1"/>
  <c r="BC199" i="1"/>
  <c r="BD199" i="1" s="1"/>
  <c r="R199" i="1"/>
  <c r="BC195" i="1"/>
  <c r="BD195" i="1" s="1"/>
  <c r="R195" i="1"/>
  <c r="BC191" i="1"/>
  <c r="BD191" i="1" s="1"/>
  <c r="R191" i="1"/>
  <c r="BC187" i="1"/>
  <c r="BD187" i="1" s="1"/>
  <c r="R187" i="1"/>
  <c r="BC183" i="1"/>
  <c r="BD183" i="1" s="1"/>
  <c r="R183" i="1"/>
  <c r="BC179" i="1"/>
  <c r="BD179" i="1" s="1"/>
  <c r="R179" i="1"/>
  <c r="BC175" i="1"/>
  <c r="BD175" i="1" s="1"/>
  <c r="R175" i="1"/>
  <c r="BC228" i="1"/>
  <c r="BD228" i="1" s="1"/>
  <c r="R228" i="1"/>
  <c r="BC216" i="1"/>
  <c r="BD216" i="1" s="1"/>
  <c r="R216" i="1"/>
  <c r="BC204" i="1"/>
  <c r="BD204" i="1" s="1"/>
  <c r="R204" i="1"/>
  <c r="BC192" i="1"/>
  <c r="BD192" i="1" s="1"/>
  <c r="R192" i="1"/>
  <c r="BC180" i="1"/>
  <c r="BD180" i="1" s="1"/>
  <c r="R180" i="1"/>
  <c r="R172" i="1"/>
  <c r="BC172" i="1"/>
  <c r="BD172" i="1" s="1"/>
  <c r="BC234" i="1"/>
  <c r="BD234" i="1" s="1"/>
  <c r="R234" i="1"/>
  <c r="BC230" i="1"/>
  <c r="BD230" i="1" s="1"/>
  <c r="R230" i="1"/>
  <c r="BC226" i="1"/>
  <c r="BD226" i="1" s="1"/>
  <c r="R226" i="1"/>
  <c r="BC222" i="1"/>
  <c r="BD222" i="1" s="1"/>
  <c r="R222" i="1"/>
  <c r="BC218" i="1"/>
  <c r="BD218" i="1" s="1"/>
  <c r="R218" i="1"/>
  <c r="BC214" i="1"/>
  <c r="BD214" i="1" s="1"/>
  <c r="R214" i="1"/>
  <c r="BC210" i="1"/>
  <c r="BD210" i="1" s="1"/>
  <c r="R210" i="1"/>
  <c r="BC206" i="1"/>
  <c r="BD206" i="1" s="1"/>
  <c r="R206" i="1"/>
  <c r="BC202" i="1"/>
  <c r="BD202" i="1" s="1"/>
  <c r="R202" i="1"/>
  <c r="BC198" i="1"/>
  <c r="BD198" i="1" s="1"/>
  <c r="R198" i="1"/>
  <c r="BC194" i="1"/>
  <c r="BD194" i="1" s="1"/>
  <c r="R194" i="1"/>
  <c r="BC190" i="1"/>
  <c r="BD190" i="1" s="1"/>
  <c r="R190" i="1"/>
  <c r="BC186" i="1"/>
  <c r="BD186" i="1" s="1"/>
  <c r="R186" i="1"/>
  <c r="BC182" i="1"/>
  <c r="BD182" i="1" s="1"/>
  <c r="R182" i="1"/>
  <c r="BC178" i="1"/>
  <c r="BD178" i="1" s="1"/>
  <c r="R178" i="1"/>
  <c r="BC174" i="1"/>
  <c r="BD174" i="1" s="1"/>
  <c r="R174" i="1"/>
  <c r="BC236" i="1"/>
  <c r="BD236" i="1" s="1"/>
  <c r="R236" i="1"/>
  <c r="BC224" i="1"/>
  <c r="BD224" i="1" s="1"/>
  <c r="R224" i="1"/>
  <c r="BC208" i="1"/>
  <c r="BD208" i="1" s="1"/>
  <c r="R208" i="1"/>
  <c r="BC196" i="1"/>
  <c r="BD196" i="1" s="1"/>
  <c r="R196" i="1"/>
  <c r="BC184" i="1"/>
  <c r="BD184" i="1" s="1"/>
  <c r="R184" i="1"/>
  <c r="BC237" i="1"/>
  <c r="BD237" i="1" s="1"/>
  <c r="R237" i="1"/>
  <c r="BC233" i="1"/>
  <c r="BD233" i="1" s="1"/>
  <c r="R233" i="1"/>
  <c r="BC229" i="1"/>
  <c r="BD229" i="1" s="1"/>
  <c r="R229" i="1"/>
  <c r="BC225" i="1"/>
  <c r="BD225" i="1" s="1"/>
  <c r="R225" i="1"/>
  <c r="BC221" i="1"/>
  <c r="BD221" i="1" s="1"/>
  <c r="R221" i="1"/>
  <c r="BC217" i="1"/>
  <c r="BD217" i="1" s="1"/>
  <c r="R217" i="1"/>
  <c r="BC213" i="1"/>
  <c r="BD213" i="1" s="1"/>
  <c r="R213" i="1"/>
  <c r="BC209" i="1"/>
  <c r="BD209" i="1" s="1"/>
  <c r="R209" i="1"/>
  <c r="BC205" i="1"/>
  <c r="BD205" i="1" s="1"/>
  <c r="R205" i="1"/>
  <c r="BC201" i="1"/>
  <c r="BD201" i="1" s="1"/>
  <c r="R201" i="1"/>
  <c r="BC197" i="1"/>
  <c r="BD197" i="1" s="1"/>
  <c r="R197" i="1"/>
  <c r="BC193" i="1"/>
  <c r="BD193" i="1" s="1"/>
  <c r="R193" i="1"/>
  <c r="BC189" i="1"/>
  <c r="BD189" i="1" s="1"/>
  <c r="R189" i="1"/>
  <c r="BC185" i="1"/>
  <c r="BD185" i="1" s="1"/>
  <c r="R185" i="1"/>
  <c r="BC181" i="1"/>
  <c r="BD181" i="1" s="1"/>
  <c r="R181" i="1"/>
  <c r="BC177" i="1"/>
  <c r="BD177" i="1" s="1"/>
  <c r="R177" i="1"/>
  <c r="BC173" i="1"/>
  <c r="BD173" i="1" s="1"/>
  <c r="R173" i="1"/>
  <c r="BV172" i="1" l="1"/>
  <c r="CA172" i="1" s="1"/>
  <c r="BS172" i="1"/>
  <c r="BV181" i="1"/>
  <c r="CA181" i="1" s="1"/>
  <c r="BS181" i="1"/>
  <c r="BV197" i="1"/>
  <c r="CA197" i="1" s="1"/>
  <c r="BS197" i="1"/>
  <c r="BV213" i="1"/>
  <c r="CA213" i="1" s="1"/>
  <c r="BS213" i="1"/>
  <c r="BV229" i="1"/>
  <c r="CA229" i="1" s="1"/>
  <c r="BS229" i="1"/>
  <c r="BV196" i="1"/>
  <c r="CA196" i="1" s="1"/>
  <c r="BS196" i="1"/>
  <c r="BV174" i="1"/>
  <c r="CA174" i="1" s="1"/>
  <c r="BS174" i="1"/>
  <c r="BV190" i="1"/>
  <c r="CA190" i="1" s="1"/>
  <c r="BS190" i="1"/>
  <c r="BV206" i="1"/>
  <c r="CA206" i="1" s="1"/>
  <c r="BS206" i="1"/>
  <c r="BV222" i="1"/>
  <c r="CA222" i="1" s="1"/>
  <c r="BS222" i="1"/>
  <c r="BV216" i="1"/>
  <c r="CA216" i="1" s="1"/>
  <c r="BS216" i="1"/>
  <c r="BV183" i="1"/>
  <c r="CA183" i="1" s="1"/>
  <c r="BS183" i="1"/>
  <c r="BV199" i="1"/>
  <c r="CA199" i="1" s="1"/>
  <c r="BS199" i="1"/>
  <c r="BV215" i="1"/>
  <c r="CA215" i="1" s="1"/>
  <c r="BS215" i="1"/>
  <c r="BV231" i="1"/>
  <c r="CA231" i="1" s="1"/>
  <c r="BS231" i="1"/>
  <c r="BV200" i="1"/>
  <c r="CA200" i="1" s="1"/>
  <c r="BS200" i="1"/>
  <c r="BV194" i="1"/>
  <c r="CA194" i="1" s="1"/>
  <c r="BS194" i="1"/>
  <c r="BV180" i="1"/>
  <c r="CA180" i="1" s="1"/>
  <c r="BS180" i="1"/>
  <c r="BV228" i="1"/>
  <c r="CA228" i="1" s="1"/>
  <c r="BS228" i="1"/>
  <c r="BV187" i="1"/>
  <c r="CA187" i="1" s="1"/>
  <c r="BS187" i="1"/>
  <c r="BV203" i="1"/>
  <c r="CA203" i="1" s="1"/>
  <c r="BS203" i="1"/>
  <c r="BV219" i="1"/>
  <c r="CA219" i="1" s="1"/>
  <c r="BS219" i="1"/>
  <c r="BV235" i="1"/>
  <c r="CA235" i="1" s="1"/>
  <c r="BS235" i="1"/>
  <c r="BV212" i="1"/>
  <c r="CA212" i="1" s="1"/>
  <c r="BS212" i="1"/>
  <c r="BV201" i="1"/>
  <c r="CA201" i="1" s="1"/>
  <c r="BS201" i="1"/>
  <c r="BV178" i="1"/>
  <c r="CA178" i="1" s="1"/>
  <c r="BS178" i="1"/>
  <c r="BV173" i="1"/>
  <c r="CA173" i="1" s="1"/>
  <c r="BS173" i="1"/>
  <c r="BV189" i="1"/>
  <c r="CA189" i="1" s="1"/>
  <c r="BS189" i="1"/>
  <c r="BV205" i="1"/>
  <c r="CA205" i="1" s="1"/>
  <c r="BS205" i="1"/>
  <c r="BV221" i="1"/>
  <c r="CA221" i="1" s="1"/>
  <c r="BS221" i="1"/>
  <c r="BV237" i="1"/>
  <c r="CA237" i="1" s="1"/>
  <c r="BS237" i="1"/>
  <c r="BV224" i="1"/>
  <c r="CA224" i="1" s="1"/>
  <c r="BS224" i="1"/>
  <c r="BV182" i="1"/>
  <c r="CA182" i="1" s="1"/>
  <c r="BS182" i="1"/>
  <c r="BV198" i="1"/>
  <c r="CA198" i="1" s="1"/>
  <c r="BS198" i="1"/>
  <c r="BV214" i="1"/>
  <c r="CA214" i="1" s="1"/>
  <c r="BS214" i="1"/>
  <c r="BV230" i="1"/>
  <c r="CA230" i="1" s="1"/>
  <c r="BS230" i="1"/>
  <c r="BV192" i="1"/>
  <c r="CA192" i="1" s="1"/>
  <c r="BS192" i="1"/>
  <c r="BV175" i="1"/>
  <c r="CA175" i="1" s="1"/>
  <c r="BS175" i="1"/>
  <c r="BV191" i="1"/>
  <c r="CA191" i="1" s="1"/>
  <c r="BS191" i="1"/>
  <c r="BV207" i="1"/>
  <c r="CA207" i="1" s="1"/>
  <c r="BS207" i="1"/>
  <c r="BV223" i="1"/>
  <c r="CA223" i="1" s="1"/>
  <c r="BS223" i="1"/>
  <c r="BV176" i="1"/>
  <c r="CA176" i="1" s="1"/>
  <c r="BS176" i="1"/>
  <c r="BV220" i="1"/>
  <c r="CA220" i="1" s="1"/>
  <c r="BS220" i="1"/>
  <c r="BV233" i="1"/>
  <c r="CA233" i="1" s="1"/>
  <c r="BS233" i="1"/>
  <c r="BV210" i="1"/>
  <c r="CA210" i="1" s="1"/>
  <c r="BS210" i="1"/>
  <c r="BV185" i="1"/>
  <c r="CA185" i="1" s="1"/>
  <c r="BS185" i="1"/>
  <c r="BV208" i="1"/>
  <c r="CA208" i="1" s="1"/>
  <c r="BS208" i="1"/>
  <c r="BV177" i="1"/>
  <c r="CA177" i="1" s="1"/>
  <c r="BS177" i="1"/>
  <c r="BV193" i="1"/>
  <c r="CA193" i="1" s="1"/>
  <c r="BS193" i="1"/>
  <c r="BV209" i="1"/>
  <c r="CA209" i="1" s="1"/>
  <c r="BS209" i="1"/>
  <c r="BV225" i="1"/>
  <c r="CA225" i="1" s="1"/>
  <c r="BS225" i="1"/>
  <c r="BV184" i="1"/>
  <c r="CA184" i="1" s="1"/>
  <c r="BS184" i="1"/>
  <c r="BV236" i="1"/>
  <c r="CA236" i="1" s="1"/>
  <c r="BS236" i="1"/>
  <c r="BV186" i="1"/>
  <c r="CA186" i="1" s="1"/>
  <c r="BS186" i="1"/>
  <c r="BV202" i="1"/>
  <c r="CA202" i="1" s="1"/>
  <c r="BS202" i="1"/>
  <c r="BV218" i="1"/>
  <c r="CA218" i="1" s="1"/>
  <c r="BS218" i="1"/>
  <c r="BV234" i="1"/>
  <c r="CA234" i="1" s="1"/>
  <c r="BS234" i="1"/>
  <c r="BV204" i="1"/>
  <c r="CA204" i="1" s="1"/>
  <c r="BS204" i="1"/>
  <c r="BV179" i="1"/>
  <c r="CA179" i="1" s="1"/>
  <c r="BS179" i="1"/>
  <c r="BV195" i="1"/>
  <c r="CA195" i="1" s="1"/>
  <c r="BS195" i="1"/>
  <c r="BV211" i="1"/>
  <c r="CA211" i="1" s="1"/>
  <c r="BS211" i="1"/>
  <c r="BV227" i="1"/>
  <c r="CA227" i="1" s="1"/>
  <c r="BS227" i="1"/>
  <c r="BV188" i="1"/>
  <c r="CA188" i="1" s="1"/>
  <c r="BS188" i="1"/>
  <c r="BV232" i="1"/>
  <c r="CA232" i="1" s="1"/>
  <c r="BS232" i="1"/>
  <c r="BV217" i="1"/>
  <c r="CA217" i="1" s="1"/>
  <c r="BS217" i="1"/>
  <c r="BV226" i="1"/>
  <c r="CA226" i="1" s="1"/>
  <c r="BS226" i="1"/>
  <c r="CD11" i="1"/>
  <c r="CD14" i="1"/>
  <c r="CD10" i="1"/>
  <c r="CD19" i="1"/>
  <c r="CD16" i="1"/>
  <c r="CD20" i="1"/>
  <c r="CD12" i="1"/>
  <c r="CD15" i="1"/>
  <c r="CD18" i="1"/>
  <c r="CD9" i="1"/>
  <c r="BT177" i="1"/>
  <c r="BT201" i="1"/>
  <c r="BT225" i="1"/>
  <c r="BT208" i="1"/>
  <c r="BT186" i="1"/>
  <c r="BT172" i="1"/>
  <c r="BT185" i="1"/>
  <c r="BT209" i="1"/>
  <c r="BT233" i="1"/>
  <c r="BT236" i="1"/>
  <c r="BT194" i="1"/>
  <c r="BT173" i="1"/>
  <c r="BT181" i="1"/>
  <c r="BT189" i="1"/>
  <c r="BT197" i="1"/>
  <c r="BT205" i="1"/>
  <c r="BT213" i="1"/>
  <c r="BT221" i="1"/>
  <c r="BT229" i="1"/>
  <c r="BT237" i="1"/>
  <c r="BT196" i="1"/>
  <c r="BT224" i="1"/>
  <c r="BT174" i="1"/>
  <c r="BT182" i="1"/>
  <c r="BT190" i="1"/>
  <c r="BT198" i="1"/>
  <c r="BT206" i="1"/>
  <c r="BT214" i="1"/>
  <c r="BT222" i="1"/>
  <c r="BT230" i="1"/>
  <c r="BT192" i="1"/>
  <c r="BT216" i="1"/>
  <c r="BT175" i="1"/>
  <c r="BT183" i="1"/>
  <c r="BT191" i="1"/>
  <c r="BT199" i="1"/>
  <c r="BT207" i="1"/>
  <c r="BT215" i="1"/>
  <c r="BT223" i="1"/>
  <c r="BT231" i="1"/>
  <c r="BT176" i="1"/>
  <c r="BT200" i="1"/>
  <c r="BT220" i="1"/>
  <c r="BT193" i="1"/>
  <c r="BT217" i="1"/>
  <c r="BT184" i="1"/>
  <c r="BT178" i="1"/>
  <c r="BT202" i="1"/>
  <c r="BT210" i="1"/>
  <c r="BT218" i="1"/>
  <c r="BT226" i="1"/>
  <c r="BT234" i="1"/>
  <c r="BT180" i="1"/>
  <c r="BT204" i="1"/>
  <c r="BT228" i="1"/>
  <c r="BT179" i="1"/>
  <c r="BT187" i="1"/>
  <c r="BT195" i="1"/>
  <c r="BT203" i="1"/>
  <c r="BT211" i="1"/>
  <c r="BT219" i="1"/>
  <c r="BT227" i="1"/>
  <c r="BT235" i="1"/>
  <c r="BT188" i="1"/>
  <c r="BT212" i="1"/>
  <c r="BT232" i="1"/>
  <c r="BY208" i="1"/>
  <c r="BY178" i="1"/>
  <c r="BY194" i="1"/>
  <c r="BY202" i="1"/>
  <c r="BY210" i="1"/>
  <c r="BY226" i="1"/>
  <c r="BY234" i="1"/>
  <c r="BY180" i="1"/>
  <c r="BY204" i="1"/>
  <c r="BY228" i="1"/>
  <c r="BY179" i="1"/>
  <c r="BY203" i="1"/>
  <c r="BY211" i="1"/>
  <c r="BY219" i="1"/>
  <c r="BY227" i="1"/>
  <c r="BY235" i="1"/>
  <c r="BY188" i="1"/>
  <c r="BY167" i="1"/>
  <c r="BY171" i="1"/>
  <c r="BY170" i="1"/>
  <c r="BY172" i="1"/>
  <c r="BY168" i="1"/>
  <c r="BY169" i="1"/>
  <c r="BY185" i="1"/>
  <c r="BY193" i="1"/>
  <c r="BY201" i="1"/>
  <c r="BY209" i="1"/>
  <c r="BY217" i="1"/>
  <c r="BY225" i="1"/>
  <c r="BY236" i="1"/>
  <c r="BY186" i="1"/>
  <c r="BY173" i="1"/>
  <c r="BY181" i="1"/>
  <c r="BY197" i="1"/>
  <c r="BY205" i="1"/>
  <c r="BY221" i="1"/>
  <c r="BY229" i="1"/>
  <c r="BY237" i="1"/>
  <c r="BY196" i="1"/>
  <c r="BY174" i="1"/>
  <c r="BY182" i="1"/>
  <c r="BY198" i="1"/>
  <c r="BY206" i="1"/>
  <c r="BY214" i="1"/>
  <c r="BY222" i="1"/>
  <c r="BY192" i="1"/>
  <c r="BY216" i="1"/>
  <c r="BY175" i="1"/>
  <c r="BY191" i="1"/>
  <c r="BY199" i="1"/>
  <c r="BY215" i="1"/>
  <c r="BY223" i="1"/>
  <c r="BY231" i="1"/>
  <c r="BY176" i="1"/>
  <c r="BY220" i="1"/>
  <c r="AV52" i="1"/>
  <c r="AV53" i="1"/>
  <c r="AV54" i="1"/>
  <c r="AV55" i="1"/>
  <c r="AV56" i="1"/>
  <c r="AV57" i="1"/>
  <c r="AV58" i="1"/>
  <c r="AV59" i="1"/>
  <c r="AV60" i="1"/>
  <c r="AV61" i="1"/>
  <c r="AV62" i="1"/>
  <c r="AV63" i="1"/>
  <c r="AV64" i="1"/>
  <c r="AV65" i="1"/>
  <c r="AV66" i="1"/>
  <c r="AV67" i="1"/>
  <c r="AV68" i="1"/>
  <c r="AV69" i="1"/>
  <c r="AV70" i="1"/>
  <c r="AV71" i="1"/>
  <c r="AV72" i="1"/>
  <c r="AV73" i="1"/>
  <c r="AV74" i="1"/>
  <c r="AV75" i="1"/>
  <c r="AV76" i="1"/>
  <c r="AV77" i="1"/>
  <c r="AV78" i="1"/>
  <c r="AV79" i="1"/>
  <c r="AV51" i="1"/>
  <c r="BY183" i="1" l="1"/>
  <c r="BY232" i="1"/>
  <c r="BY195" i="1"/>
  <c r="BY218" i="1"/>
  <c r="BY190" i="1"/>
  <c r="BY213" i="1"/>
  <c r="CB213" i="1" s="1"/>
  <c r="CC213" i="1" s="1"/>
  <c r="BY184" i="1"/>
  <c r="CB184" i="1" s="1"/>
  <c r="CC184" i="1" s="1"/>
  <c r="BY177" i="1"/>
  <c r="CB177" i="1" s="1"/>
  <c r="CC177" i="1" s="1"/>
  <c r="BY212" i="1"/>
  <c r="BY187" i="1"/>
  <c r="BY233" i="1"/>
  <c r="BY200" i="1"/>
  <c r="CB200" i="1" s="1"/>
  <c r="CC200" i="1" s="1"/>
  <c r="BY230" i="1"/>
  <c r="BY224" i="1"/>
  <c r="CB224" i="1" s="1"/>
  <c r="CC224" i="1" s="1"/>
  <c r="BY189" i="1"/>
  <c r="CB189" i="1" s="1"/>
  <c r="CC189" i="1" s="1"/>
  <c r="BY207" i="1"/>
  <c r="CB231" i="1"/>
  <c r="CC231" i="1" s="1"/>
  <c r="CB215" i="1"/>
  <c r="CC215" i="1" s="1"/>
  <c r="CB199" i="1"/>
  <c r="CC199" i="1" s="1"/>
  <c r="CB183" i="1"/>
  <c r="CC183" i="1" s="1"/>
  <c r="CB216" i="1"/>
  <c r="CC216" i="1" s="1"/>
  <c r="CB230" i="1"/>
  <c r="CC230" i="1" s="1"/>
  <c r="CB214" i="1"/>
  <c r="CC214" i="1" s="1"/>
  <c r="CB198" i="1"/>
  <c r="CC198" i="1" s="1"/>
  <c r="CB182" i="1"/>
  <c r="CC182" i="1" s="1"/>
  <c r="CB237" i="1"/>
  <c r="CC237" i="1" s="1"/>
  <c r="CB221" i="1"/>
  <c r="CC221" i="1" s="1"/>
  <c r="CB205" i="1"/>
  <c r="CC205" i="1" s="1"/>
  <c r="CB173" i="1"/>
  <c r="CC173" i="1" s="1"/>
  <c r="CB236" i="1"/>
  <c r="CC236" i="1" s="1"/>
  <c r="CB233" i="1"/>
  <c r="CC233" i="1" s="1"/>
  <c r="CB217" i="1"/>
  <c r="CC217" i="1" s="1"/>
  <c r="CB201" i="1"/>
  <c r="CC201" i="1" s="1"/>
  <c r="CB185" i="1"/>
  <c r="CC185" i="1" s="1"/>
  <c r="CB169" i="1"/>
  <c r="CC169" i="1" s="1"/>
  <c r="CB172" i="1"/>
  <c r="CC172" i="1" s="1"/>
  <c r="CB171" i="1"/>
  <c r="CC171" i="1" s="1"/>
  <c r="CB232" i="1"/>
  <c r="CC232" i="1" s="1"/>
  <c r="CB188" i="1"/>
  <c r="CC188" i="1" s="1"/>
  <c r="CB227" i="1"/>
  <c r="CC227" i="1" s="1"/>
  <c r="CB211" i="1"/>
  <c r="CC211" i="1" s="1"/>
  <c r="CB195" i="1"/>
  <c r="CC195" i="1" s="1"/>
  <c r="CB179" i="1"/>
  <c r="CC179" i="1" s="1"/>
  <c r="CB204" i="1"/>
  <c r="CC204" i="1" s="1"/>
  <c r="CB234" i="1"/>
  <c r="CC234" i="1" s="1"/>
  <c r="CB218" i="1"/>
  <c r="CC218" i="1" s="1"/>
  <c r="CB202" i="1"/>
  <c r="CC202" i="1" s="1"/>
  <c r="CB178" i="1"/>
  <c r="CC178" i="1" s="1"/>
  <c r="CB220" i="1"/>
  <c r="CC220" i="1" s="1"/>
  <c r="CB176" i="1"/>
  <c r="CC176" i="1" s="1"/>
  <c r="CB223" i="1"/>
  <c r="CC223" i="1" s="1"/>
  <c r="CB207" i="1"/>
  <c r="CC207" i="1" s="1"/>
  <c r="CB191" i="1"/>
  <c r="CC191" i="1" s="1"/>
  <c r="CB175" i="1"/>
  <c r="CC175" i="1" s="1"/>
  <c r="CB192" i="1"/>
  <c r="CC192" i="1" s="1"/>
  <c r="CB222" i="1"/>
  <c r="CC222" i="1" s="1"/>
  <c r="CB206" i="1"/>
  <c r="CC206" i="1" s="1"/>
  <c r="CB190" i="1"/>
  <c r="CC190" i="1" s="1"/>
  <c r="CB174" i="1"/>
  <c r="CC174" i="1" s="1"/>
  <c r="CB196" i="1"/>
  <c r="CC196" i="1" s="1"/>
  <c r="CB229" i="1"/>
  <c r="CC229" i="1" s="1"/>
  <c r="CB197" i="1"/>
  <c r="CC197" i="1" s="1"/>
  <c r="CB181" i="1"/>
  <c r="CC181" i="1" s="1"/>
  <c r="CB186" i="1"/>
  <c r="CC186" i="1" s="1"/>
  <c r="CB225" i="1"/>
  <c r="CC225" i="1" s="1"/>
  <c r="CB209" i="1"/>
  <c r="CC209" i="1" s="1"/>
  <c r="CB193" i="1"/>
  <c r="CC193" i="1" s="1"/>
  <c r="CB168" i="1"/>
  <c r="CC168" i="1" s="1"/>
  <c r="CB170" i="1"/>
  <c r="CC170" i="1" s="1"/>
  <c r="CB167" i="1"/>
  <c r="CC167" i="1" s="1"/>
  <c r="CB212" i="1"/>
  <c r="CC212" i="1" s="1"/>
  <c r="CB235" i="1"/>
  <c r="CC235" i="1" s="1"/>
  <c r="CB219" i="1"/>
  <c r="CC219" i="1" s="1"/>
  <c r="CB203" i="1"/>
  <c r="CC203" i="1" s="1"/>
  <c r="CB187" i="1"/>
  <c r="CC187" i="1" s="1"/>
  <c r="CB228" i="1"/>
  <c r="CC228" i="1" s="1"/>
  <c r="CB180" i="1"/>
  <c r="CC180" i="1" s="1"/>
  <c r="CB226" i="1"/>
  <c r="CC226" i="1" s="1"/>
  <c r="CB210" i="1"/>
  <c r="CC210" i="1" s="1"/>
  <c r="CB194" i="1"/>
  <c r="CC194" i="1" s="1"/>
  <c r="CB208" i="1"/>
  <c r="CC208" i="1" s="1"/>
  <c r="Q52" i="1"/>
  <c r="Q53" i="1"/>
  <c r="Q54" i="1"/>
  <c r="Q55" i="1"/>
  <c r="Q56" i="1"/>
  <c r="Q57" i="1"/>
  <c r="Q58" i="1"/>
  <c r="Q59" i="1"/>
  <c r="Q60" i="1"/>
  <c r="Q61" i="1"/>
  <c r="Q62" i="1"/>
  <c r="Q63" i="1"/>
  <c r="Q64" i="1"/>
  <c r="Q65" i="1"/>
  <c r="Q66" i="1"/>
  <c r="Q67" i="1"/>
  <c r="Q68" i="1"/>
  <c r="Q69" i="1"/>
  <c r="Q70" i="1"/>
  <c r="Q71" i="1"/>
  <c r="Q72" i="1"/>
  <c r="Q73" i="1"/>
  <c r="Q74" i="1"/>
  <c r="Q75" i="1"/>
  <c r="Q76" i="1"/>
  <c r="Q77" i="1"/>
  <c r="Q78" i="1"/>
  <c r="Q79" i="1"/>
  <c r="BB63" i="1"/>
  <c r="BB64" i="1"/>
  <c r="BB65" i="1"/>
  <c r="BB66" i="1"/>
  <c r="BB67" i="1"/>
  <c r="BB68" i="1"/>
  <c r="BB69" i="1"/>
  <c r="BB70" i="1"/>
  <c r="BB71" i="1"/>
  <c r="BB72" i="1"/>
  <c r="BB73" i="1"/>
  <c r="BB74" i="1"/>
  <c r="BB75" i="1"/>
  <c r="BB76" i="1"/>
  <c r="BB77" i="1"/>
  <c r="BB78" i="1"/>
  <c r="BB79" i="1"/>
  <c r="BB62" i="1"/>
  <c r="X52" i="1"/>
  <c r="Y52" i="1" s="1"/>
  <c r="X53" i="1"/>
  <c r="Y53" i="1" s="1"/>
  <c r="X54" i="1"/>
  <c r="Y54" i="1" s="1"/>
  <c r="X55" i="1"/>
  <c r="Y55" i="1" s="1"/>
  <c r="X56" i="1"/>
  <c r="Y56" i="1" s="1"/>
  <c r="X57" i="1"/>
  <c r="Y57" i="1" s="1"/>
  <c r="X58" i="1"/>
  <c r="Y58" i="1" s="1"/>
  <c r="X59" i="1"/>
  <c r="Y59" i="1" s="1"/>
  <c r="X60" i="1"/>
  <c r="Y60" i="1" s="1"/>
  <c r="X61" i="1"/>
  <c r="Y61" i="1" s="1"/>
  <c r="X62" i="1"/>
  <c r="Y62" i="1" s="1"/>
  <c r="X63" i="1"/>
  <c r="Y63" i="1" s="1"/>
  <c r="X64" i="1"/>
  <c r="Y64" i="1" s="1"/>
  <c r="X65" i="1"/>
  <c r="Y65" i="1" s="1"/>
  <c r="X66" i="1"/>
  <c r="Y66" i="1" s="1"/>
  <c r="X67" i="1"/>
  <c r="Y67" i="1" s="1"/>
  <c r="X68" i="1"/>
  <c r="Y68" i="1" s="1"/>
  <c r="X69" i="1"/>
  <c r="Y69" i="1" s="1"/>
  <c r="X70" i="1"/>
  <c r="Y70" i="1" s="1"/>
  <c r="X71" i="1"/>
  <c r="Y71" i="1" s="1"/>
  <c r="X72" i="1"/>
  <c r="Y72" i="1" s="1"/>
  <c r="X73" i="1"/>
  <c r="Y73" i="1" s="1"/>
  <c r="X74" i="1"/>
  <c r="Y74" i="1" s="1"/>
  <c r="X75" i="1"/>
  <c r="Y75" i="1" s="1"/>
  <c r="X76" i="1"/>
  <c r="Y76" i="1" s="1"/>
  <c r="X77" i="1"/>
  <c r="Y77" i="1" s="1"/>
  <c r="X78" i="1"/>
  <c r="Y78" i="1" s="1"/>
  <c r="X79" i="1"/>
  <c r="Y79" i="1" s="1"/>
  <c r="X51" i="1"/>
  <c r="Y51" i="1" s="1"/>
  <c r="J52" i="1"/>
  <c r="J53" i="1"/>
  <c r="J54" i="1"/>
  <c r="J55" i="1"/>
  <c r="J56" i="1"/>
  <c r="J57" i="1"/>
  <c r="J58" i="1"/>
  <c r="J59" i="1"/>
  <c r="J60" i="1"/>
  <c r="J61" i="1"/>
  <c r="J62" i="1"/>
  <c r="J63" i="1"/>
  <c r="J64" i="1"/>
  <c r="J65" i="1"/>
  <c r="J66" i="1"/>
  <c r="J67" i="1"/>
  <c r="J68" i="1"/>
  <c r="J69" i="1"/>
  <c r="J70" i="1"/>
  <c r="J71" i="1"/>
  <c r="J72" i="1"/>
  <c r="J73" i="1"/>
  <c r="J74" i="1"/>
  <c r="J75" i="1"/>
  <c r="J76" i="1"/>
  <c r="J77" i="1"/>
  <c r="J78" i="1"/>
  <c r="J79" i="1"/>
  <c r="AY52" i="1"/>
  <c r="AY53" i="1"/>
  <c r="AY54" i="1"/>
  <c r="AY55" i="1"/>
  <c r="AY56" i="1"/>
  <c r="AY59" i="1"/>
  <c r="AY60" i="1"/>
  <c r="AY61" i="1"/>
  <c r="AY62" i="1"/>
  <c r="AY63" i="1"/>
  <c r="AY64" i="1"/>
  <c r="AY66" i="1"/>
  <c r="AY67" i="1"/>
  <c r="AY68" i="1"/>
  <c r="AY69" i="1"/>
  <c r="AY72" i="1"/>
  <c r="AY73" i="1"/>
  <c r="AY74" i="1"/>
  <c r="AY75" i="1"/>
  <c r="AY76" i="1"/>
  <c r="AY77" i="1"/>
  <c r="AY78" i="1"/>
  <c r="AY79" i="1"/>
  <c r="AO52" i="1"/>
  <c r="AO53" i="1"/>
  <c r="AO54" i="1"/>
  <c r="AO55" i="1"/>
  <c r="AO56" i="1"/>
  <c r="AO57" i="1"/>
  <c r="AO58" i="1"/>
  <c r="AO59" i="1"/>
  <c r="AO60" i="1"/>
  <c r="AO61" i="1"/>
  <c r="AO62" i="1"/>
  <c r="AO63" i="1"/>
  <c r="AO64" i="1"/>
  <c r="AO65" i="1"/>
  <c r="AO66" i="1"/>
  <c r="AO67" i="1"/>
  <c r="AO68" i="1"/>
  <c r="AO69" i="1"/>
  <c r="AO70" i="1"/>
  <c r="AO71" i="1"/>
  <c r="AO72" i="1"/>
  <c r="AO73" i="1"/>
  <c r="AO74" i="1"/>
  <c r="AO75" i="1"/>
  <c r="AO76" i="1"/>
  <c r="AO77" i="1"/>
  <c r="AO78" i="1"/>
  <c r="AO79" i="1"/>
  <c r="CD181" i="1" l="1"/>
  <c r="CD189" i="1"/>
  <c r="CD194" i="1"/>
  <c r="CD168" i="1"/>
  <c r="CD197" i="1"/>
  <c r="CD174" i="1"/>
  <c r="CD192" i="1"/>
  <c r="CD179" i="1"/>
  <c r="CD188" i="1"/>
  <c r="CD169" i="1"/>
  <c r="CD182" i="1"/>
  <c r="CD180" i="1"/>
  <c r="CD196" i="1"/>
  <c r="CD178" i="1"/>
  <c r="CD172" i="1"/>
  <c r="CD187" i="1"/>
  <c r="CD177" i="1"/>
  <c r="CD184" i="1"/>
  <c r="CD190" i="1"/>
  <c r="CD175" i="1"/>
  <c r="CD176" i="1"/>
  <c r="CD195" i="1"/>
  <c r="CD185" i="1"/>
  <c r="CD198" i="1"/>
  <c r="CD183" i="1"/>
  <c r="CD200" i="1"/>
  <c r="CD170" i="1"/>
  <c r="CD167" i="1"/>
  <c r="CD193" i="1"/>
  <c r="CD186" i="1"/>
  <c r="CD191" i="1"/>
  <c r="CD171" i="1"/>
  <c r="CD173" i="1"/>
  <c r="CD199" i="1"/>
  <c r="CD203" i="1"/>
  <c r="CD229" i="1"/>
  <c r="CD234" i="1"/>
  <c r="CD237" i="1"/>
  <c r="CD208" i="1"/>
  <c r="CD219" i="1"/>
  <c r="CD209" i="1"/>
  <c r="CD222" i="1"/>
  <c r="CD207" i="1"/>
  <c r="CD204" i="1"/>
  <c r="CD227" i="1"/>
  <c r="CD217" i="1"/>
  <c r="CD224" i="1"/>
  <c r="CD230" i="1"/>
  <c r="CD215" i="1"/>
  <c r="CD220" i="1"/>
  <c r="CD201" i="1"/>
  <c r="CD228" i="1"/>
  <c r="CD235" i="1"/>
  <c r="CD225" i="1"/>
  <c r="CD223" i="1"/>
  <c r="CD202" i="1"/>
  <c r="CD233" i="1"/>
  <c r="CD205" i="1"/>
  <c r="CD216" i="1"/>
  <c r="CD231" i="1"/>
  <c r="CD226" i="1"/>
  <c r="CD206" i="1"/>
  <c r="CD211" i="1"/>
  <c r="CD214" i="1"/>
  <c r="CD210" i="1"/>
  <c r="CD212" i="1"/>
  <c r="CD213" i="1"/>
  <c r="CD218" i="1"/>
  <c r="CD232" i="1"/>
  <c r="CD236" i="1"/>
  <c r="CD221" i="1"/>
  <c r="AZ79" i="1"/>
  <c r="BQ79" i="1" s="1"/>
  <c r="BZ79" i="1"/>
  <c r="AZ69" i="1"/>
  <c r="BQ69" i="1" s="1"/>
  <c r="BZ69" i="1"/>
  <c r="AZ54" i="1"/>
  <c r="BQ54" i="1" s="1"/>
  <c r="BZ54" i="1"/>
  <c r="AZ75" i="1"/>
  <c r="BQ75" i="1" s="1"/>
  <c r="BZ75" i="1"/>
  <c r="AZ64" i="1"/>
  <c r="BQ64" i="1" s="1"/>
  <c r="BZ64" i="1"/>
  <c r="AZ60" i="1"/>
  <c r="BQ60" i="1" s="1"/>
  <c r="BZ60" i="1"/>
  <c r="AZ78" i="1"/>
  <c r="BQ78" i="1" s="1"/>
  <c r="BZ78" i="1"/>
  <c r="AZ74" i="1"/>
  <c r="BQ74" i="1" s="1"/>
  <c r="BZ74" i="1"/>
  <c r="AZ68" i="1"/>
  <c r="BQ68" i="1" s="1"/>
  <c r="BZ68" i="1"/>
  <c r="AZ63" i="1"/>
  <c r="BQ63" i="1" s="1"/>
  <c r="BZ63" i="1"/>
  <c r="AZ59" i="1"/>
  <c r="BQ59" i="1" s="1"/>
  <c r="BZ59" i="1"/>
  <c r="AZ53" i="1"/>
  <c r="BQ53" i="1" s="1"/>
  <c r="BZ53" i="1"/>
  <c r="AZ77" i="1"/>
  <c r="BQ77" i="1" s="1"/>
  <c r="BZ77" i="1"/>
  <c r="AZ67" i="1"/>
  <c r="BQ67" i="1" s="1"/>
  <c r="BZ67" i="1"/>
  <c r="AZ56" i="1"/>
  <c r="BQ56" i="1" s="1"/>
  <c r="BZ56" i="1"/>
  <c r="AZ73" i="1"/>
  <c r="BQ73" i="1" s="1"/>
  <c r="BZ73" i="1"/>
  <c r="AZ62" i="1"/>
  <c r="BQ62" i="1" s="1"/>
  <c r="BZ62" i="1"/>
  <c r="AZ52" i="1"/>
  <c r="BQ52" i="1" s="1"/>
  <c r="BZ52" i="1"/>
  <c r="AZ76" i="1"/>
  <c r="BQ76" i="1" s="1"/>
  <c r="BZ76" i="1"/>
  <c r="AZ72" i="1"/>
  <c r="BQ72" i="1" s="1"/>
  <c r="BZ72" i="1"/>
  <c r="AZ66" i="1"/>
  <c r="BQ66" i="1" s="1"/>
  <c r="BZ66" i="1"/>
  <c r="AZ61" i="1"/>
  <c r="BQ61" i="1" s="1"/>
  <c r="BZ61" i="1"/>
  <c r="AZ55" i="1"/>
  <c r="BQ55" i="1" s="1"/>
  <c r="BZ55" i="1"/>
  <c r="BG79" i="1"/>
  <c r="BF79" i="1"/>
  <c r="BF75" i="1"/>
  <c r="BG75" i="1"/>
  <c r="BF71" i="1"/>
  <c r="BG71" i="1"/>
  <c r="BF67" i="1"/>
  <c r="BG67" i="1"/>
  <c r="BF63" i="1"/>
  <c r="BG63" i="1"/>
  <c r="BF59" i="1"/>
  <c r="BG59" i="1"/>
  <c r="BF55" i="1"/>
  <c r="BG55" i="1"/>
  <c r="BG78" i="1"/>
  <c r="BF78" i="1"/>
  <c r="BF74" i="1"/>
  <c r="BG74" i="1"/>
  <c r="BF70" i="1"/>
  <c r="BG70" i="1"/>
  <c r="BF66" i="1"/>
  <c r="BG66" i="1"/>
  <c r="BF62" i="1"/>
  <c r="BG62" i="1"/>
  <c r="BF58" i="1"/>
  <c r="BG58" i="1"/>
  <c r="BG54" i="1"/>
  <c r="BF54" i="1"/>
  <c r="BF77" i="1"/>
  <c r="BG77" i="1"/>
  <c r="BF73" i="1"/>
  <c r="BG73" i="1"/>
  <c r="BF69" i="1"/>
  <c r="BG69" i="1"/>
  <c r="BF65" i="1"/>
  <c r="BG65" i="1"/>
  <c r="BF61" i="1"/>
  <c r="BG61" i="1"/>
  <c r="BF57" i="1"/>
  <c r="BG57" i="1"/>
  <c r="BF53" i="1"/>
  <c r="BG53" i="1"/>
  <c r="BF76" i="1"/>
  <c r="BG76" i="1"/>
  <c r="BG72" i="1"/>
  <c r="BF72" i="1"/>
  <c r="BG68" i="1"/>
  <c r="BF68" i="1"/>
  <c r="BG64" i="1"/>
  <c r="BF64" i="1"/>
  <c r="BG60" i="1"/>
  <c r="BF60" i="1"/>
  <c r="BF56" i="1"/>
  <c r="BG56" i="1"/>
  <c r="BG52" i="1"/>
  <c r="BF52" i="1"/>
  <c r="CF260" i="6"/>
  <c r="CE260" i="6"/>
  <c r="F260" i="6"/>
  <c r="CF259" i="6"/>
  <c r="CE259" i="6"/>
  <c r="F259" i="6"/>
  <c r="CF258" i="6"/>
  <c r="CE258" i="6"/>
  <c r="F258" i="6"/>
  <c r="CF257" i="6"/>
  <c r="CE257" i="6"/>
  <c r="F257" i="6"/>
  <c r="CF256" i="6"/>
  <c r="CE256" i="6"/>
  <c r="F256" i="6"/>
  <c r="CF255" i="6"/>
  <c r="CE255" i="6"/>
  <c r="F255" i="6"/>
  <c r="CF254" i="6"/>
  <c r="CE254" i="6"/>
  <c r="F254" i="6"/>
  <c r="CF253" i="6"/>
  <c r="CE253" i="6"/>
  <c r="F253" i="6"/>
  <c r="CF252" i="6"/>
  <c r="CE252" i="6"/>
  <c r="F252" i="6"/>
  <c r="CF251" i="6"/>
  <c r="CE251" i="6"/>
  <c r="F251" i="6"/>
  <c r="CF250" i="6"/>
  <c r="CE250" i="6"/>
  <c r="F250" i="6"/>
  <c r="CF249" i="6"/>
  <c r="CE249" i="6"/>
  <c r="F249" i="6"/>
  <c r="CF248" i="6"/>
  <c r="CE248" i="6"/>
  <c r="F248" i="6"/>
  <c r="CF247" i="6"/>
  <c r="CE247" i="6"/>
  <c r="F247" i="6"/>
  <c r="CF246" i="6"/>
  <c r="CE246" i="6"/>
  <c r="F246" i="6"/>
  <c r="CF245" i="6"/>
  <c r="CE245" i="6"/>
  <c r="F245" i="6"/>
  <c r="CF244" i="6"/>
  <c r="CE244" i="6"/>
  <c r="F244" i="6"/>
  <c r="CF243" i="6"/>
  <c r="CE243" i="6"/>
  <c r="F243" i="6"/>
  <c r="CF242" i="6"/>
  <c r="CE242" i="6"/>
  <c r="F242" i="6"/>
  <c r="CF241" i="6"/>
  <c r="CE241" i="6"/>
  <c r="F241" i="6"/>
  <c r="CF240" i="6"/>
  <c r="CE240" i="6"/>
  <c r="F240" i="6"/>
  <c r="CF239" i="6"/>
  <c r="CE239" i="6"/>
  <c r="F239" i="6"/>
  <c r="CF238" i="6"/>
  <c r="CE238" i="6"/>
  <c r="F238" i="6"/>
  <c r="CF237" i="6"/>
  <c r="CE237" i="6"/>
  <c r="F237" i="6"/>
  <c r="CF236" i="6"/>
  <c r="CE236" i="6"/>
  <c r="F236" i="6"/>
  <c r="CF235" i="6"/>
  <c r="CE235" i="6"/>
  <c r="F235" i="6"/>
  <c r="CF234" i="6"/>
  <c r="CE234" i="6"/>
  <c r="F234" i="6"/>
  <c r="CF233" i="6"/>
  <c r="CE233" i="6"/>
  <c r="F233" i="6"/>
  <c r="CF232" i="6"/>
  <c r="CE232" i="6"/>
  <c r="F232" i="6"/>
  <c r="CF231" i="6"/>
  <c r="CE231" i="6"/>
  <c r="F231" i="6"/>
  <c r="CF230" i="6"/>
  <c r="CE230" i="6"/>
  <c r="F230" i="6"/>
  <c r="CF229" i="6"/>
  <c r="CE229" i="6"/>
  <c r="F229" i="6"/>
  <c r="CF228" i="6"/>
  <c r="CE228" i="6"/>
  <c r="F228" i="6"/>
  <c r="CF227" i="6"/>
  <c r="CE227" i="6"/>
  <c r="F227" i="6"/>
  <c r="CF226" i="6"/>
  <c r="CE226" i="6"/>
  <c r="F226" i="6"/>
  <c r="CF225" i="6"/>
  <c r="CE225" i="6"/>
  <c r="F225" i="6"/>
  <c r="CF224" i="6"/>
  <c r="CE224" i="6"/>
  <c r="F224" i="6"/>
  <c r="CF223" i="6"/>
  <c r="CE223" i="6"/>
  <c r="F223" i="6"/>
  <c r="CF222" i="6"/>
  <c r="CE222" i="6"/>
  <c r="F222" i="6"/>
  <c r="CF221" i="6"/>
  <c r="CE221" i="6"/>
  <c r="F221" i="6"/>
  <c r="CF220" i="6"/>
  <c r="CE220" i="6"/>
  <c r="F220" i="6"/>
  <c r="CF219" i="6"/>
  <c r="CE219" i="6"/>
  <c r="F219" i="6"/>
  <c r="CF218" i="6"/>
  <c r="CE218" i="6"/>
  <c r="F218" i="6"/>
  <c r="CF217" i="6"/>
  <c r="CE217" i="6"/>
  <c r="F217" i="6"/>
  <c r="CF216" i="6"/>
  <c r="CE216" i="6"/>
  <c r="F216" i="6"/>
  <c r="CF215" i="6"/>
  <c r="CE215" i="6"/>
  <c r="F215" i="6"/>
  <c r="CF214" i="6"/>
  <c r="CE214" i="6"/>
  <c r="F214" i="6"/>
  <c r="CF213" i="6"/>
  <c r="CE213" i="6"/>
  <c r="F213" i="6"/>
  <c r="CF212" i="6"/>
  <c r="CE212" i="6"/>
  <c r="F212" i="6"/>
  <c r="CF211" i="6"/>
  <c r="CE211" i="6"/>
  <c r="F211" i="6"/>
  <c r="CF210" i="6"/>
  <c r="CE210" i="6"/>
  <c r="F210" i="6"/>
  <c r="CF209" i="6"/>
  <c r="CE209" i="6"/>
  <c r="F209" i="6"/>
  <c r="CF208" i="6"/>
  <c r="CE208" i="6"/>
  <c r="F208" i="6"/>
  <c r="CF207" i="6"/>
  <c r="CE207" i="6"/>
  <c r="F207" i="6"/>
  <c r="CF206" i="6"/>
  <c r="CE206" i="6"/>
  <c r="F206" i="6"/>
  <c r="CF205" i="6"/>
  <c r="CE205" i="6"/>
  <c r="F205" i="6"/>
  <c r="CF204" i="6"/>
  <c r="CE204" i="6"/>
  <c r="F204" i="6"/>
  <c r="CF203" i="6"/>
  <c r="CE203" i="6"/>
  <c r="F203" i="6"/>
  <c r="CF202" i="6"/>
  <c r="CE202" i="6"/>
  <c r="F202" i="6"/>
  <c r="CF201" i="6"/>
  <c r="CE201" i="6"/>
  <c r="F201" i="6"/>
  <c r="CF200" i="6"/>
  <c r="CE200" i="6"/>
  <c r="F200" i="6"/>
  <c r="CF199" i="6"/>
  <c r="CE199" i="6"/>
  <c r="F199" i="6"/>
  <c r="CF198" i="6"/>
  <c r="CE198" i="6"/>
  <c r="F198" i="6"/>
  <c r="CF197" i="6"/>
  <c r="CE197" i="6"/>
  <c r="F197" i="6"/>
  <c r="CF196" i="6"/>
  <c r="CE196" i="6"/>
  <c r="F196" i="6"/>
  <c r="CF195" i="6"/>
  <c r="CE195" i="6"/>
  <c r="F195" i="6"/>
  <c r="CF194" i="6"/>
  <c r="CE194" i="6"/>
  <c r="F194" i="6"/>
  <c r="CF193" i="6"/>
  <c r="CE193" i="6"/>
  <c r="F193" i="6"/>
  <c r="CF192" i="6"/>
  <c r="CE192" i="6"/>
  <c r="F192" i="6"/>
  <c r="CF191" i="6"/>
  <c r="CE191" i="6"/>
  <c r="F191" i="6"/>
  <c r="CF190" i="6"/>
  <c r="CE190" i="6"/>
  <c r="F190" i="6"/>
  <c r="CF189" i="6"/>
  <c r="CE189" i="6"/>
  <c r="F189" i="6"/>
  <c r="CF188" i="6"/>
  <c r="CE188" i="6"/>
  <c r="F188" i="6"/>
  <c r="CF187" i="6"/>
  <c r="CE187" i="6"/>
  <c r="F187" i="6"/>
  <c r="CF186" i="6"/>
  <c r="CE186" i="6"/>
  <c r="F186" i="6"/>
  <c r="CF185" i="6"/>
  <c r="CE185" i="6"/>
  <c r="F185" i="6"/>
  <c r="CF184" i="6"/>
  <c r="CE184" i="6"/>
  <c r="F184" i="6"/>
  <c r="CF183" i="6"/>
  <c r="CE183" i="6"/>
  <c r="F183" i="6"/>
  <c r="CF182" i="6"/>
  <c r="CE182" i="6"/>
  <c r="F182" i="6"/>
  <c r="CF181" i="6"/>
  <c r="CE181" i="6"/>
  <c r="F181" i="6"/>
  <c r="CF180" i="6"/>
  <c r="CE180" i="6"/>
  <c r="F180" i="6"/>
  <c r="CF179" i="6"/>
  <c r="CE179" i="6"/>
  <c r="F179" i="6"/>
  <c r="CF178" i="6"/>
  <c r="CE178" i="6"/>
  <c r="F178" i="6"/>
  <c r="CF177" i="6"/>
  <c r="CE177" i="6"/>
  <c r="F177" i="6"/>
  <c r="CF176" i="6"/>
  <c r="CE176" i="6"/>
  <c r="F176" i="6"/>
  <c r="CF175" i="6"/>
  <c r="CE175" i="6"/>
  <c r="F175" i="6"/>
  <c r="CF174" i="6"/>
  <c r="CE174" i="6"/>
  <c r="F174" i="6"/>
  <c r="CF173" i="6"/>
  <c r="CE173" i="6"/>
  <c r="F173" i="6"/>
  <c r="CF172" i="6"/>
  <c r="CE172" i="6"/>
  <c r="F172" i="6"/>
  <c r="CF171" i="6"/>
  <c r="CE171" i="6"/>
  <c r="F171" i="6"/>
  <c r="CF170" i="6"/>
  <c r="CE170" i="6"/>
  <c r="F170" i="6"/>
  <c r="CF169" i="6"/>
  <c r="CE169" i="6"/>
  <c r="F169" i="6"/>
  <c r="CF168" i="6"/>
  <c r="CE168" i="6"/>
  <c r="F168" i="6"/>
  <c r="CF167" i="6"/>
  <c r="CE167" i="6"/>
  <c r="F167" i="6"/>
  <c r="CF166" i="6"/>
  <c r="CE166" i="6"/>
  <c r="F166" i="6"/>
  <c r="CF165" i="6"/>
  <c r="CE165" i="6"/>
  <c r="F165" i="6"/>
  <c r="CF164" i="6"/>
  <c r="CE164" i="6"/>
  <c r="F164" i="6"/>
  <c r="CF163" i="6"/>
  <c r="CE163" i="6"/>
  <c r="F163" i="6"/>
  <c r="CF162" i="6"/>
  <c r="CE162" i="6"/>
  <c r="F162" i="6"/>
  <c r="CF161" i="6"/>
  <c r="CE161" i="6"/>
  <c r="F161" i="6"/>
  <c r="CF160" i="6"/>
  <c r="CE160" i="6"/>
  <c r="F160" i="6"/>
  <c r="CF159" i="6"/>
  <c r="CE159" i="6"/>
  <c r="F159" i="6"/>
  <c r="CF158" i="6"/>
  <c r="CE158" i="6"/>
  <c r="F158" i="6"/>
  <c r="CF157" i="6"/>
  <c r="CE157" i="6"/>
  <c r="F157" i="6"/>
  <c r="CF156" i="6"/>
  <c r="CE156" i="6"/>
  <c r="F156" i="6"/>
  <c r="CF155" i="6"/>
  <c r="CE155" i="6"/>
  <c r="F155" i="6"/>
  <c r="CF154" i="6"/>
  <c r="CE154" i="6"/>
  <c r="F154" i="6"/>
  <c r="CF153" i="6"/>
  <c r="CE153" i="6"/>
  <c r="F153" i="6"/>
  <c r="CF152" i="6"/>
  <c r="CE152" i="6"/>
  <c r="F152" i="6"/>
  <c r="CF151" i="6"/>
  <c r="CE151" i="6"/>
  <c r="F151" i="6"/>
  <c r="CF150" i="6"/>
  <c r="CE150" i="6"/>
  <c r="F150" i="6"/>
  <c r="CF149" i="6"/>
  <c r="CE149" i="6"/>
  <c r="F149" i="6"/>
  <c r="CF148" i="6"/>
  <c r="CE148" i="6"/>
  <c r="F148" i="6"/>
  <c r="CF147" i="6"/>
  <c r="CE147" i="6"/>
  <c r="F147" i="6"/>
  <c r="CF146" i="6"/>
  <c r="CE146" i="6"/>
  <c r="F146" i="6"/>
  <c r="CF145" i="6"/>
  <c r="CE145" i="6"/>
  <c r="F145" i="6"/>
  <c r="CF144" i="6"/>
  <c r="CE144" i="6"/>
  <c r="F144" i="6"/>
  <c r="CF143" i="6"/>
  <c r="CE143" i="6"/>
  <c r="F143" i="6"/>
  <c r="CF142" i="6"/>
  <c r="CE142" i="6"/>
  <c r="F142" i="6"/>
  <c r="CF141" i="6"/>
  <c r="CE141" i="6"/>
  <c r="F141" i="6"/>
  <c r="CF140" i="6"/>
  <c r="CE140" i="6"/>
  <c r="F140" i="6"/>
  <c r="CF139" i="6"/>
  <c r="CE139" i="6"/>
  <c r="F139" i="6"/>
  <c r="CF138" i="6"/>
  <c r="CE138" i="6"/>
  <c r="F138" i="6"/>
  <c r="CF137" i="6"/>
  <c r="CE137" i="6"/>
  <c r="F137" i="6"/>
  <c r="CF136" i="6"/>
  <c r="CE136" i="6"/>
  <c r="F136" i="6"/>
  <c r="CF135" i="6"/>
  <c r="CE135" i="6"/>
  <c r="F135" i="6"/>
  <c r="CF134" i="6"/>
  <c r="CE134" i="6"/>
  <c r="F134" i="6"/>
  <c r="CF133" i="6"/>
  <c r="CE133" i="6"/>
  <c r="F133" i="6"/>
  <c r="CF132" i="6"/>
  <c r="CE132" i="6"/>
  <c r="F132" i="6"/>
  <c r="CF131" i="6"/>
  <c r="CE131" i="6"/>
  <c r="F131" i="6"/>
  <c r="CF130" i="6"/>
  <c r="CE130" i="6"/>
  <c r="F130" i="6"/>
  <c r="CF129" i="6"/>
  <c r="CE129" i="6"/>
  <c r="F129" i="6"/>
  <c r="CF128" i="6"/>
  <c r="CE128" i="6"/>
  <c r="F128" i="6"/>
  <c r="CF127" i="6"/>
  <c r="CE127" i="6"/>
  <c r="F127" i="6"/>
  <c r="CF126" i="6"/>
  <c r="CE126" i="6"/>
  <c r="F126" i="6"/>
  <c r="CF125" i="6"/>
  <c r="CE125" i="6"/>
  <c r="F125" i="6"/>
  <c r="CF124" i="6"/>
  <c r="CE124" i="6"/>
  <c r="F124" i="6"/>
  <c r="CF123" i="6"/>
  <c r="CE123" i="6"/>
  <c r="F123" i="6"/>
  <c r="CF122" i="6"/>
  <c r="CE122" i="6"/>
  <c r="F122" i="6"/>
  <c r="CF121" i="6"/>
  <c r="CE121" i="6"/>
  <c r="F121" i="6"/>
  <c r="CF120" i="6"/>
  <c r="CE120" i="6"/>
  <c r="F120" i="6"/>
  <c r="CF119" i="6"/>
  <c r="CE119" i="6"/>
  <c r="F119" i="6"/>
  <c r="CF118" i="6"/>
  <c r="CE118" i="6"/>
  <c r="F118" i="6"/>
  <c r="CF117" i="6"/>
  <c r="CE117" i="6"/>
  <c r="F117" i="6"/>
  <c r="CF116" i="6"/>
  <c r="CE116" i="6"/>
  <c r="F116" i="6"/>
  <c r="CF115" i="6"/>
  <c r="CE115" i="6"/>
  <c r="F115" i="6"/>
  <c r="CF114" i="6"/>
  <c r="CE114" i="6"/>
  <c r="F114" i="6"/>
  <c r="CF113" i="6"/>
  <c r="CE113" i="6"/>
  <c r="F113" i="6"/>
  <c r="CF112" i="6"/>
  <c r="CE112" i="6"/>
  <c r="F112" i="6"/>
  <c r="CF111" i="6"/>
  <c r="CE111" i="6"/>
  <c r="F111" i="6"/>
  <c r="CF110" i="6"/>
  <c r="CE110" i="6"/>
  <c r="F110" i="6"/>
  <c r="CF109" i="6"/>
  <c r="CE109" i="6"/>
  <c r="F109" i="6"/>
  <c r="CF108" i="6"/>
  <c r="CE108" i="6"/>
  <c r="F108" i="6"/>
  <c r="CF107" i="6"/>
  <c r="CE107" i="6"/>
  <c r="F107" i="6"/>
  <c r="CF106" i="6"/>
  <c r="CE106" i="6"/>
  <c r="F106" i="6"/>
  <c r="CF105" i="6"/>
  <c r="CE105" i="6"/>
  <c r="F105" i="6"/>
  <c r="CF104" i="6"/>
  <c r="CE104" i="6"/>
  <c r="F104" i="6"/>
  <c r="CF103" i="6"/>
  <c r="CE103" i="6"/>
  <c r="F103" i="6"/>
  <c r="CF102" i="6"/>
  <c r="CE102" i="6"/>
  <c r="F102" i="6"/>
  <c r="CF101" i="6"/>
  <c r="CE101" i="6"/>
  <c r="F101" i="6"/>
  <c r="CF100" i="6"/>
  <c r="CE100" i="6"/>
  <c r="F100" i="6"/>
  <c r="CF99" i="6"/>
  <c r="CE99" i="6"/>
  <c r="F99" i="6"/>
  <c r="CF98" i="6"/>
  <c r="CE98" i="6"/>
  <c r="F98" i="6"/>
  <c r="CF97" i="6"/>
  <c r="CE97" i="6"/>
  <c r="F97" i="6"/>
  <c r="CF96" i="6"/>
  <c r="CE96" i="6"/>
  <c r="F96" i="6"/>
  <c r="CF95" i="6"/>
  <c r="CE95" i="6"/>
  <c r="F95" i="6"/>
  <c r="CF94" i="6"/>
  <c r="CE94" i="6"/>
  <c r="F94" i="6"/>
  <c r="CF93" i="6"/>
  <c r="CE93" i="6"/>
  <c r="F93" i="6"/>
  <c r="CF92" i="6"/>
  <c r="CE92" i="6"/>
  <c r="F92" i="6"/>
  <c r="CF91" i="6"/>
  <c r="CE91" i="6"/>
  <c r="F91" i="6"/>
  <c r="CF90" i="6"/>
  <c r="CE90" i="6"/>
  <c r="F90" i="6"/>
  <c r="CF89" i="6"/>
  <c r="CE89" i="6"/>
  <c r="F89" i="6"/>
  <c r="CF88" i="6"/>
  <c r="CE88" i="6"/>
  <c r="F88" i="6"/>
  <c r="CF87" i="6"/>
  <c r="CE87" i="6"/>
  <c r="F87" i="6"/>
  <c r="CF86" i="6"/>
  <c r="CE86" i="6"/>
  <c r="F86" i="6"/>
  <c r="CF85" i="6"/>
  <c r="CE85" i="6"/>
  <c r="F85" i="6"/>
  <c r="CF84" i="6"/>
  <c r="CE84" i="6"/>
  <c r="F84" i="6"/>
  <c r="CF83" i="6"/>
  <c r="CE83" i="6"/>
  <c r="F83" i="6"/>
  <c r="CF82" i="6"/>
  <c r="CE82" i="6"/>
  <c r="F82" i="6"/>
  <c r="CF81" i="6"/>
  <c r="CE81" i="6"/>
  <c r="F81" i="6"/>
  <c r="CF80" i="6"/>
  <c r="CE80" i="6"/>
  <c r="F80" i="6"/>
  <c r="CF79" i="6"/>
  <c r="CE79" i="6"/>
  <c r="F79" i="6"/>
  <c r="CF78" i="6"/>
  <c r="CE78" i="6"/>
  <c r="F78" i="6"/>
  <c r="CF77" i="6"/>
  <c r="CE77" i="6"/>
  <c r="F77" i="6"/>
  <c r="CF76" i="6"/>
  <c r="CE76" i="6"/>
  <c r="F76" i="6"/>
  <c r="CF75" i="6"/>
  <c r="CE75" i="6"/>
  <c r="F75" i="6"/>
  <c r="CF74" i="6"/>
  <c r="CE74" i="6"/>
  <c r="F74" i="6"/>
  <c r="CF73" i="6"/>
  <c r="CE73" i="6"/>
  <c r="F73" i="6"/>
  <c r="CF72" i="6"/>
  <c r="CE72" i="6"/>
  <c r="F72" i="6"/>
  <c r="CF71" i="6"/>
  <c r="CE71" i="6"/>
  <c r="F71" i="6"/>
  <c r="CF70" i="6"/>
  <c r="CE70" i="6"/>
  <c r="F70" i="6"/>
  <c r="CF69" i="6"/>
  <c r="CE69" i="6"/>
  <c r="F69" i="6"/>
  <c r="CF68" i="6"/>
  <c r="CE68" i="6"/>
  <c r="F68" i="6"/>
  <c r="CF67" i="6"/>
  <c r="CE67" i="6"/>
  <c r="F67" i="6"/>
  <c r="CF66" i="6"/>
  <c r="CE66" i="6"/>
  <c r="F66" i="6"/>
  <c r="CF65" i="6"/>
  <c r="CE65" i="6"/>
  <c r="F65" i="6"/>
  <c r="CF64" i="6"/>
  <c r="CE64" i="6"/>
  <c r="F64" i="6"/>
  <c r="CF63" i="6"/>
  <c r="CE63" i="6"/>
  <c r="F63" i="6"/>
  <c r="CF62" i="6"/>
  <c r="CE62" i="6"/>
  <c r="F62" i="6"/>
  <c r="CF61" i="6"/>
  <c r="CE61" i="6"/>
  <c r="F61" i="6"/>
  <c r="CF60" i="6"/>
  <c r="CE60" i="6"/>
  <c r="F60" i="6"/>
  <c r="CF59" i="6"/>
  <c r="CE59" i="6"/>
  <c r="F59" i="6"/>
  <c r="CF58" i="6"/>
  <c r="CE58" i="6"/>
  <c r="F58" i="6"/>
  <c r="CF57" i="6"/>
  <c r="CE57" i="6"/>
  <c r="F57" i="6"/>
  <c r="CF56" i="6"/>
  <c r="CE56" i="6"/>
  <c r="F56" i="6"/>
  <c r="CF55" i="6"/>
  <c r="CE55" i="6"/>
  <c r="F55" i="6"/>
  <c r="CF54" i="6"/>
  <c r="CE54" i="6"/>
  <c r="F54" i="6"/>
  <c r="CF53" i="6"/>
  <c r="CE53" i="6"/>
  <c r="F53" i="6"/>
  <c r="CF52" i="6"/>
  <c r="CE52" i="6"/>
  <c r="F52" i="6"/>
  <c r="CF51" i="6"/>
  <c r="CE51" i="6"/>
  <c r="F51" i="6"/>
  <c r="CF50" i="6"/>
  <c r="CE50" i="6"/>
  <c r="F50" i="6"/>
  <c r="CF49" i="6"/>
  <c r="CE49" i="6"/>
  <c r="F49" i="6"/>
  <c r="CF48" i="6"/>
  <c r="CE48" i="6"/>
  <c r="F48" i="6"/>
  <c r="CF47" i="6"/>
  <c r="CE47" i="6"/>
  <c r="F47" i="6"/>
  <c r="CF46" i="6"/>
  <c r="CE46" i="6"/>
  <c r="F46" i="6"/>
  <c r="CF45" i="6"/>
  <c r="CE45" i="6"/>
  <c r="F45" i="6"/>
  <c r="CF44" i="6"/>
  <c r="CE44" i="6"/>
  <c r="F44" i="6"/>
  <c r="CF43" i="6"/>
  <c r="CE43" i="6"/>
  <c r="F43" i="6"/>
  <c r="CF42" i="6"/>
  <c r="CE42" i="6"/>
  <c r="F42" i="6"/>
  <c r="CF41" i="6"/>
  <c r="CE41" i="6"/>
  <c r="F41" i="6"/>
  <c r="CF40" i="6"/>
  <c r="CE40" i="6"/>
  <c r="F40" i="6"/>
  <c r="CF39" i="6"/>
  <c r="CE39" i="6"/>
  <c r="F39" i="6"/>
  <c r="CF38" i="6"/>
  <c r="CE38" i="6"/>
  <c r="F38" i="6"/>
  <c r="CF37" i="6"/>
  <c r="CE37" i="6"/>
  <c r="F37" i="6"/>
  <c r="CF36" i="6"/>
  <c r="CE36" i="6"/>
  <c r="F36" i="6"/>
  <c r="CF35" i="6"/>
  <c r="CE35" i="6"/>
  <c r="F35" i="6"/>
  <c r="CF34" i="6"/>
  <c r="CE34" i="6"/>
  <c r="F34" i="6"/>
  <c r="CF33" i="6"/>
  <c r="CE33" i="6"/>
  <c r="F33" i="6"/>
  <c r="CF32" i="6"/>
  <c r="CE32" i="6"/>
  <c r="F32" i="6"/>
  <c r="CF31" i="6"/>
  <c r="CE31" i="6"/>
  <c r="F31" i="6"/>
  <c r="CF30" i="6"/>
  <c r="CE30" i="6"/>
  <c r="F30" i="6"/>
  <c r="CF29" i="6"/>
  <c r="CE29" i="6"/>
  <c r="F29" i="6"/>
  <c r="CF28" i="6"/>
  <c r="CE28" i="6"/>
  <c r="F28" i="6"/>
  <c r="CF27" i="6"/>
  <c r="CE27" i="6"/>
  <c r="F27" i="6"/>
  <c r="CF26" i="6"/>
  <c r="CE26" i="6"/>
  <c r="F26" i="6"/>
  <c r="CF25" i="6"/>
  <c r="CE25" i="6"/>
  <c r="F25" i="6"/>
  <c r="CF24" i="6"/>
  <c r="CE24" i="6"/>
  <c r="F24" i="6"/>
  <c r="CF23" i="6"/>
  <c r="CE23" i="6"/>
  <c r="F23" i="6"/>
  <c r="CF22" i="6"/>
  <c r="CE22" i="6"/>
  <c r="F22" i="6"/>
  <c r="CF21" i="6"/>
  <c r="CE21" i="6"/>
  <c r="F21" i="6"/>
  <c r="CF20" i="6"/>
  <c r="CE20" i="6"/>
  <c r="F20" i="6"/>
  <c r="CF19" i="6"/>
  <c r="CE19" i="6"/>
  <c r="F19" i="6"/>
  <c r="CF18" i="6"/>
  <c r="CE18" i="6"/>
  <c r="F18" i="6"/>
  <c r="CF17" i="6"/>
  <c r="CE17" i="6"/>
  <c r="F17" i="6"/>
  <c r="CF16" i="6"/>
  <c r="CE16" i="6"/>
  <c r="F16" i="6"/>
  <c r="CF15" i="6"/>
  <c r="CE15" i="6"/>
  <c r="F15" i="6"/>
  <c r="CF14" i="6"/>
  <c r="CE14" i="6"/>
  <c r="F14" i="6"/>
  <c r="CF13" i="6"/>
  <c r="CE13" i="6"/>
  <c r="F13" i="6"/>
  <c r="CF12" i="6"/>
  <c r="CE12" i="6"/>
  <c r="F12" i="6"/>
  <c r="CF11" i="6"/>
  <c r="CE11" i="6"/>
  <c r="F11" i="6"/>
  <c r="CF10" i="6"/>
  <c r="CE10" i="6"/>
  <c r="F10" i="6"/>
  <c r="CF9" i="6"/>
  <c r="CE9" i="6"/>
  <c r="F9" i="6"/>
  <c r="CF8" i="6"/>
  <c r="CE8" i="6"/>
  <c r="F8" i="6"/>
  <c r="CF7" i="6"/>
  <c r="CE7" i="6"/>
  <c r="F7" i="6"/>
  <c r="CF6" i="6"/>
  <c r="CE6" i="6"/>
  <c r="F6" i="6"/>
  <c r="CF5" i="6"/>
  <c r="CE5" i="6"/>
  <c r="F5" i="6"/>
  <c r="CF4" i="6"/>
  <c r="CE4" i="6"/>
  <c r="F4" i="6"/>
  <c r="CF3" i="6"/>
  <c r="CE3" i="6"/>
  <c r="F3" i="6"/>
  <c r="CF2" i="6"/>
  <c r="CE2" i="6"/>
  <c r="F2" i="6"/>
  <c r="AY51" i="1"/>
  <c r="AO51" i="1"/>
  <c r="AZ51" i="1" l="1"/>
  <c r="BZ51" i="1"/>
  <c r="CB51" i="1" s="1"/>
  <c r="CC51" i="1" s="1"/>
  <c r="BH79" i="1"/>
  <c r="BH76" i="1"/>
  <c r="R76" i="1" s="1"/>
  <c r="BH57" i="1"/>
  <c r="R57" i="1" s="1"/>
  <c r="BH65" i="1"/>
  <c r="R65" i="1" s="1"/>
  <c r="BH73" i="1"/>
  <c r="R73" i="1" s="1"/>
  <c r="BH62" i="1"/>
  <c r="R62" i="1" s="1"/>
  <c r="BH70" i="1"/>
  <c r="R70" i="1" s="1"/>
  <c r="BH59" i="1"/>
  <c r="BH56" i="1"/>
  <c r="BH53" i="1"/>
  <c r="BH61" i="1"/>
  <c r="BH69" i="1"/>
  <c r="R69" i="1" s="1"/>
  <c r="BH52" i="1"/>
  <c r="R52" i="1" s="1"/>
  <c r="BH60" i="1"/>
  <c r="R60" i="1" s="1"/>
  <c r="BH68" i="1"/>
  <c r="R68" i="1" s="1"/>
  <c r="BH54" i="1"/>
  <c r="R54" i="1" s="1"/>
  <c r="BH78" i="1"/>
  <c r="BH67" i="1"/>
  <c r="R67" i="1" s="1"/>
  <c r="BH75" i="1"/>
  <c r="R75" i="1" s="1"/>
  <c r="BH64" i="1"/>
  <c r="R64" i="1" s="1"/>
  <c r="BH72" i="1"/>
  <c r="R72" i="1" s="1"/>
  <c r="BH77" i="1"/>
  <c r="R77" i="1" s="1"/>
  <c r="BH58" i="1"/>
  <c r="R58" i="1" s="1"/>
  <c r="BH66" i="1"/>
  <c r="R66" i="1" s="1"/>
  <c r="BH74" i="1"/>
  <c r="R74" i="1" s="1"/>
  <c r="BH55" i="1"/>
  <c r="R55" i="1" s="1"/>
  <c r="BH63" i="1"/>
  <c r="R63" i="1" s="1"/>
  <c r="BH71" i="1"/>
  <c r="R71" i="1" s="1"/>
  <c r="J51" i="1"/>
  <c r="BQ51" i="1" l="1"/>
  <c r="BS51" i="1"/>
  <c r="CD51" i="1"/>
  <c r="BL53" i="1"/>
  <c r="BM53" i="1" s="1"/>
  <c r="R53" i="1"/>
  <c r="BL78" i="1"/>
  <c r="BM78" i="1" s="1"/>
  <c r="R78" i="1"/>
  <c r="BL56" i="1"/>
  <c r="BM56" i="1" s="1"/>
  <c r="R56" i="1"/>
  <c r="BL79" i="1"/>
  <c r="BM79" i="1" s="1"/>
  <c r="R79" i="1"/>
  <c r="BL59" i="1"/>
  <c r="BM59" i="1" s="1"/>
  <c r="R59" i="1"/>
  <c r="BL61" i="1"/>
  <c r="BM61" i="1" s="1"/>
  <c r="R61" i="1"/>
  <c r="BL62" i="1"/>
  <c r="BM62" i="1" s="1"/>
  <c r="BV73" i="1"/>
  <c r="BV62" i="1"/>
  <c r="BV69" i="1"/>
  <c r="BV65" i="1"/>
  <c r="BV76" i="1"/>
  <c r="BV70" i="1"/>
  <c r="BV57" i="1"/>
  <c r="BL76" i="1"/>
  <c r="BL70" i="1"/>
  <c r="BL57" i="1"/>
  <c r="BL65" i="1"/>
  <c r="BL69" i="1"/>
  <c r="BL73" i="1"/>
  <c r="BL58" i="1"/>
  <c r="BL75" i="1"/>
  <c r="BL55" i="1"/>
  <c r="BL77" i="1"/>
  <c r="BL64" i="1"/>
  <c r="BL67" i="1"/>
  <c r="BL54" i="1"/>
  <c r="BL66" i="1"/>
  <c r="BL63" i="1"/>
  <c r="BL72" i="1"/>
  <c r="BL74" i="1"/>
  <c r="BL68" i="1"/>
  <c r="BL60" i="1"/>
  <c r="BL71" i="1"/>
  <c r="BL52" i="1"/>
  <c r="AP54" i="1"/>
  <c r="BR54" i="1" s="1"/>
  <c r="AP70" i="1"/>
  <c r="BR70" i="1" s="1"/>
  <c r="AP77" i="1"/>
  <c r="BR77" i="1" s="1"/>
  <c r="AP59" i="1"/>
  <c r="BR59" i="1" s="1"/>
  <c r="AP67" i="1"/>
  <c r="BR67" i="1" s="1"/>
  <c r="AP75" i="1"/>
  <c r="BR75" i="1" s="1"/>
  <c r="AP73" i="1"/>
  <c r="BR73" i="1" s="1"/>
  <c r="AP52" i="1"/>
  <c r="BR52" i="1" s="1"/>
  <c r="AP60" i="1"/>
  <c r="BR60" i="1" s="1"/>
  <c r="AP68" i="1"/>
  <c r="BR68" i="1" s="1"/>
  <c r="AP65" i="1"/>
  <c r="BR65" i="1" s="1"/>
  <c r="AP51" i="1"/>
  <c r="BR51" i="1" s="1"/>
  <c r="AM51" i="1"/>
  <c r="AP55" i="1"/>
  <c r="BR55" i="1" s="1"/>
  <c r="AM55" i="1"/>
  <c r="AP71" i="1"/>
  <c r="BR71" i="1" s="1"/>
  <c r="AM71" i="1"/>
  <c r="AM77" i="1"/>
  <c r="AP64" i="1"/>
  <c r="BR64" i="1" s="1"/>
  <c r="AM56" i="1"/>
  <c r="AP56" i="1"/>
  <c r="BR56" i="1" s="1"/>
  <c r="AP58" i="1"/>
  <c r="BR58" i="1" s="1"/>
  <c r="AM58" i="1"/>
  <c r="AP74" i="1"/>
  <c r="BR74" i="1" s="1"/>
  <c r="AM74" i="1"/>
  <c r="AP78" i="1"/>
  <c r="BR78" i="1" s="1"/>
  <c r="AP62" i="1"/>
  <c r="BR62" i="1" s="1"/>
  <c r="AP63" i="1"/>
  <c r="BR63" i="1" s="1"/>
  <c r="AM67" i="1"/>
  <c r="AP79" i="1"/>
  <c r="BR79" i="1" s="1"/>
  <c r="AM73" i="1"/>
  <c r="AM52" i="1"/>
  <c r="AM60" i="1"/>
  <c r="AM68" i="1"/>
  <c r="AM72" i="1"/>
  <c r="AP72" i="1"/>
  <c r="BR72" i="1" s="1"/>
  <c r="AP57" i="1"/>
  <c r="BR57" i="1" s="1"/>
  <c r="AM65" i="1"/>
  <c r="AP69" i="1"/>
  <c r="BR69" i="1" s="1"/>
  <c r="AP53" i="1"/>
  <c r="BR53" i="1" s="1"/>
  <c r="AM53" i="1"/>
  <c r="AM78" i="1"/>
  <c r="AM70" i="1"/>
  <c r="AM62" i="1"/>
  <c r="AM54" i="1"/>
  <c r="AM63" i="1"/>
  <c r="AP76" i="1"/>
  <c r="BR76" i="1" s="1"/>
  <c r="AM76" i="1"/>
  <c r="AM64" i="1"/>
  <c r="AM57" i="1"/>
  <c r="AP66" i="1"/>
  <c r="BR66" i="1" s="1"/>
  <c r="AM66" i="1"/>
  <c r="AM59" i="1"/>
  <c r="AM75" i="1"/>
  <c r="AM69" i="1"/>
  <c r="BV78" i="1" l="1"/>
  <c r="BV67" i="1"/>
  <c r="BV75" i="1"/>
  <c r="BV59" i="1"/>
  <c r="BV63" i="1"/>
  <c r="BV64" i="1"/>
  <c r="BV55" i="1"/>
  <c r="BV53" i="1"/>
  <c r="BV60" i="1"/>
  <c r="BV66" i="1"/>
  <c r="BV56" i="1"/>
  <c r="BV68" i="1"/>
  <c r="BV74" i="1"/>
  <c r="BV54" i="1"/>
  <c r="BV58" i="1"/>
  <c r="BV61" i="1"/>
  <c r="BV52" i="1"/>
  <c r="BV77" i="1"/>
  <c r="BV71" i="1"/>
  <c r="BV72" i="1"/>
  <c r="BV79" i="1"/>
  <c r="BM68" i="1"/>
  <c r="BM66" i="1"/>
  <c r="BM75" i="1"/>
  <c r="BM72" i="1"/>
  <c r="BM57" i="1"/>
  <c r="BM77" i="1"/>
  <c r="BM73" i="1"/>
  <c r="BM52" i="1"/>
  <c r="BM60" i="1"/>
  <c r="BM74" i="1"/>
  <c r="BM54" i="1"/>
  <c r="BM58" i="1"/>
  <c r="BM69" i="1"/>
  <c r="BM70" i="1"/>
  <c r="BM76" i="1"/>
  <c r="BM67" i="1"/>
  <c r="BM71" i="1"/>
  <c r="BM63" i="1"/>
  <c r="BM64" i="1"/>
  <c r="BM55" i="1"/>
  <c r="BM65" i="1"/>
  <c r="BE291" i="1"/>
  <c r="AP61" i="1"/>
  <c r="BR61" i="1" s="1"/>
  <c r="AM61" i="1"/>
  <c r="P66" i="1"/>
  <c r="P55" i="1"/>
  <c r="P69" i="1"/>
  <c r="P63" i="1"/>
  <c r="P64" i="1"/>
  <c r="P68" i="1"/>
  <c r="P62" i="1"/>
  <c r="P57" i="1"/>
  <c r="P75" i="1"/>
  <c r="P67" i="1"/>
  <c r="P54" i="1"/>
  <c r="P61" i="1"/>
  <c r="P52" i="1"/>
  <c r="P72" i="1"/>
  <c r="P78" i="1"/>
  <c r="P70" i="1"/>
  <c r="P74" i="1"/>
  <c r="P71" i="1"/>
  <c r="P56" i="1"/>
  <c r="P73" i="1"/>
  <c r="P77" i="1"/>
  <c r="P60" i="1"/>
  <c r="P79" i="1"/>
  <c r="P76" i="1"/>
  <c r="P53" i="1"/>
  <c r="P65" i="1"/>
  <c r="P59" i="1"/>
  <c r="P58" i="1"/>
  <c r="BN68" i="1" l="1"/>
  <c r="AI68" i="1"/>
  <c r="BN58" i="1"/>
  <c r="AI58" i="1"/>
  <c r="BN60" i="1"/>
  <c r="AI60" i="1"/>
  <c r="BN64" i="1"/>
  <c r="AI64" i="1"/>
  <c r="BN61" i="1"/>
  <c r="AI61" i="1"/>
  <c r="BN56" i="1"/>
  <c r="AI56" i="1"/>
  <c r="BN59" i="1"/>
  <c r="AI59" i="1"/>
  <c r="BN67" i="1"/>
  <c r="AI67" i="1"/>
  <c r="BN53" i="1"/>
  <c r="AI53" i="1"/>
  <c r="BN75" i="1"/>
  <c r="AI75" i="1"/>
  <c r="BN66" i="1"/>
  <c r="AI66" i="1"/>
  <c r="BN77" i="1"/>
  <c r="AI77" i="1"/>
  <c r="BN73" i="1"/>
  <c r="AI73" i="1"/>
  <c r="BN69" i="1"/>
  <c r="AI69" i="1"/>
  <c r="BN65" i="1"/>
  <c r="AI65" i="1"/>
  <c r="BN55" i="1"/>
  <c r="AI55" i="1"/>
  <c r="BN74" i="1"/>
  <c r="AI74" i="1"/>
  <c r="BN76" i="1"/>
  <c r="AI76" i="1"/>
  <c r="BN70" i="1"/>
  <c r="AI70" i="1"/>
  <c r="BN57" i="1"/>
  <c r="AI57" i="1"/>
  <c r="BN72" i="1"/>
  <c r="AI72" i="1"/>
  <c r="BN52" i="1"/>
  <c r="AI52" i="1"/>
  <c r="BN63" i="1"/>
  <c r="AI63" i="1"/>
  <c r="BN54" i="1"/>
  <c r="AI54" i="1"/>
  <c r="BN71" i="1"/>
  <c r="AI71" i="1"/>
  <c r="BN79" i="1"/>
  <c r="AI79" i="1"/>
  <c r="BN78" i="1"/>
  <c r="AI78" i="1"/>
  <c r="BN62" i="1"/>
  <c r="AI62" i="1"/>
  <c r="BH42" i="1"/>
  <c r="BL42" i="1" s="1"/>
  <c r="CD42" i="1" s="1"/>
  <c r="BG96" i="1"/>
  <c r="BG97" i="1"/>
  <c r="BH97" i="1" s="1"/>
  <c r="BL97" i="1" s="1"/>
  <c r="BH43" i="1"/>
  <c r="BL43" i="1" s="1"/>
  <c r="CD43" i="1" s="1"/>
  <c r="BG99" i="1"/>
  <c r="BG91" i="1"/>
  <c r="BH91" i="1" s="1"/>
  <c r="BL91" i="1" s="1"/>
  <c r="BG90" i="1"/>
  <c r="BH90" i="1" s="1"/>
  <c r="BL90" i="1" s="1"/>
  <c r="BG94" i="1"/>
  <c r="BH94" i="1" s="1"/>
  <c r="BL94" i="1" s="1"/>
  <c r="BG98" i="1"/>
  <c r="BG95" i="1"/>
  <c r="BG102" i="1"/>
  <c r="BH102" i="1" s="1"/>
  <c r="BL102" i="1" s="1"/>
  <c r="BG103" i="1"/>
  <c r="BH103" i="1" s="1"/>
  <c r="BL103" i="1" s="1"/>
  <c r="BG92" i="1"/>
  <c r="BH92" i="1" s="1"/>
  <c r="BL92" i="1" s="1"/>
  <c r="BG101" i="1"/>
  <c r="BH101" i="1" s="1"/>
  <c r="BL101" i="1" s="1"/>
  <c r="BG105" i="1"/>
  <c r="BH105" i="1" s="1"/>
  <c r="BL105" i="1" s="1"/>
  <c r="BG100" i="1"/>
  <c r="BH100" i="1" s="1"/>
  <c r="BL100" i="1" s="1"/>
  <c r="BG93" i="1"/>
  <c r="BG104" i="1"/>
  <c r="BH104" i="1" s="1"/>
  <c r="BL104" i="1" s="1"/>
  <c r="CA62" i="1" l="1"/>
  <c r="BP62" i="1"/>
  <c r="BD62" i="1"/>
  <c r="BX62" i="1"/>
  <c r="BY62" i="1" s="1"/>
  <c r="CB62" i="1" s="1"/>
  <c r="CC62" i="1" s="1"/>
  <c r="BS62" i="1"/>
  <c r="CA54" i="1"/>
  <c r="BP54" i="1"/>
  <c r="BD54" i="1"/>
  <c r="BX54" i="1"/>
  <c r="BY54" i="1" s="1"/>
  <c r="BS54" i="1"/>
  <c r="CA57" i="1"/>
  <c r="BP57" i="1"/>
  <c r="BD57" i="1"/>
  <c r="BX57" i="1"/>
  <c r="BY57" i="1" s="1"/>
  <c r="CB57" i="1" s="1"/>
  <c r="CC57" i="1" s="1"/>
  <c r="BS57" i="1"/>
  <c r="CA55" i="1"/>
  <c r="BP55" i="1"/>
  <c r="BD55" i="1"/>
  <c r="BX55" i="1"/>
  <c r="BY55" i="1" s="1"/>
  <c r="BS55" i="1"/>
  <c r="CA77" i="1"/>
  <c r="BP77" i="1"/>
  <c r="BD77" i="1"/>
  <c r="BX77" i="1"/>
  <c r="BY77" i="1" s="1"/>
  <c r="BS77" i="1"/>
  <c r="CA67" i="1"/>
  <c r="BP67" i="1"/>
  <c r="BD67" i="1"/>
  <c r="BX67" i="1"/>
  <c r="BY67" i="1" s="1"/>
  <c r="BS67" i="1"/>
  <c r="CA64" i="1"/>
  <c r="CB64" i="1" s="1"/>
  <c r="CC64" i="1" s="1"/>
  <c r="BP64" i="1"/>
  <c r="BD64" i="1"/>
  <c r="BX64" i="1"/>
  <c r="BY64" i="1" s="1"/>
  <c r="BS64" i="1"/>
  <c r="CA66" i="1"/>
  <c r="BP66" i="1"/>
  <c r="BD66" i="1"/>
  <c r="BX66" i="1"/>
  <c r="BY66" i="1" s="1"/>
  <c r="CB66" i="1" s="1"/>
  <c r="CC66" i="1" s="1"/>
  <c r="BS66" i="1"/>
  <c r="CA59" i="1"/>
  <c r="BP59" i="1"/>
  <c r="BD59" i="1"/>
  <c r="BX59" i="1"/>
  <c r="BY59" i="1" s="1"/>
  <c r="BS59" i="1"/>
  <c r="CA60" i="1"/>
  <c r="BP60" i="1"/>
  <c r="BD60" i="1"/>
  <c r="BX60" i="1"/>
  <c r="BY60" i="1" s="1"/>
  <c r="BS60" i="1"/>
  <c r="BP65" i="1"/>
  <c r="CA65" i="1"/>
  <c r="BD65" i="1"/>
  <c r="BX65" i="1"/>
  <c r="BY65" i="1" s="1"/>
  <c r="CB65" i="1" s="1"/>
  <c r="CC65" i="1" s="1"/>
  <c r="BS65" i="1"/>
  <c r="CA63" i="1"/>
  <c r="BP63" i="1"/>
  <c r="BD63" i="1"/>
  <c r="BX63" i="1"/>
  <c r="BY63" i="1" s="1"/>
  <c r="BS63" i="1"/>
  <c r="CA79" i="1"/>
  <c r="BP79" i="1"/>
  <c r="BD79" i="1"/>
  <c r="BX79" i="1"/>
  <c r="BY79" i="1" s="1"/>
  <c r="CB79" i="1" s="1"/>
  <c r="CC79" i="1" s="1"/>
  <c r="BS79" i="1"/>
  <c r="CA52" i="1"/>
  <c r="BP52" i="1"/>
  <c r="BD52" i="1"/>
  <c r="BX52" i="1"/>
  <c r="BY52" i="1" s="1"/>
  <c r="BS52" i="1"/>
  <c r="CA76" i="1"/>
  <c r="BP76" i="1"/>
  <c r="BD76" i="1"/>
  <c r="BX76" i="1"/>
  <c r="BY76" i="1" s="1"/>
  <c r="BS76" i="1"/>
  <c r="BP69" i="1"/>
  <c r="CA69" i="1"/>
  <c r="BD69" i="1"/>
  <c r="BX69" i="1"/>
  <c r="BY69" i="1" s="1"/>
  <c r="CB69" i="1" s="1"/>
  <c r="CC69" i="1" s="1"/>
  <c r="BS69" i="1"/>
  <c r="CA75" i="1"/>
  <c r="BP75" i="1"/>
  <c r="BD75" i="1"/>
  <c r="BX75" i="1"/>
  <c r="BY75" i="1" s="1"/>
  <c r="BS75" i="1"/>
  <c r="BP56" i="1"/>
  <c r="CA56" i="1"/>
  <c r="CB56" i="1" s="1"/>
  <c r="CC56" i="1" s="1"/>
  <c r="BD56" i="1"/>
  <c r="BX56" i="1"/>
  <c r="BY56" i="1" s="1"/>
  <c r="BS56" i="1"/>
  <c r="CA58" i="1"/>
  <c r="BP58" i="1"/>
  <c r="BD58" i="1"/>
  <c r="BX58" i="1"/>
  <c r="BY58" i="1" s="1"/>
  <c r="CB58" i="1" s="1"/>
  <c r="CC58" i="1" s="1"/>
  <c r="BS58" i="1"/>
  <c r="BN4" i="1"/>
  <c r="CA78" i="1"/>
  <c r="BP78" i="1"/>
  <c r="BD78" i="1"/>
  <c r="BX78" i="1"/>
  <c r="BY78" i="1" s="1"/>
  <c r="BS78" i="1"/>
  <c r="CA71" i="1"/>
  <c r="BP71" i="1"/>
  <c r="BD71" i="1"/>
  <c r="BX71" i="1"/>
  <c r="BY71" i="1" s="1"/>
  <c r="BS71" i="1"/>
  <c r="BP72" i="1"/>
  <c r="CA72" i="1"/>
  <c r="BD72" i="1"/>
  <c r="BX72" i="1"/>
  <c r="BY72" i="1" s="1"/>
  <c r="BS72" i="1"/>
  <c r="CA74" i="1"/>
  <c r="BP74" i="1"/>
  <c r="BD74" i="1"/>
  <c r="BX74" i="1"/>
  <c r="BY74" i="1" s="1"/>
  <c r="BS74" i="1"/>
  <c r="BP73" i="1"/>
  <c r="CA73" i="1"/>
  <c r="BD73" i="1"/>
  <c r="BX73" i="1"/>
  <c r="BY73" i="1" s="1"/>
  <c r="CB73" i="1" s="1"/>
  <c r="CC73" i="1" s="1"/>
  <c r="BS73" i="1"/>
  <c r="BP53" i="1"/>
  <c r="CA53" i="1"/>
  <c r="BD53" i="1"/>
  <c r="BX53" i="1"/>
  <c r="BY53" i="1" s="1"/>
  <c r="BS53" i="1"/>
  <c r="CA61" i="1"/>
  <c r="CB61" i="1" s="1"/>
  <c r="CC61" i="1" s="1"/>
  <c r="BP61" i="1"/>
  <c r="BD61" i="1"/>
  <c r="BX61" i="1"/>
  <c r="BY61" i="1" s="1"/>
  <c r="BS61" i="1"/>
  <c r="CA68" i="1"/>
  <c r="BP68" i="1"/>
  <c r="BD68" i="1"/>
  <c r="BX68" i="1"/>
  <c r="BY68" i="1" s="1"/>
  <c r="BS68" i="1"/>
  <c r="CA70" i="1"/>
  <c r="BP70" i="1"/>
  <c r="BD70" i="1"/>
  <c r="BX70" i="1"/>
  <c r="BY70" i="1" s="1"/>
  <c r="CB70" i="1" s="1"/>
  <c r="BS70" i="1"/>
  <c r="CD62" i="1"/>
  <c r="CB67" i="1"/>
  <c r="CC67" i="1" s="1"/>
  <c r="CB71" i="1"/>
  <c r="CC71" i="1" s="1"/>
  <c r="CB68" i="1"/>
  <c r="CC68" i="1" s="1"/>
  <c r="CB63" i="1"/>
  <c r="CC63" i="1" s="1"/>
  <c r="CB52" i="1"/>
  <c r="CC52" i="1" s="1"/>
  <c r="CB75" i="1"/>
  <c r="CC75" i="1" s="1"/>
  <c r="CB72" i="1"/>
  <c r="CC72" i="1" s="1"/>
  <c r="CB60" i="1"/>
  <c r="CC60" i="1" s="1"/>
  <c r="CB74" i="1"/>
  <c r="CC74" i="1" s="1"/>
  <c r="CB54" i="1"/>
  <c r="CC54" i="1" s="1"/>
  <c r="CB55" i="1"/>
  <c r="CC55" i="1" s="1"/>
  <c r="CB78" i="1"/>
  <c r="CC78" i="1" s="1"/>
  <c r="CB59" i="1"/>
  <c r="CC59" i="1" s="1"/>
  <c r="CB53" i="1"/>
  <c r="CC53" i="1" s="1"/>
  <c r="CB77" i="1"/>
  <c r="CC77" i="1" s="1"/>
  <c r="BM104" i="1"/>
  <c r="CD104" i="1"/>
  <c r="BM102" i="1"/>
  <c r="CD102" i="1"/>
  <c r="BM101" i="1"/>
  <c r="CD101" i="1"/>
  <c r="BM91" i="1"/>
  <c r="CD91" i="1"/>
  <c r="BM105" i="1"/>
  <c r="CD105" i="1"/>
  <c r="BM97" i="1"/>
  <c r="CD97" i="1"/>
  <c r="BM100" i="1"/>
  <c r="CD100" i="1"/>
  <c r="BM90" i="1"/>
  <c r="CD90" i="1"/>
  <c r="BM92" i="1"/>
  <c r="CD92" i="1"/>
  <c r="BM103" i="1"/>
  <c r="CD103" i="1"/>
  <c r="BM94" i="1"/>
  <c r="CD94" i="1"/>
  <c r="BH93" i="1"/>
  <c r="BL93" i="1" s="1"/>
  <c r="BH95" i="1"/>
  <c r="BL95" i="1" s="1"/>
  <c r="BH98" i="1"/>
  <c r="BL98" i="1" s="1"/>
  <c r="BH99" i="1"/>
  <c r="BL99" i="1" s="1"/>
  <c r="BH96" i="1"/>
  <c r="BL96" i="1" s="1"/>
  <c r="CD69" i="1" l="1"/>
  <c r="CC70" i="1"/>
  <c r="CD70" i="1"/>
  <c r="CD73" i="1"/>
  <c r="CD65" i="1"/>
  <c r="CB76" i="1"/>
  <c r="CD57" i="1"/>
  <c r="CD61" i="1"/>
  <c r="CD52" i="1"/>
  <c r="CD66" i="1"/>
  <c r="CD72" i="1"/>
  <c r="CD63" i="1"/>
  <c r="CD67" i="1"/>
  <c r="CD53" i="1"/>
  <c r="CD71" i="1"/>
  <c r="CD59" i="1"/>
  <c r="CD78" i="1"/>
  <c r="CD54" i="1"/>
  <c r="CD64" i="1"/>
  <c r="CD79" i="1"/>
  <c r="CD58" i="1"/>
  <c r="CD60" i="1"/>
  <c r="CD77" i="1"/>
  <c r="CD55" i="1"/>
  <c r="CD74" i="1"/>
  <c r="CD75" i="1"/>
  <c r="CD68" i="1"/>
  <c r="CD56" i="1"/>
  <c r="BM96" i="1"/>
  <c r="CD96" i="1"/>
  <c r="BM98" i="1"/>
  <c r="CD98" i="1"/>
  <c r="BM99" i="1"/>
  <c r="CD99" i="1"/>
  <c r="BM95" i="1"/>
  <c r="CD95" i="1"/>
  <c r="BM93" i="1"/>
  <c r="CD93" i="1"/>
  <c r="CC76" i="1" l="1"/>
  <c r="CC4" i="1" s="1"/>
  <c r="CD76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Jeffrey Hung</author>
    <author>Jellyfish</author>
  </authors>
  <commentList>
    <comment ref="Z8" authorId="0" shapeId="0" xr:uid="{D846F563-CBCC-415D-BAAD-E8E0DC1EB656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ratio of net to gross area; refer to Dillon (2015)</t>
        </r>
      </text>
    </comment>
    <comment ref="BM8" authorId="0" shapeId="0" xr:uid="{00000000-0006-0000-0700-000001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Vmax,gross = Vmax / Agross
If cylclic loading, AVERAGE shear is considered</t>
        </r>
      </text>
    </comment>
    <comment ref="CC8" authorId="0" shapeId="0" xr:uid="{1307E832-DD31-42F2-A254-F917AB2CB87D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Vmax,gross = Vmax / Agross
If cylclic loading, AVERAGE shear is considered</t>
        </r>
      </text>
    </comment>
    <comment ref="AY11" authorId="0" shapeId="0" xr:uid="{00000000-0006-0000-0700-000002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Z11" authorId="0" shapeId="0" xr:uid="{00000000-0006-0000-0700-000003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O13" authorId="0" shapeId="0" xr:uid="{00000000-0006-0000-0700-000004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P13" authorId="0" shapeId="0" xr:uid="{00000000-0006-0000-0700-000005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O14" authorId="0" shapeId="0" xr:uid="{00000000-0006-0000-0700-000006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P14" authorId="0" shapeId="0" xr:uid="{00000000-0006-0000-0700-000007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O15" authorId="0" shapeId="0" xr:uid="{00000000-0006-0000-0700-000008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290MPa
1/2" bars, 302MPa</t>
        </r>
      </text>
    </comment>
    <comment ref="AP15" authorId="0" shapeId="0" xr:uid="{00000000-0006-0000-0700-000009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O16" authorId="0" shapeId="0" xr:uid="{00000000-0006-0000-0700-00000A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285MPa
1/2" bars, 302MPa</t>
        </r>
      </text>
    </comment>
    <comment ref="AP16" authorId="0" shapeId="0" xr:uid="{00000000-0006-0000-0700-00000B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O17" authorId="0" shapeId="0" xr:uid="{00000000-0006-0000-0700-00000C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290MPa
1/2" bars, 302MPa</t>
        </r>
      </text>
    </comment>
    <comment ref="AP17" authorId="0" shapeId="0" xr:uid="{00000000-0006-0000-0700-00000D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AO18" authorId="0" shapeId="0" xr:uid="{00000000-0006-0000-0700-00000E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5/8" bars, 290MPa
1/2" bars, 302MPa</t>
        </r>
      </text>
    </comment>
    <comment ref="AP18" authorId="0" shapeId="0" xr:uid="{00000000-0006-0000-0700-00000F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separately according to yield strength of each bar</t>
        </r>
      </text>
    </comment>
    <comment ref="BG18" authorId="0" shapeId="0" xr:uid="{00000000-0006-0000-0700-000010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"In excess of 112 kip"</t>
        </r>
      </text>
    </comment>
    <comment ref="X51" authorId="1" shapeId="0" xr:uid="{00000000-0006-0000-0700-000011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as the average compressive strength of grout (applies to all Matsumura entries)</t>
        </r>
      </text>
    </comment>
    <comment ref="AO51" authorId="0" shapeId="0" xr:uid="{00000000-0006-0000-0700-000012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as the average yield stress of reinforcement (applies to all Matsumura entries)</t>
        </r>
      </text>
    </comment>
    <comment ref="AP51" authorId="0" shapeId="0" xr:uid="{00000000-0006-0000-0700-000013000000}">
      <text>
        <r>
          <rPr>
            <b/>
            <sz val="9"/>
            <color indexed="81"/>
            <rFont val="Tahoma"/>
            <family val="2"/>
          </rPr>
          <t xml:space="preserve">Jeffrey Hung:
</t>
        </r>
        <r>
          <rPr>
            <sz val="9"/>
            <color indexed="81"/>
            <rFont val="Tahoma"/>
            <family val="2"/>
          </rPr>
          <t>Calculated based on the assumed average yield stress of reinforcement (applies to all Matsumura entries)</t>
        </r>
      </text>
    </comment>
    <comment ref="AQ51" authorId="1" shapeId="0" xr:uid="{00000000-0006-0000-0700-000014000000}">
      <text>
        <r>
          <rPr>
            <b/>
            <sz val="9"/>
            <color indexed="81"/>
            <rFont val="Tahoma"/>
            <family val="2"/>
          </rPr>
          <t>Jellyfish:</t>
        </r>
        <r>
          <rPr>
            <sz val="9"/>
            <color indexed="81"/>
            <rFont val="Tahoma"/>
            <family val="2"/>
          </rPr>
          <t xml:space="preserve">
Jellyfish:
Assumed 400mm (matching with Aguilar's database), (applies to all Matsumura entries)</t>
        </r>
      </text>
    </comment>
    <comment ref="AV51" authorId="1" shapeId="0" xr:uid="{00000000-0006-0000-0700-000017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Based on the assumed spacing of s = 400 (applies to all Matsumura entries)</t>
        </r>
      </text>
    </comment>
    <comment ref="AY51" authorId="0" shapeId="0" xr:uid="{00000000-0006-0000-0700-000015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as the average yield stress of reinforcement (applies to all Matsumura entries)</t>
        </r>
      </text>
    </comment>
    <comment ref="AZ51" authorId="0" shapeId="0" xr:uid="{00000000-0006-0000-0700-000016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Calculated based on the assumed average yield stress of reinforcement (applies to all Matsumura entries)</t>
        </r>
      </text>
    </comment>
    <comment ref="BA51" authorId="1" shapeId="0" xr:uid="{00000000-0006-0000-0700-000018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Assumed 400mm (matching with Aguilar's database), (applies to all Matsumura entries)</t>
        </r>
      </text>
    </comment>
    <comment ref="AY113" authorId="1" shapeId="0" xr:uid="{00000000-0006-0000-0700-000019000000}">
      <text>
        <r>
          <rPr>
            <b/>
            <sz val="9"/>
            <color indexed="81"/>
            <rFont val="Tahoma"/>
            <family val="2"/>
          </rPr>
          <t>Jellyfish:</t>
        </r>
        <r>
          <rPr>
            <sz val="9"/>
            <color indexed="81"/>
            <rFont val="Tahoma"/>
            <family val="2"/>
          </rPr>
          <t xml:space="preserve">
No bars were tested from specimen R9; the lowest fy (R11) is assumed.</t>
        </r>
      </text>
    </comment>
    <comment ref="AB120" authorId="0" shapeId="0" xr:uid="{E62F4CA4-F13E-492A-930E-FBE64AB0EE03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(from Dillon's database): Published strength was 5.2 MPa, but this must have been for the gross dimensions b/c otherwise the blocks would not have been able to support the imposed axial load.</t>
        </r>
      </text>
    </comment>
    <comment ref="AO154" authorId="0" shapeId="0" xr:uid="{00000000-0006-0000-0700-00001A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Average fyv based on 4 No.6 Bars and 3 No.5 Bars</t>
        </r>
      </text>
    </comment>
    <comment ref="AO155" authorId="0" shapeId="0" xr:uid="{00000000-0006-0000-0700-00001B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from Aguilar's database</t>
        </r>
      </text>
    </comment>
    <comment ref="AY155" authorId="0" shapeId="0" xr:uid="{00000000-0006-0000-0700-00001C000000}">
      <text>
        <r>
          <rPr>
            <b/>
            <sz val="9"/>
            <color indexed="81"/>
            <rFont val="Tahoma"/>
            <family val="2"/>
          </rPr>
          <t>Jeffrey Hung:</t>
        </r>
        <r>
          <rPr>
            <sz val="9"/>
            <color indexed="81"/>
            <rFont val="Tahoma"/>
            <family val="2"/>
          </rPr>
          <t xml:space="preserve">
Taken from Aguilar's database</t>
        </r>
      </text>
    </comment>
  </commentList>
</comments>
</file>

<file path=xl/sharedStrings.xml><?xml version="1.0" encoding="utf-8"?>
<sst xmlns="http://schemas.openxmlformats.org/spreadsheetml/2006/main" count="5914" uniqueCount="1021">
  <si>
    <t>Wall ID</t>
  </si>
  <si>
    <t>Source</t>
  </si>
  <si>
    <t>Wall #</t>
  </si>
  <si>
    <r>
      <rPr>
        <b/>
        <sz val="10"/>
        <rFont val="Segoe UI"/>
        <family val="2"/>
      </rPr>
      <t>H
[mm]</t>
    </r>
  </si>
  <si>
    <r>
      <rPr>
        <b/>
        <sz val="10"/>
        <rFont val="Segoe UI"/>
        <family val="2"/>
      </rPr>
      <t>L
[mm]</t>
    </r>
  </si>
  <si>
    <r>
      <t>A
[mm</t>
    </r>
    <r>
      <rPr>
        <b/>
        <vertAlign val="superscript"/>
        <sz val="10"/>
        <color rgb="FF000000"/>
        <rFont val="Segoe UI"/>
        <family val="2"/>
      </rPr>
      <t>2</t>
    </r>
    <r>
      <rPr>
        <b/>
        <sz val="10"/>
        <color rgb="FF000000"/>
        <rFont val="Segoe UI"/>
        <family val="2"/>
      </rPr>
      <t>]</t>
    </r>
  </si>
  <si>
    <r>
      <rPr>
        <b/>
        <sz val="10"/>
        <rFont val="Segoe UI"/>
        <family val="2"/>
      </rPr>
      <t>t
[mm]</t>
    </r>
  </si>
  <si>
    <r>
      <rPr>
        <b/>
        <sz val="10"/>
        <rFont val="Segoe UI"/>
        <family val="2"/>
      </rPr>
      <t>H/L
-</t>
    </r>
  </si>
  <si>
    <r>
      <t>f</t>
    </r>
    <r>
      <rPr>
        <b/>
        <vertAlign val="subscript"/>
        <sz val="10"/>
        <rFont val="Segoe UI"/>
        <family val="2"/>
      </rPr>
      <t>yv</t>
    </r>
    <r>
      <rPr>
        <b/>
        <sz val="10"/>
        <rFont val="Segoe UI"/>
        <family val="2"/>
      </rPr>
      <t xml:space="preserve">
[MPa]</t>
    </r>
  </si>
  <si>
    <r>
      <t>s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 xml:space="preserve">
[mm]</t>
    </r>
  </si>
  <si>
    <r>
      <t>f</t>
    </r>
    <r>
      <rPr>
        <b/>
        <vertAlign val="subscript"/>
        <sz val="10"/>
        <color rgb="FF000000"/>
        <rFont val="Segoe UI"/>
        <family val="2"/>
      </rPr>
      <t>yh</t>
    </r>
    <r>
      <rPr>
        <b/>
        <sz val="10"/>
        <color rgb="FF000000"/>
        <rFont val="Segoe UI"/>
        <family val="2"/>
      </rPr>
      <t xml:space="preserve">
[MPa]</t>
    </r>
  </si>
  <si>
    <r>
      <t>s</t>
    </r>
    <r>
      <rPr>
        <b/>
        <vertAlign val="subscript"/>
        <sz val="10"/>
        <rFont val="Segoe UI"/>
        <family val="2"/>
      </rPr>
      <t>h</t>
    </r>
    <r>
      <rPr>
        <b/>
        <sz val="10"/>
        <rFont val="Segoe UI"/>
        <family val="2"/>
      </rPr>
      <t xml:space="preserve">
[mm]</t>
    </r>
  </si>
  <si>
    <t>Oan (2013)</t>
  </si>
  <si>
    <t>No.</t>
  </si>
  <si>
    <t>f'm</t>
  </si>
  <si>
    <t>L</t>
  </si>
  <si>
    <t>H</t>
  </si>
  <si>
    <t>H/L</t>
  </si>
  <si>
    <t>t</t>
  </si>
  <si>
    <r>
      <rPr>
        <b/>
        <sz val="11"/>
        <rFont val="Segoe UI"/>
        <family val="2"/>
      </rPr>
      <t>d</t>
    </r>
    <r>
      <rPr>
        <b/>
        <vertAlign val="subscript"/>
        <sz val="8"/>
        <rFont val="Segoe UI"/>
        <family val="2"/>
      </rPr>
      <t>v</t>
    </r>
  </si>
  <si>
    <r>
      <rPr>
        <b/>
        <sz val="12"/>
        <rFont val="Segoe UI"/>
        <family val="2"/>
      </rPr>
      <t>A</t>
    </r>
    <r>
      <rPr>
        <b/>
        <sz val="8"/>
        <rFont val="Segoe UI"/>
        <family val="2"/>
      </rPr>
      <t>sv</t>
    </r>
  </si>
  <si>
    <t>S</t>
  </si>
  <si>
    <t>P</t>
  </si>
  <si>
    <r>
      <rPr>
        <b/>
        <vertAlign val="superscript"/>
        <sz val="11"/>
        <rFont val="Segoe UI"/>
        <family val="2"/>
      </rPr>
      <t>V</t>
    </r>
    <r>
      <rPr>
        <b/>
        <sz val="8"/>
        <rFont val="Segoe UI"/>
        <family val="2"/>
      </rPr>
      <t>exp</t>
    </r>
  </si>
  <si>
    <r>
      <rPr>
        <b/>
        <sz val="12"/>
        <rFont val="Segoe UI"/>
        <family val="2"/>
      </rPr>
      <t>f</t>
    </r>
    <r>
      <rPr>
        <b/>
        <sz val="8"/>
        <rFont val="Segoe UI"/>
        <family val="2"/>
      </rPr>
      <t>yv</t>
    </r>
  </si>
  <si>
    <r>
      <rPr>
        <b/>
        <sz val="11"/>
        <rFont val="Segoe UI"/>
        <family val="2"/>
      </rPr>
      <t>A</t>
    </r>
    <r>
      <rPr>
        <b/>
        <sz val="8"/>
        <rFont val="Segoe UI"/>
        <family val="2"/>
      </rPr>
      <t>sh</t>
    </r>
  </si>
  <si>
    <r>
      <rPr>
        <b/>
        <sz val="11"/>
        <rFont val="Segoe UI"/>
        <family val="2"/>
      </rPr>
      <t>f</t>
    </r>
    <r>
      <rPr>
        <b/>
        <sz val="8"/>
        <rFont val="Segoe UI"/>
        <family val="2"/>
      </rPr>
      <t>yh</t>
    </r>
  </si>
  <si>
    <r>
      <rPr>
        <sz val="11"/>
        <rFont val="Times New Roman"/>
        <family val="1"/>
      </rPr>
      <t>Oan &amp; Shrive</t>
    </r>
  </si>
  <si>
    <r>
      <rPr>
        <sz val="11"/>
        <rFont val="Times New Roman"/>
        <family val="1"/>
      </rPr>
      <t>Voon &amp; Ingham 2006</t>
    </r>
  </si>
  <si>
    <r>
      <rPr>
        <sz val="11"/>
        <rFont val="Times New Roman"/>
        <family val="1"/>
      </rPr>
      <t>Schultz 1998</t>
    </r>
  </si>
  <si>
    <r>
      <rPr>
        <sz val="11"/>
        <rFont val="Times New Roman"/>
        <family val="1"/>
      </rPr>
      <t>Matsumura 1987</t>
    </r>
  </si>
  <si>
    <r>
      <rPr>
        <sz val="11"/>
        <rFont val="Times New Roman"/>
        <family val="1"/>
      </rPr>
      <t xml:space="preserve">Baenziger &amp;
</t>
    </r>
    <r>
      <rPr>
        <sz val="11"/>
        <rFont val="Times New Roman"/>
        <family val="1"/>
      </rPr>
      <t>Porter 2011</t>
    </r>
  </si>
  <si>
    <r>
      <rPr>
        <sz val="11"/>
        <rFont val="Times New Roman"/>
        <family val="1"/>
      </rPr>
      <t>Scrivener 1969</t>
    </r>
  </si>
  <si>
    <r>
      <rPr>
        <sz val="11"/>
        <rFont val="Times New Roman"/>
        <family val="1"/>
      </rPr>
      <t>Shing et al. 1990</t>
    </r>
  </si>
  <si>
    <r>
      <rPr>
        <sz val="11"/>
        <rFont val="Times New Roman"/>
        <family val="1"/>
      </rPr>
      <t>Okamoto et al. 1987*</t>
    </r>
  </si>
  <si>
    <r>
      <rPr>
        <sz val="12"/>
        <rFont val="Times New Roman"/>
        <family val="1"/>
      </rPr>
      <t>* Reported by Fattal and Todd (1991)</t>
    </r>
  </si>
  <si>
    <r>
      <t>γ</t>
    </r>
    <r>
      <rPr>
        <b/>
        <vertAlign val="subscript"/>
        <sz val="11"/>
        <rFont val="Segoe UI"/>
        <family val="2"/>
      </rPr>
      <t>g</t>
    </r>
  </si>
  <si>
    <t>Nolph et al. 2012</t>
  </si>
  <si>
    <t>Sveinsson et al. 1985*</t>
  </si>
  <si>
    <t>Chen et al. 1978</t>
  </si>
  <si>
    <t>Number of samples</t>
  </si>
  <si>
    <t>Vidal's database No</t>
  </si>
  <si>
    <t>Voon and Ingham (2006)</t>
  </si>
  <si>
    <t>Voon (2007)</t>
  </si>
  <si>
    <t>70-71</t>
  </si>
  <si>
    <t>77-80</t>
  </si>
  <si>
    <t>139-169</t>
  </si>
  <si>
    <t>170-173</t>
  </si>
  <si>
    <t>Yancey and Scribner (1989)</t>
  </si>
  <si>
    <t>181-190</t>
  </si>
  <si>
    <t>Schultz et al. (1998)</t>
  </si>
  <si>
    <t>191-196</t>
  </si>
  <si>
    <t>Sierra (2002)</t>
  </si>
  <si>
    <t>213-216</t>
  </si>
  <si>
    <t>DICTUC (2002)</t>
  </si>
  <si>
    <t>217-225</t>
  </si>
  <si>
    <t>Lüders and Hidalgo (1986)</t>
  </si>
  <si>
    <t>234, 235, 239-246</t>
  </si>
  <si>
    <t>Lüders and Hidalgo (1987)</t>
  </si>
  <si>
    <t>Muñoz (1992)</t>
  </si>
  <si>
    <t>255-259</t>
  </si>
  <si>
    <t>Minaie et al. (2010)</t>
  </si>
  <si>
    <t>Nolph et al. (2012)</t>
  </si>
  <si>
    <t>Baenziger &amp; Porter (2011)</t>
  </si>
  <si>
    <t>71-72</t>
  </si>
  <si>
    <t>1-66</t>
  </si>
  <si>
    <t>77-82</t>
  </si>
  <si>
    <t>97-125</t>
  </si>
  <si>
    <t>126-130</t>
  </si>
  <si>
    <t>131-140</t>
  </si>
  <si>
    <t>141-152</t>
  </si>
  <si>
    <t>Total</t>
  </si>
  <si>
    <t>Experimental in-plane shear strength investigation of reinforced concrete masonry walls</t>
  </si>
  <si>
    <t>Design expression for the in-plane shear strength of reinforced concrete masonry</t>
  </si>
  <si>
    <t>In-plane behavior of partially grouted reinforced concrete masonry shear walls</t>
  </si>
  <si>
    <t>Cyclic Loading Tests of Masonry Single Piers, Volume 2-Height toWidth Ratio of 1</t>
  </si>
  <si>
    <t>Influence of horizontal reinforcement on shear resistance of concrete block masonry walls</t>
  </si>
  <si>
    <t>Seismic performance of masonry walls with bed joint reinforcement</t>
  </si>
  <si>
    <t>Static cyclic response of partially grouted masonry shear walls shear strength of partially grouted masonry walls</t>
  </si>
  <si>
    <t>Joint Reinforcement for Masonry Shear Walls</t>
  </si>
  <si>
    <t>Static Racking Tests on Concrete Masonry Walls</t>
  </si>
  <si>
    <t>Chen et al. (1978) / 
Hidalgo (1978)</t>
  </si>
  <si>
    <t>Diagonal shear of partially grouted concrete masonry panels</t>
  </si>
  <si>
    <t>Shear Strength of Reinforced Hollow Unit Masonry Walls</t>
  </si>
  <si>
    <t>Estudio experimental de la infuencia del refuerzo vertical en muros de albañilería armada sometidos a carga lateral alternada</t>
  </si>
  <si>
    <t xml:space="preserve">Ensayo de dos muros de albañilería armada de ladrillo cerámico perforado </t>
  </si>
  <si>
    <t>Infuencia del Refuerzo Horizontal en el Comportamiento sísmico de muros de albañilería Armada</t>
  </si>
  <si>
    <t>Comportamiento Sísmico de Muros de Albañilería Armada</t>
  </si>
  <si>
    <t xml:space="preserve">Estudio experimental del comportamiento de muros de albañilería de bloques de hormigón sometidos a carga lateral alternada </t>
  </si>
  <si>
    <t>Ramirez et al. (2016)</t>
  </si>
  <si>
    <t>Experimental study on in-plane cyclic response of partially grouted reinforced concrete masonry shear walls</t>
  </si>
  <si>
    <t>Interlibrary Loan</t>
  </si>
  <si>
    <t>On Hold</t>
  </si>
  <si>
    <t>4th NAMC</t>
  </si>
  <si>
    <t>International Conference on Masonry Structural Systems</t>
  </si>
  <si>
    <t>11th North American Masonry Conference</t>
  </si>
  <si>
    <t>https://nisee.berkeley.edu/elibrary/list?a=460&amp;start=61</t>
  </si>
  <si>
    <t>Email</t>
  </si>
  <si>
    <t>http://www.fire.nist.gov/bfrlpubs//bfrlall/auth/Y.html</t>
  </si>
  <si>
    <t>Matsumura (1987)</t>
  </si>
  <si>
    <t>https://books.google.ca/books/about/4as_Jornadas_Chilenas_de_Sismolog%C3%ADa_e_I.html?id=Hh2SYgEACAAJ&amp;redir_esc=y</t>
  </si>
  <si>
    <t>LISTS</t>
  </si>
  <si>
    <t>Support Type</t>
  </si>
  <si>
    <t>CW4-1-1</t>
  </si>
  <si>
    <t>COLOR LEGEND</t>
  </si>
  <si>
    <t>Black</t>
  </si>
  <si>
    <t>Red</t>
  </si>
  <si>
    <t>Blue</t>
  </si>
  <si>
    <t>WALL GEOMETRY</t>
  </si>
  <si>
    <r>
      <t>A</t>
    </r>
    <r>
      <rPr>
        <b/>
        <vertAlign val="subscript"/>
        <sz val="10"/>
        <color rgb="FF000000"/>
        <rFont val="Segoe UI"/>
        <family val="2"/>
      </rPr>
      <t>net</t>
    </r>
    <r>
      <rPr>
        <b/>
        <sz val="10"/>
        <color rgb="FF000000"/>
        <rFont val="Segoe UI"/>
        <family val="2"/>
      </rPr>
      <t xml:space="preserve">
[mm]</t>
    </r>
  </si>
  <si>
    <r>
      <t>A</t>
    </r>
    <r>
      <rPr>
        <b/>
        <vertAlign val="subscript"/>
        <sz val="10"/>
        <color rgb="FF000000"/>
        <rFont val="Segoe UI"/>
        <family val="2"/>
      </rPr>
      <t>net</t>
    </r>
    <r>
      <rPr>
        <b/>
        <sz val="10"/>
        <color rgb="FF000000"/>
        <rFont val="Segoe UI"/>
        <family val="2"/>
      </rPr>
      <t>/
A</t>
    </r>
    <r>
      <rPr>
        <b/>
        <vertAlign val="subscript"/>
        <sz val="10"/>
        <color rgb="FF000000"/>
        <rFont val="Segoe UI"/>
        <family val="2"/>
      </rPr>
      <t>gross</t>
    </r>
  </si>
  <si>
    <r>
      <t>A</t>
    </r>
    <r>
      <rPr>
        <b/>
        <vertAlign val="subscript"/>
        <sz val="10"/>
        <color rgb="FF000000"/>
        <rFont val="Segoe UI"/>
        <family val="2"/>
      </rPr>
      <t>gross</t>
    </r>
    <r>
      <rPr>
        <b/>
        <sz val="10"/>
        <color rgb="FF000000"/>
        <rFont val="Segoe UI"/>
        <family val="2"/>
      </rPr>
      <t xml:space="preserve">
[mm]</t>
    </r>
  </si>
  <si>
    <t>PARTIAL GROUTING</t>
  </si>
  <si>
    <t>AXIAL STRESS</t>
  </si>
  <si>
    <r>
      <t>V</t>
    </r>
    <r>
      <rPr>
        <b/>
        <vertAlign val="subscript"/>
        <sz val="10"/>
        <rFont val="Segoe UI"/>
        <family val="2"/>
      </rPr>
      <t>max</t>
    </r>
    <r>
      <rPr>
        <b/>
        <sz val="10"/>
        <rFont val="Segoe UI"/>
        <family val="2"/>
      </rPr>
      <t xml:space="preserve">
[kN]</t>
    </r>
  </si>
  <si>
    <t>SHEAR CAPACITY</t>
  </si>
  <si>
    <t>HORIZONTAL (SHEAR) REINFORCEMENT</t>
  </si>
  <si>
    <r>
      <t>ρ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 xml:space="preserve">
[unitless]</t>
    </r>
  </si>
  <si>
    <r>
      <t>ρ</t>
    </r>
    <r>
      <rPr>
        <b/>
        <vertAlign val="subscript"/>
        <sz val="10"/>
        <rFont val="Segoe UI"/>
        <family val="2"/>
      </rPr>
      <t>h</t>
    </r>
    <r>
      <rPr>
        <b/>
        <sz val="10"/>
        <rFont val="Segoe UI"/>
        <family val="2"/>
      </rPr>
      <t xml:space="preserve">
[unitless]</t>
    </r>
  </si>
  <si>
    <t>CW4-1-2</t>
  </si>
  <si>
    <t>CW3-1-1</t>
  </si>
  <si>
    <t>CW3-1-2</t>
  </si>
  <si>
    <t>CW2-1-1</t>
  </si>
  <si>
    <t>CW2-1-2</t>
  </si>
  <si>
    <t>CW3-0-1</t>
  </si>
  <si>
    <t>CW3-0-2</t>
  </si>
  <si>
    <t>CW3-1'</t>
  </si>
  <si>
    <t>CW3-2</t>
  </si>
  <si>
    <t>CW3-3</t>
  </si>
  <si>
    <t>CW3-1-A2</t>
  </si>
  <si>
    <t>CW3-0-A2</t>
  </si>
  <si>
    <t>CW3-2-A2</t>
  </si>
  <si>
    <t>CW3-4-A2</t>
  </si>
  <si>
    <t>CWB3-1'-A2</t>
  </si>
  <si>
    <t>CW3-0-A3</t>
  </si>
  <si>
    <t>CW3-0'-A3</t>
  </si>
  <si>
    <t>CW3-2-A3</t>
  </si>
  <si>
    <t>CW3-3-A3</t>
  </si>
  <si>
    <t>CW3-1-A3</t>
  </si>
  <si>
    <t>CW3-1-A4</t>
  </si>
  <si>
    <t>CW3-3-A2</t>
  </si>
  <si>
    <t>CW5-2'-A2-1</t>
  </si>
  <si>
    <t>CW5-2'-A2-2</t>
  </si>
  <si>
    <t>CW4-2'-A2</t>
  </si>
  <si>
    <t>CW3-2'-A2</t>
  </si>
  <si>
    <t>CW2-2'-A2-1</t>
  </si>
  <si>
    <t>CW2-2'-A2-2</t>
  </si>
  <si>
    <t>Nº</t>
  </si>
  <si>
    <t>FUENTE</t>
  </si>
  <si>
    <t>ID. ESPECIM.</t>
  </si>
  <si>
    <r>
      <rPr>
        <b/>
        <sz val="9"/>
        <rFont val="Segoe UI"/>
        <family val="2"/>
      </rPr>
      <t>H
[mm]</t>
    </r>
  </si>
  <si>
    <r>
      <rPr>
        <b/>
        <sz val="9"/>
        <rFont val="Segoe UI"/>
        <family val="2"/>
      </rPr>
      <t>L
[mm]</t>
    </r>
  </si>
  <si>
    <r>
      <t>A
[mm</t>
    </r>
    <r>
      <rPr>
        <b/>
        <vertAlign val="superscript"/>
        <sz val="9"/>
        <color rgb="FF000000"/>
        <rFont val="Segoe UI"/>
        <family val="2"/>
      </rPr>
      <t>2</t>
    </r>
    <r>
      <rPr>
        <b/>
        <sz val="9"/>
        <color rgb="FF000000"/>
        <rFont val="Segoe UI"/>
        <family val="2"/>
      </rPr>
      <t>]</t>
    </r>
  </si>
  <si>
    <r>
      <rPr>
        <b/>
        <sz val="9"/>
        <rFont val="Segoe UI"/>
        <family val="2"/>
      </rPr>
      <t>t
[mm]</t>
    </r>
  </si>
  <si>
    <r>
      <rPr>
        <b/>
        <sz val="9"/>
        <rFont val="Segoe UI"/>
        <family val="2"/>
      </rPr>
      <t>d
[mm]</t>
    </r>
  </si>
  <si>
    <r>
      <rPr>
        <b/>
        <sz val="9"/>
        <rFont val="Segoe UI"/>
        <family val="2"/>
      </rPr>
      <t>H/L
-</t>
    </r>
  </si>
  <si>
    <r>
      <rPr>
        <b/>
        <sz val="9"/>
        <rFont val="Segoe UI"/>
        <family val="2"/>
      </rPr>
      <t>fb
Mpa</t>
    </r>
  </si>
  <si>
    <r>
      <rPr>
        <b/>
        <sz val="9"/>
        <rFont val="Segoe UI"/>
        <family val="2"/>
      </rPr>
      <t>fm
[MPa]</t>
    </r>
  </si>
  <si>
    <r>
      <rPr>
        <b/>
        <sz val="9"/>
        <rFont val="Segoe UI"/>
        <family val="2"/>
      </rPr>
      <t>fg
[MPa]</t>
    </r>
  </si>
  <si>
    <r>
      <rPr>
        <b/>
        <sz val="9"/>
        <rFont val="Segoe UI"/>
        <family val="2"/>
      </rPr>
      <t>tm
Mpa</t>
    </r>
  </si>
  <si>
    <r>
      <rPr>
        <b/>
        <sz val="9"/>
        <rFont val="Segoe UI"/>
        <family val="2"/>
      </rPr>
      <t>fm'
[MPa]</t>
    </r>
  </si>
  <si>
    <r>
      <rPr>
        <b/>
        <sz val="9"/>
        <rFont val="Segoe UI"/>
        <family val="2"/>
      </rPr>
      <t>Grout
-</t>
    </r>
  </si>
  <si>
    <r>
      <rPr>
        <b/>
        <sz val="9"/>
        <rFont val="Segoe UI"/>
        <family val="2"/>
      </rPr>
      <t>Unid.
-</t>
    </r>
  </si>
  <si>
    <r>
      <rPr>
        <b/>
        <sz val="9"/>
        <rFont val="Segoe UI"/>
        <family val="2"/>
      </rPr>
      <t>pve
-</t>
    </r>
  </si>
  <si>
    <r>
      <rPr>
        <b/>
        <sz val="9"/>
        <rFont val="Segoe UI"/>
        <family val="2"/>
      </rPr>
      <t>pvi
-</t>
    </r>
  </si>
  <si>
    <r>
      <rPr>
        <b/>
        <sz val="9"/>
        <rFont val="Segoe UI"/>
        <family val="2"/>
      </rPr>
      <t>pv
-</t>
    </r>
  </si>
  <si>
    <r>
      <rPr>
        <b/>
        <sz val="9"/>
        <rFont val="Segoe UI"/>
        <family val="2"/>
      </rPr>
      <t>fyv
[MPa]</t>
    </r>
  </si>
  <si>
    <r>
      <rPr>
        <b/>
        <sz val="9"/>
        <rFont val="Segoe UI"/>
        <family val="2"/>
      </rPr>
      <t>sv
[mm]</t>
    </r>
  </si>
  <si>
    <t>ph
-</t>
  </si>
  <si>
    <t>fyh
[MPa]</t>
  </si>
  <si>
    <r>
      <rPr>
        <b/>
        <sz val="9"/>
        <rFont val="Segoe UI"/>
        <family val="2"/>
      </rPr>
      <t>sh
[mm]</t>
    </r>
  </si>
  <si>
    <r>
      <rPr>
        <b/>
        <sz val="9"/>
        <rFont val="Segoe UI"/>
        <family val="2"/>
      </rPr>
      <t>s0
[MPa]</t>
    </r>
  </si>
  <si>
    <t>α</t>
  </si>
  <si>
    <r>
      <rPr>
        <b/>
        <sz val="9"/>
        <rFont val="Segoe UI"/>
        <family val="2"/>
      </rPr>
      <t>dy
[mm]</t>
    </r>
  </si>
  <si>
    <r>
      <rPr>
        <b/>
        <sz val="9"/>
        <rFont val="Segoe UI"/>
        <family val="2"/>
      </rPr>
      <t>du
[mm]</t>
    </r>
  </si>
  <si>
    <t>μ
-</t>
  </si>
  <si>
    <r>
      <rPr>
        <b/>
        <sz val="9"/>
        <rFont val="Segoe UI"/>
        <family val="2"/>
      </rPr>
      <t>vagr
[MPa]</t>
    </r>
  </si>
  <si>
    <t>vmax
[MPa]</t>
  </si>
  <si>
    <t>vm</t>
  </si>
  <si>
    <r>
      <rPr>
        <sz val="9"/>
        <rFont val="Segoe UI"/>
        <family val="2"/>
      </rPr>
      <t>ACI530
vs   vq</t>
    </r>
  </si>
  <si>
    <t>vn</t>
  </si>
  <si>
    <r>
      <rPr>
        <sz val="9"/>
        <rFont val="Segoe UI"/>
        <family val="2"/>
      </rPr>
      <t>EC6
vs   vq</t>
    </r>
  </si>
  <si>
    <r>
      <rPr>
        <sz val="9"/>
        <rFont val="Segoe UI"/>
        <family val="2"/>
      </rPr>
      <t>NZS4230
vs   vq</t>
    </r>
  </si>
  <si>
    <r>
      <rPr>
        <sz val="9"/>
        <rFont val="Segoe UI"/>
        <family val="2"/>
      </rPr>
      <t>CSA304.1
vs   vq</t>
    </r>
  </si>
  <si>
    <r>
      <rPr>
        <sz val="9"/>
        <rFont val="Segoe UI"/>
        <family val="2"/>
      </rPr>
      <t>UBC
vs   vq</t>
    </r>
  </si>
  <si>
    <r>
      <rPr>
        <sz val="9"/>
        <rFont val="Segoe UI"/>
        <family val="2"/>
      </rPr>
      <t>IAJ
vs</t>
    </r>
  </si>
  <si>
    <t>vq</t>
  </si>
  <si>
    <t>NCh vn</t>
  </si>
  <si>
    <r>
      <rPr>
        <sz val="9"/>
        <rFont val="Segoe UI"/>
        <family val="2"/>
      </rPr>
      <t>Peru
vs   vq</t>
    </r>
  </si>
  <si>
    <t>Mexico vs   vq</t>
  </si>
  <si>
    <t>ACI</t>
  </si>
  <si>
    <t>EC</t>
  </si>
  <si>
    <t>NZS</t>
  </si>
  <si>
    <t>Vmax/Vn CSA UBC  IAJ</t>
  </si>
  <si>
    <t>NCh</t>
  </si>
  <si>
    <t>M</t>
  </si>
  <si>
    <t>A
[mm2]</t>
  </si>
  <si>
    <t>σ</t>
  </si>
  <si>
    <t>Output
vmax
[MPa]</t>
  </si>
  <si>
    <t>Diez et al. (1987)</t>
  </si>
  <si>
    <t>MPG</t>
  </si>
  <si>
    <t>GP</t>
  </si>
  <si>
    <t>LC</t>
  </si>
  <si>
    <t>MPE</t>
  </si>
  <si>
    <t>MAG1</t>
  </si>
  <si>
    <t>MAG2</t>
  </si>
  <si>
    <t>MAE1</t>
  </si>
  <si>
    <t>MAE2</t>
  </si>
  <si>
    <t>Shing et al. (1989)</t>
  </si>
  <si>
    <t>3-S</t>
  </si>
  <si>
    <t>GC</t>
  </si>
  <si>
    <t>BH</t>
  </si>
  <si>
    <t>s.i.</t>
  </si>
  <si>
    <t>4-S</t>
  </si>
  <si>
    <t>5-S</t>
  </si>
  <si>
    <t>7-S</t>
  </si>
  <si>
    <t>9-S</t>
  </si>
  <si>
    <t>13-S</t>
  </si>
  <si>
    <t>14-S</t>
  </si>
  <si>
    <t>16-S</t>
  </si>
  <si>
    <t>21-S</t>
  </si>
  <si>
    <t>s.i.             s.i.</t>
  </si>
  <si>
    <t>22-S</t>
  </si>
  <si>
    <t>KW4-1-M</t>
  </si>
  <si>
    <t xml:space="preserve">s.i. </t>
  </si>
  <si>
    <t>KW3-1-M</t>
  </si>
  <si>
    <t>KW3S-1-M</t>
  </si>
  <si>
    <t>KW2-1-M</t>
  </si>
  <si>
    <t>WS2-M</t>
  </si>
  <si>
    <t>WS4-M</t>
  </si>
  <si>
    <t>WS5-M</t>
  </si>
  <si>
    <t>WS9-M</t>
  </si>
  <si>
    <t>WS10-M</t>
  </si>
  <si>
    <t>WS9-2-M</t>
  </si>
  <si>
    <t>WSB21-M</t>
  </si>
  <si>
    <t>WSB22-M</t>
  </si>
  <si>
    <t>WSB3-M</t>
  </si>
  <si>
    <t>WSB4-M</t>
  </si>
  <si>
    <t>WSR2-M</t>
  </si>
  <si>
    <t>WSR4-M</t>
  </si>
  <si>
    <t>WSR5-M</t>
  </si>
  <si>
    <t>WSR6-M</t>
  </si>
  <si>
    <t>Okamoto et al. (1987)</t>
  </si>
  <si>
    <t>WS1-O</t>
  </si>
  <si>
    <t>WS4-O</t>
  </si>
  <si>
    <t>WS7-O</t>
  </si>
  <si>
    <t>WSN1-O</t>
  </si>
  <si>
    <t>WSN2-O</t>
  </si>
  <si>
    <t>WSR1-O</t>
  </si>
  <si>
    <t>WSR4-O</t>
  </si>
  <si>
    <t>WSR7-O</t>
  </si>
  <si>
    <t>Sveinsson et al. (1985)</t>
  </si>
  <si>
    <t>CB13-B</t>
  </si>
  <si>
    <t>CB15-B</t>
  </si>
  <si>
    <t>CB17-B</t>
  </si>
  <si>
    <t>CB18-B</t>
  </si>
  <si>
    <t>CB20-B</t>
  </si>
  <si>
    <t>CB21-B</t>
  </si>
  <si>
    <t>CB23-B</t>
  </si>
  <si>
    <t>CB24-B</t>
  </si>
  <si>
    <t>CB25-B</t>
  </si>
  <si>
    <t>CB26-B</t>
  </si>
  <si>
    <t>BR19-B</t>
  </si>
  <si>
    <t>BR20-B</t>
  </si>
  <si>
    <t>BR21-B</t>
  </si>
  <si>
    <t>BR22-B</t>
  </si>
  <si>
    <t>BR23-B</t>
  </si>
  <si>
    <t>BR24-B</t>
  </si>
  <si>
    <t>BR25-B</t>
  </si>
  <si>
    <t>BR26-B</t>
  </si>
  <si>
    <t>BR27-B</t>
  </si>
  <si>
    <t>BR28-B</t>
  </si>
  <si>
    <t>BR30-B</t>
  </si>
  <si>
    <t>DBR8S-B</t>
  </si>
  <si>
    <t>DBR9-B</t>
  </si>
  <si>
    <t>DBR10-B</t>
  </si>
  <si>
    <t>DBR12-B</t>
  </si>
  <si>
    <t>Voon y Ingham (2006)
Voon (2007)</t>
  </si>
  <si>
    <t>2-V 2A</t>
  </si>
  <si>
    <t>4-V 3A</t>
  </si>
  <si>
    <t>5-V</t>
  </si>
  <si>
    <t>6-V</t>
  </si>
  <si>
    <t>7-V 4A</t>
  </si>
  <si>
    <t>8-V 5A</t>
  </si>
  <si>
    <t>9-V 6A</t>
  </si>
  <si>
    <t>10-V 7A</t>
  </si>
  <si>
    <t>1A</t>
  </si>
  <si>
    <r>
      <rPr>
        <sz val="9"/>
        <color rgb="FF006100"/>
        <rFont val="Segoe UI"/>
        <family val="2"/>
      </rPr>
      <t>s.i.             s.i.</t>
    </r>
  </si>
  <si>
    <t>Minaie (2010)</t>
  </si>
  <si>
    <t>PCL 1</t>
  </si>
  <si>
    <t>MC 1</t>
  </si>
  <si>
    <t>PCL 2</t>
  </si>
  <si>
    <t>MC 2</t>
  </si>
  <si>
    <t>Haach (2010)</t>
  </si>
  <si>
    <t>N60-B1</t>
  </si>
  <si>
    <t>si</t>
  </si>
  <si>
    <t>N60-B2</t>
  </si>
  <si>
    <t>N150-B1</t>
  </si>
  <si>
    <t>N150-B2</t>
  </si>
  <si>
    <t>N60-B1-PA</t>
  </si>
  <si>
    <t>N60-B1-MA</t>
  </si>
  <si>
    <t>Sucuoglu y
McNiven (1991)</t>
  </si>
  <si>
    <t>HCBL-17</t>
  </si>
  <si>
    <t>HCBL-18</t>
  </si>
  <si>
    <t>HCBL-20</t>
  </si>
  <si>
    <t>HCBL-21</t>
  </si>
  <si>
    <t>HCBL-23</t>
  </si>
  <si>
    <t>HCBL-24</t>
  </si>
  <si>
    <t>HCBL-25</t>
  </si>
  <si>
    <t>HCBL-26</t>
  </si>
  <si>
    <t>HCBR-19</t>
  </si>
  <si>
    <t>HCBR-20</t>
  </si>
  <si>
    <t>HCBR-21</t>
  </si>
  <si>
    <t>HCBR-22</t>
  </si>
  <si>
    <t>HCBR-23</t>
  </si>
  <si>
    <t>HCBR-24</t>
  </si>
  <si>
    <t>HCBR-25</t>
  </si>
  <si>
    <t>HCBR-26</t>
  </si>
  <si>
    <t>HCBR-27</t>
  </si>
  <si>
    <t>HCBR-28</t>
  </si>
  <si>
    <t>Kikuchi et al. (2004)</t>
  </si>
  <si>
    <t>SN-1.51L-LC</t>
  </si>
  <si>
    <t>SN-1.13L-LC</t>
  </si>
  <si>
    <t>SN-0.9L-0</t>
  </si>
  <si>
    <t>SN-0.9L-HC</t>
  </si>
  <si>
    <t>SS-0.9L-0</t>
  </si>
  <si>
    <t>SS-0.9L-LC</t>
  </si>
  <si>
    <t>SS-0.9L-LC2</t>
  </si>
  <si>
    <t>SN-0.75L-HC</t>
  </si>
  <si>
    <t>SN-0.75L-LC</t>
  </si>
  <si>
    <t>Dhanasekar y
Haider (2011)</t>
  </si>
  <si>
    <t>variable</t>
  </si>
  <si>
    <t>2A</t>
  </si>
  <si>
    <t>3A</t>
  </si>
  <si>
    <t>4A</t>
  </si>
  <si>
    <t>Tomazevic et al. (1996)</t>
  </si>
  <si>
    <t>V1-AS</t>
  </si>
  <si>
    <t>V2-AS</t>
  </si>
  <si>
    <t>V1-AD</t>
  </si>
  <si>
    <t>V2-AD</t>
  </si>
  <si>
    <t>V1-BS</t>
  </si>
  <si>
    <t>V2-BS</t>
  </si>
  <si>
    <t>V1-BD</t>
  </si>
  <si>
    <t>V2-BD</t>
  </si>
  <si>
    <t>V1-CS</t>
  </si>
  <si>
    <t>V2-CS</t>
  </si>
  <si>
    <t>V1-CD</t>
  </si>
  <si>
    <t>V2-CD</t>
  </si>
  <si>
    <t>V1-DS</t>
  </si>
  <si>
    <t>V2-DS</t>
  </si>
  <si>
    <t>V1-DD</t>
  </si>
  <si>
    <t>V2-DD</t>
  </si>
  <si>
    <t>CW411-M</t>
  </si>
  <si>
    <t>CW412-M</t>
  </si>
  <si>
    <t>CW311-M</t>
  </si>
  <si>
    <t>CW312-M</t>
  </si>
  <si>
    <t>CW211-M</t>
  </si>
  <si>
    <t>CW212-M</t>
  </si>
  <si>
    <t>CW301-M</t>
  </si>
  <si>
    <t>CW302-M</t>
  </si>
  <si>
    <t>CW31P-M</t>
  </si>
  <si>
    <t>CW32-M</t>
  </si>
  <si>
    <t>CW33-M</t>
  </si>
  <si>
    <t>CW31A2-M</t>
  </si>
  <si>
    <t>CW31A3-M</t>
  </si>
  <si>
    <t>CW31A4-M</t>
  </si>
  <si>
    <t>CW30A2-M</t>
  </si>
  <si>
    <t>CW32A2-M</t>
  </si>
  <si>
    <t>CW33A2-M</t>
  </si>
  <si>
    <t>CW34A2-M</t>
  </si>
  <si>
    <t>CWB31PA2-M</t>
  </si>
  <si>
    <t>CW30A3-M</t>
  </si>
  <si>
    <t>CW30PA3-M</t>
  </si>
  <si>
    <t>CW32A3-M</t>
  </si>
  <si>
    <t>CW33A3-M</t>
  </si>
  <si>
    <t>CW52PA21-M</t>
  </si>
  <si>
    <t>CW52PA22-M</t>
  </si>
  <si>
    <t>CW42PA2-M</t>
  </si>
  <si>
    <t>CW32PA2-M</t>
  </si>
  <si>
    <t>CW22PA21-M</t>
  </si>
  <si>
    <t>CW22PA22-M</t>
  </si>
  <si>
    <t>WS4B-M</t>
  </si>
  <si>
    <t>Chen et al. (1978)
Hidalgo (1978)</t>
  </si>
  <si>
    <t>BL2P-B</t>
  </si>
  <si>
    <t>BL5P-B</t>
  </si>
  <si>
    <t>BL8P-B</t>
  </si>
  <si>
    <t>BL10P-B</t>
  </si>
  <si>
    <t>BR2P-B</t>
  </si>
  <si>
    <t>BR5P-B</t>
  </si>
  <si>
    <t>BR9P-B</t>
  </si>
  <si>
    <t>BR11P-B</t>
  </si>
  <si>
    <t>BR3P1-B</t>
  </si>
  <si>
    <t>BR5P1-B</t>
  </si>
  <si>
    <t>BR7P1-B</t>
  </si>
  <si>
    <t>Yancey y
Scribner (1989)</t>
  </si>
  <si>
    <t>R1-N</t>
  </si>
  <si>
    <t>R2-N</t>
  </si>
  <si>
    <t>R4-N</t>
  </si>
  <si>
    <t>R5-N</t>
  </si>
  <si>
    <t>R6-N</t>
  </si>
  <si>
    <t>R7-N</t>
  </si>
  <si>
    <t>R8-N</t>
  </si>
  <si>
    <t>R9-N</t>
  </si>
  <si>
    <t>R10-N</t>
  </si>
  <si>
    <t>R11-N</t>
  </si>
  <si>
    <t>CO-R05-J05-Q10</t>
  </si>
  <si>
    <t>CO-R07-J05-Q10</t>
  </si>
  <si>
    <t>CO-R10-J05-Q10</t>
  </si>
  <si>
    <t>CO-R05-J12-Q10</t>
  </si>
  <si>
    <t>CO-R07-J12-Q10</t>
  </si>
  <si>
    <t>CO-R10-J12-Q10</t>
  </si>
  <si>
    <t>Sepulveda (2003)</t>
  </si>
  <si>
    <t>MLC-00-SA01</t>
  </si>
  <si>
    <t>-</t>
  </si>
  <si>
    <t>MLC-00-SA02</t>
  </si>
  <si>
    <t>MLC-00-CA01</t>
  </si>
  <si>
    <t>MLC-00-CA02</t>
  </si>
  <si>
    <t>MLC-01-SA01</t>
  </si>
  <si>
    <t>MLC-02-SA01</t>
  </si>
  <si>
    <t>MLC-02-SA02</t>
  </si>
  <si>
    <t>MLC-03-SA01</t>
  </si>
  <si>
    <t>MLC-02-CA01</t>
  </si>
  <si>
    <t>MLC-03-CA01</t>
  </si>
  <si>
    <t>MLC-03-CA02</t>
  </si>
  <si>
    <t>MLC-04-CA02</t>
  </si>
  <si>
    <t>MLC-00VD-SA-01</t>
  </si>
  <si>
    <t>MLC-00VD-SA-02</t>
  </si>
  <si>
    <t>MLC-01VD-SA-01</t>
  </si>
  <si>
    <t>MLC-02VD-SA-01</t>
  </si>
  <si>
    <t>MBH-02VD-SA01</t>
  </si>
  <si>
    <t>MBH-02VD-SA02</t>
  </si>
  <si>
    <t>MBH-03VD-SA01</t>
  </si>
  <si>
    <t>MBH-03VD-SA02</t>
  </si>
  <si>
    <t>MBH-02-SA01</t>
  </si>
  <si>
    <t>MBH-02-CA01</t>
  </si>
  <si>
    <t>MBH-02-CA02</t>
  </si>
  <si>
    <t>MBH-03-SA01</t>
  </si>
  <si>
    <t>MBH-03-SA02</t>
  </si>
  <si>
    <t>MBH-03-CA01</t>
  </si>
  <si>
    <t>MBH-03-CA02</t>
  </si>
  <si>
    <t>MBH-04-CA01</t>
  </si>
  <si>
    <t>MBH-04-CA02</t>
  </si>
  <si>
    <t>Lüders e
Hidalgo (1982)</t>
  </si>
  <si>
    <t>TL-1-04</t>
  </si>
  <si>
    <t>TL-1-05</t>
  </si>
  <si>
    <t>TC-1-01</t>
  </si>
  <si>
    <t>TC-1-02</t>
  </si>
  <si>
    <t>TL-1-07</t>
  </si>
  <si>
    <t>TL-1-08</t>
  </si>
  <si>
    <t>TL-1-11</t>
  </si>
  <si>
    <t>TL-1-12</t>
  </si>
  <si>
    <t>Lüders e
Hidalgo (1986)</t>
  </si>
  <si>
    <t>LST-095-02</t>
  </si>
  <si>
    <t>LST-095-03</t>
  </si>
  <si>
    <t>LST-095-04</t>
  </si>
  <si>
    <t>LST-095-05</t>
  </si>
  <si>
    <t>LST-095-06</t>
  </si>
  <si>
    <t>LST-095-07</t>
  </si>
  <si>
    <t>LST-059-01</t>
  </si>
  <si>
    <t>LST-059-02</t>
  </si>
  <si>
    <t>LST-036-01</t>
  </si>
  <si>
    <t>LST-036-02</t>
  </si>
  <si>
    <t>MAA-1-01</t>
  </si>
  <si>
    <t>MAA-1-02</t>
  </si>
  <si>
    <t>MAA-1-03</t>
  </si>
  <si>
    <t>MAA-1-04</t>
  </si>
  <si>
    <t>MAA-1-05</t>
  </si>
  <si>
    <t>MAA-1-06</t>
  </si>
  <si>
    <t>Lüders e
Hidalgo (1987)</t>
  </si>
  <si>
    <t>LST-095-01</t>
  </si>
  <si>
    <t>LST-095-08</t>
  </si>
  <si>
    <t>LST-059-03</t>
  </si>
  <si>
    <t>LST-059-04</t>
  </si>
  <si>
    <t>LST-036-03</t>
  </si>
  <si>
    <t>D12</t>
  </si>
  <si>
    <t>D13</t>
  </si>
  <si>
    <t>D14</t>
  </si>
  <si>
    <t>D15(2)</t>
  </si>
  <si>
    <t>D16(2)</t>
  </si>
  <si>
    <r>
      <t>v</t>
    </r>
    <r>
      <rPr>
        <b/>
        <vertAlign val="subscript"/>
        <sz val="10"/>
        <rFont val="Segoe UI"/>
        <family val="2"/>
      </rPr>
      <t>max,gross</t>
    </r>
    <r>
      <rPr>
        <b/>
        <sz val="10"/>
        <rFont val="Segoe UI"/>
        <family val="2"/>
      </rPr>
      <t xml:space="preserve">
[MPa]</t>
    </r>
  </si>
  <si>
    <r>
      <t>σ</t>
    </r>
    <r>
      <rPr>
        <b/>
        <vertAlign val="subscript"/>
        <sz val="10"/>
        <rFont val="Segoe UI"/>
        <family val="2"/>
      </rPr>
      <t>gross</t>
    </r>
    <r>
      <rPr>
        <b/>
        <sz val="10"/>
        <rFont val="Segoe UI"/>
        <family val="2"/>
      </rPr>
      <t xml:space="preserve">
[MPa]</t>
    </r>
  </si>
  <si>
    <r>
      <t>σ</t>
    </r>
    <r>
      <rPr>
        <b/>
        <vertAlign val="subscript"/>
        <sz val="10"/>
        <rFont val="Segoe UI"/>
        <family val="2"/>
      </rPr>
      <t>net</t>
    </r>
    <r>
      <rPr>
        <b/>
        <sz val="10"/>
        <rFont val="Segoe UI"/>
        <family val="2"/>
      </rPr>
      <t xml:space="preserve">
[MPa]</t>
    </r>
  </si>
  <si>
    <r>
      <t>v</t>
    </r>
    <r>
      <rPr>
        <b/>
        <vertAlign val="subscript"/>
        <sz val="10"/>
        <rFont val="Segoe UI"/>
        <family val="2"/>
      </rPr>
      <t>max,net</t>
    </r>
    <r>
      <rPr>
        <b/>
        <sz val="10"/>
        <rFont val="Segoe UI"/>
        <family val="2"/>
      </rPr>
      <t xml:space="preserve">
[MPa]</t>
    </r>
  </si>
  <si>
    <t>Sources</t>
  </si>
  <si>
    <t>Cantilever</t>
  </si>
  <si>
    <t>Double Curvature</t>
  </si>
  <si>
    <r>
      <t>f</t>
    </r>
    <r>
      <rPr>
        <b/>
        <vertAlign val="subscript"/>
        <sz val="10"/>
        <rFont val="Segoe UI"/>
        <family val="2"/>
      </rPr>
      <t>grout</t>
    </r>
    <r>
      <rPr>
        <b/>
        <sz val="10"/>
        <rFont val="Segoe UI"/>
        <family val="2"/>
      </rPr>
      <t xml:space="preserve">
[MPa]</t>
    </r>
  </si>
  <si>
    <t>Assumed based on known information</t>
  </si>
  <si>
    <t>Orange</t>
  </si>
  <si>
    <t>Assumed based on no known information</t>
  </si>
  <si>
    <t>From source papers</t>
  </si>
  <si>
    <t>P
[kN]</t>
  </si>
  <si>
    <t>Calculated values based on known information</t>
  </si>
  <si>
    <r>
      <t>A</t>
    </r>
    <r>
      <rPr>
        <b/>
        <vertAlign val="subscript"/>
        <sz val="10"/>
        <rFont val="Segoe UI"/>
        <family val="2"/>
      </rPr>
      <t>v, total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</si>
  <si>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v, bar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</si>
  <si>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h, total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</si>
  <si>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h, bar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</si>
  <si>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ρ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>f</t>
    </r>
    <r>
      <rPr>
        <b/>
        <vertAlign val="subscript"/>
        <sz val="10"/>
        <rFont val="Segoe UI"/>
        <family val="2"/>
      </rPr>
      <t>yv</t>
    </r>
    <r>
      <rPr>
        <b/>
        <sz val="10"/>
        <rFont val="Segoe UI"/>
        <family val="2"/>
      </rPr>
      <t xml:space="preserve">
[MPa]</t>
    </r>
  </si>
  <si>
    <r>
      <t>ρ</t>
    </r>
    <r>
      <rPr>
        <b/>
        <vertAlign val="subscript"/>
        <sz val="10"/>
        <rFont val="Segoe UI"/>
        <family val="2"/>
      </rPr>
      <t>h</t>
    </r>
    <r>
      <rPr>
        <b/>
        <sz val="10"/>
        <rFont val="Segoe UI"/>
        <family val="2"/>
      </rPr>
      <t>f</t>
    </r>
    <r>
      <rPr>
        <b/>
        <vertAlign val="subscript"/>
        <sz val="10"/>
        <rFont val="Segoe UI"/>
        <family val="2"/>
      </rPr>
      <t>yh</t>
    </r>
    <r>
      <rPr>
        <b/>
        <sz val="10"/>
        <rFont val="Segoe UI"/>
        <family val="2"/>
      </rPr>
      <t xml:space="preserve">
[MPa]</t>
    </r>
  </si>
  <si>
    <r>
      <t>d</t>
    </r>
    <r>
      <rPr>
        <b/>
        <vertAlign val="subscript"/>
        <sz val="10"/>
        <rFont val="Segoe UI"/>
        <family val="2"/>
      </rPr>
      <t>v</t>
    </r>
    <r>
      <rPr>
        <b/>
        <sz val="10"/>
        <rFont val="Segoe UI"/>
        <family val="2"/>
      </rPr>
      <t xml:space="preserve">
[mm]</t>
    </r>
  </si>
  <si>
    <t>MASONRY MATERIALS</t>
  </si>
  <si>
    <t>PG085-48</t>
  </si>
  <si>
    <t>PG120-48</t>
  </si>
  <si>
    <t>PG169-48</t>
  </si>
  <si>
    <t>PG085-32</t>
  </si>
  <si>
    <t>PG085-24</t>
  </si>
  <si>
    <t>Maleki et al. (2009)</t>
  </si>
  <si>
    <t>Behaviour of partially grouted reinforced masonry shear walls - experimental study</t>
  </si>
  <si>
    <t>psi</t>
  </si>
  <si>
    <t>MPa</t>
  </si>
  <si>
    <t>R1</t>
  </si>
  <si>
    <t>R2</t>
  </si>
  <si>
    <t>R4</t>
  </si>
  <si>
    <t>R5</t>
  </si>
  <si>
    <t>R6</t>
  </si>
  <si>
    <t>R7</t>
  </si>
  <si>
    <t>R8</t>
  </si>
  <si>
    <t>R9</t>
  </si>
  <si>
    <t>R10</t>
  </si>
  <si>
    <t>R11</t>
  </si>
  <si>
    <t>in</t>
  </si>
  <si>
    <t>mm</t>
  </si>
  <si>
    <t>lbf</t>
  </si>
  <si>
    <t>kN</t>
  </si>
  <si>
    <t>C1</t>
  </si>
  <si>
    <t>D2</t>
  </si>
  <si>
    <t>C10</t>
  </si>
  <si>
    <t>C7</t>
  </si>
  <si>
    <t>C8</t>
  </si>
  <si>
    <t>C9</t>
  </si>
  <si>
    <t>D11</t>
  </si>
  <si>
    <t>C3</t>
  </si>
  <si>
    <t>D4</t>
  </si>
  <si>
    <t>http://besser.com/concrete-products-equipment/vibrapac</t>
  </si>
  <si>
    <t>Oan's database No</t>
  </si>
  <si>
    <t>Yield Load (N)</t>
  </si>
  <si>
    <r>
      <t>Area (mm</t>
    </r>
    <r>
      <rPr>
        <vertAlign val="superscript"/>
        <sz val="11"/>
        <color theme="1"/>
        <rFont val="Calibri"/>
        <family val="2"/>
        <scheme val="minor"/>
      </rPr>
      <t>2</t>
    </r>
    <r>
      <rPr>
        <sz val="11"/>
        <color theme="1"/>
        <rFont val="Calibri"/>
        <family val="2"/>
        <scheme val="minor"/>
      </rPr>
      <t>)</t>
    </r>
  </si>
  <si>
    <t>Diameter (mm)</t>
  </si>
  <si>
    <t>Yield Stress (MPa)</t>
  </si>
  <si>
    <t>Purple</t>
  </si>
  <si>
    <t>Overidden/Recalculated values</t>
  </si>
  <si>
    <t>Assumed block geometry (from Vibratec manual)</t>
  </si>
  <si>
    <t>M1</t>
  </si>
  <si>
    <t>M2</t>
  </si>
  <si>
    <t>M3</t>
  </si>
  <si>
    <t>M4</t>
  </si>
  <si>
    <t>M5</t>
  </si>
  <si>
    <t>M6</t>
  </si>
  <si>
    <t>M7</t>
  </si>
  <si>
    <t>M8</t>
  </si>
  <si>
    <t>M9</t>
  </si>
  <si>
    <t>M10</t>
  </si>
  <si>
    <t>Ghanem et al (1992)</t>
  </si>
  <si>
    <t>Hassalani's database</t>
  </si>
  <si>
    <t>x</t>
  </si>
  <si>
    <t>Schultz (1996)</t>
  </si>
  <si>
    <t>Wall #1</t>
  </si>
  <si>
    <t>Wall #2</t>
  </si>
  <si>
    <t>Wall #3</t>
  </si>
  <si>
    <t>Wall #4</t>
  </si>
  <si>
    <t>Wall #5</t>
  </si>
  <si>
    <t>Seismic performance of partially-grouted masonry shear walls</t>
  </si>
  <si>
    <t>Effect of steel distribution on the behavior of partially reinforced masonry shear walls</t>
  </si>
  <si>
    <t>Shear strength of partially grouted squat masonry shear walls</t>
  </si>
  <si>
    <t>Elmapruk (2010)</t>
  </si>
  <si>
    <t>PG127-48</t>
  </si>
  <si>
    <t>PG127-48I</t>
  </si>
  <si>
    <t>PG180-48</t>
  </si>
  <si>
    <t>PG254-48</t>
  </si>
  <si>
    <t>PG127-32</t>
  </si>
  <si>
    <t>PG127-24</t>
  </si>
  <si>
    <t>200, 284</t>
  </si>
  <si>
    <t>A-1 (DR)</t>
  </si>
  <si>
    <t>A-2 (JR)</t>
  </si>
  <si>
    <t>A-6 (JRx2)</t>
  </si>
  <si>
    <t>B-7 (DR)</t>
  </si>
  <si>
    <t>B-5 (JR)</t>
  </si>
  <si>
    <t>D-3 (DR)</t>
  </si>
  <si>
    <t>D-4 (JR)</t>
  </si>
  <si>
    <t>D-8 (JRx2)</t>
  </si>
  <si>
    <t>129, 284</t>
  </si>
  <si>
    <t>129, 200</t>
  </si>
  <si>
    <t>SWA</t>
  </si>
  <si>
    <t>SWB</t>
  </si>
  <si>
    <t>HCBL-11-2</t>
  </si>
  <si>
    <t>HCBL-11-5</t>
  </si>
  <si>
    <t>HCBL-11-8</t>
  </si>
  <si>
    <t>HCBL-11-10</t>
  </si>
  <si>
    <t>127, 198</t>
  </si>
  <si>
    <t>380, 79</t>
  </si>
  <si>
    <t>201, 79</t>
  </si>
  <si>
    <r>
      <t>H</t>
    </r>
    <r>
      <rPr>
        <b/>
        <vertAlign val="subscript"/>
        <sz val="10"/>
        <color rgb="FF000000"/>
        <rFont val="Segoe UI"/>
        <family val="2"/>
      </rPr>
      <t>eff</t>
    </r>
    <r>
      <rPr>
        <b/>
        <sz val="10"/>
        <color rgb="FF000000"/>
        <rFont val="Segoe UI"/>
        <family val="2"/>
      </rPr>
      <t xml:space="preserve">
[mm]</t>
    </r>
  </si>
  <si>
    <r>
      <rPr>
        <b/>
        <sz val="10"/>
        <rFont val="Segoe UI"/>
        <family val="2"/>
      </rPr>
      <t>H</t>
    </r>
    <r>
      <rPr>
        <b/>
        <vertAlign val="subscript"/>
        <sz val="10"/>
        <rFont val="Segoe UI"/>
        <family val="2"/>
      </rPr>
      <t>eff</t>
    </r>
    <r>
      <rPr>
        <b/>
        <sz val="10"/>
        <rFont val="Segoe UI"/>
        <family val="2"/>
      </rPr>
      <t>/L
-</t>
    </r>
  </si>
  <si>
    <t>CSA S304.14</t>
  </si>
  <si>
    <t>Haider (2007)</t>
  </si>
  <si>
    <t>Inplane response of wide spaced reinforced masonry shear walls</t>
  </si>
  <si>
    <t>Loading Type</t>
  </si>
  <si>
    <t>Monotonic</t>
  </si>
  <si>
    <t>Reverse Cyclic</t>
  </si>
  <si>
    <t># of Tests</t>
  </si>
  <si>
    <t># of courses in Prism</t>
  </si>
  <si>
    <r>
      <t>A</t>
    </r>
    <r>
      <rPr>
        <b/>
        <vertAlign val="subscript"/>
        <sz val="10"/>
        <rFont val="Segoe UI"/>
        <family val="2"/>
      </rPr>
      <t>h, bond beam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</si>
  <si>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r>
      <t>A</t>
    </r>
    <r>
      <rPr>
        <b/>
        <vertAlign val="subscript"/>
        <sz val="10"/>
        <rFont val="Segoe UI"/>
        <family val="2"/>
      </rPr>
      <t>h, Joint</t>
    </r>
    <r>
      <rPr>
        <b/>
        <sz val="10"/>
        <rFont val="Segoe UI"/>
        <family val="2"/>
      </rPr>
      <t xml:space="preserve">
[mm</t>
    </r>
    <r>
      <rPr>
        <b/>
        <vertAlign val="superscript"/>
        <sz val="10"/>
        <rFont val="Segoe UI"/>
        <family val="2"/>
      </rPr>
      <t>2</t>
    </r>
    <r>
      <rPr>
        <b/>
        <sz val="10"/>
        <rFont val="Segoe UI"/>
        <family val="2"/>
      </rPr>
      <t>]</t>
    </r>
  </si>
  <si>
    <t>ASTM C1314</t>
  </si>
  <si>
    <t>ASTM C 140</t>
  </si>
  <si>
    <t>≥ 3</t>
  </si>
  <si>
    <t>Dillon's database</t>
  </si>
  <si>
    <t>1969-MX-ME-xx</t>
  </si>
  <si>
    <t>1978-US-CH-xx</t>
  </si>
  <si>
    <t>Thurston and Hutchison (1982)</t>
  </si>
  <si>
    <t>1982-NZ-TH-01,03,04</t>
  </si>
  <si>
    <t>Meli et al. (1968)</t>
  </si>
  <si>
    <t>1968-MX-ME-09-18</t>
  </si>
  <si>
    <t>Meli et al. (1969)</t>
  </si>
  <si>
    <t>Mayes et al. (1976)</t>
  </si>
  <si>
    <t>1976-US-MA-11-12</t>
  </si>
  <si>
    <t>Igarashi and Matsumura (1984)</t>
  </si>
  <si>
    <t>1984-JP-IG-01-06</t>
  </si>
  <si>
    <t>1986-JP-MA-19-38</t>
  </si>
  <si>
    <t>Tomaževic and Lutman (1988)</t>
  </si>
  <si>
    <t>1988-SL-TO-01-13</t>
  </si>
  <si>
    <t>Johal and Anderson (1988)</t>
  </si>
  <si>
    <t>1988-US-JO-17-32</t>
  </si>
  <si>
    <t>1989-US-YA-02-10</t>
  </si>
  <si>
    <t>1992-US-GH-01-02</t>
  </si>
  <si>
    <t>2010-US-EL-01-06</t>
  </si>
  <si>
    <t>Ghanem et al (1993)</t>
  </si>
  <si>
    <t>1993-US-GH-05-06</t>
  </si>
  <si>
    <t>Brammer (1995)</t>
  </si>
  <si>
    <t>1995-NZ-BR-xx</t>
  </si>
  <si>
    <t>1996-SL-TO-xx</t>
  </si>
  <si>
    <t>1998-US-SH-01-06</t>
  </si>
  <si>
    <t>1996-US-SH-02</t>
  </si>
  <si>
    <t>2007-NZ-VO-05-06</t>
  </si>
  <si>
    <t>Haach et al. (2007)</t>
  </si>
  <si>
    <t>2007-PO-HA-02-05</t>
  </si>
  <si>
    <t>2008-CA-MA-xx</t>
  </si>
  <si>
    <t>2009-US-MI-01-04</t>
  </si>
  <si>
    <t>2010-US-NO-01-05</t>
  </si>
  <si>
    <t>Comportamiento de muros de mampostería hueca ante carga lateral alternada</t>
  </si>
  <si>
    <t>Comportamiento de muros de mampostería sujetos a carga lateral, segundo informe</t>
  </si>
  <si>
    <t>Reinforced masonry shear walls: cyclic loading tests in contraﬂexure</t>
  </si>
  <si>
    <t>Seismic resistance of reinforced masonry walls</t>
  </si>
  <si>
    <t>Effectiveness of shear reinforcement in fully grouted clay brick masonry walls</t>
  </si>
  <si>
    <t>Shear Strength of Masonry Piers Under Cyclic Loading</t>
  </si>
  <si>
    <t>Effect of axial compres-sion on the behavior of partially reinforced masonry shear walls</t>
  </si>
  <si>
    <t>The lateral force-deﬂection behaviour of nominally reinforced concrete masonry walls.</t>
  </si>
  <si>
    <t>Seismic behavior of masonry walls: Ex-perimental simulation</t>
  </si>
  <si>
    <t>Cyclic behaviour of truss type rein-forced concrete masonry walls</t>
  </si>
  <si>
    <t>HCBL-21-11</t>
  </si>
  <si>
    <t>HCBL-21-12</t>
  </si>
  <si>
    <t>Cyclic shear tests of masonry piers volume 1 - test results</t>
  </si>
  <si>
    <t>UNIT NO. 2</t>
  </si>
  <si>
    <t>UNIT NO. 4</t>
  </si>
  <si>
    <t>UNIT NO. 5</t>
  </si>
  <si>
    <t>CN-0</t>
  </si>
  <si>
    <t>CN-14</t>
  </si>
  <si>
    <t>CN-28</t>
  </si>
  <si>
    <t>CN-50</t>
  </si>
  <si>
    <r>
      <t>f</t>
    </r>
    <r>
      <rPr>
        <b/>
        <vertAlign val="subscript"/>
        <sz val="10"/>
        <rFont val="Segoe UI"/>
        <family val="2"/>
      </rPr>
      <t>mortar</t>
    </r>
    <r>
      <rPr>
        <b/>
        <sz val="10"/>
        <rFont val="Segoe UI"/>
        <family val="2"/>
      </rPr>
      <t xml:space="preserve">
[MPa]</t>
    </r>
  </si>
  <si>
    <r>
      <t>f</t>
    </r>
    <r>
      <rPr>
        <b/>
        <vertAlign val="subscript"/>
        <sz val="10"/>
        <rFont val="Segoe UI"/>
        <family val="2"/>
      </rPr>
      <t>block</t>
    </r>
    <r>
      <rPr>
        <b/>
        <sz val="10"/>
        <rFont val="Segoe UI"/>
        <family val="2"/>
      </rPr>
      <t xml:space="preserve">
[MPa]</t>
    </r>
  </si>
  <si>
    <r>
      <t>V</t>
    </r>
    <r>
      <rPr>
        <b/>
        <vertAlign val="subscript"/>
        <sz val="10"/>
        <rFont val="Segoe UI"/>
        <family val="2"/>
      </rPr>
      <t>min</t>
    </r>
    <r>
      <rPr>
        <b/>
        <sz val="10"/>
        <rFont val="Segoe UI"/>
        <family val="2"/>
      </rPr>
      <t xml:space="preserve">
[kN]</t>
    </r>
  </si>
  <si>
    <r>
      <t>V</t>
    </r>
    <r>
      <rPr>
        <b/>
        <vertAlign val="subscript"/>
        <sz val="10"/>
        <rFont val="Segoe UI"/>
        <family val="2"/>
      </rPr>
      <t>avg</t>
    </r>
    <r>
      <rPr>
        <b/>
        <sz val="10"/>
        <rFont val="Segoe UI"/>
        <family val="2"/>
      </rPr>
      <t xml:space="preserve">
[kN]</t>
    </r>
  </si>
  <si>
    <r>
      <t>k</t>
    </r>
    <r>
      <rPr>
        <b/>
        <vertAlign val="subscript"/>
        <sz val="10"/>
        <rFont val="Segoe UI"/>
        <family val="2"/>
      </rPr>
      <t>avg</t>
    </r>
  </si>
  <si>
    <r>
      <t>V</t>
    </r>
    <r>
      <rPr>
        <b/>
        <vertAlign val="subscript"/>
        <sz val="10"/>
        <rFont val="Segoe UI"/>
        <family val="2"/>
      </rPr>
      <t>cor</t>
    </r>
    <r>
      <rPr>
        <b/>
        <sz val="10"/>
        <rFont val="Segoe UI"/>
        <family val="2"/>
      </rPr>
      <t xml:space="preserve">
[kN]</t>
    </r>
  </si>
  <si>
    <r>
      <t>k</t>
    </r>
    <r>
      <rPr>
        <b/>
        <vertAlign val="subscript"/>
        <sz val="10"/>
        <rFont val="Segoe UI"/>
        <family val="2"/>
      </rPr>
      <t>mono</t>
    </r>
  </si>
  <si>
    <r>
      <t>k</t>
    </r>
    <r>
      <rPr>
        <b/>
        <vertAlign val="subscript"/>
        <sz val="10"/>
        <rFont val="Segoe UI"/>
        <family val="2"/>
      </rPr>
      <t>rate</t>
    </r>
  </si>
  <si>
    <t>Loading Rate</t>
  </si>
  <si>
    <t>Quasi-Static</t>
  </si>
  <si>
    <t>h/t Prism</t>
  </si>
  <si>
    <t>Dillon
Correction Factor k</t>
  </si>
  <si>
    <t>Source (Chronological Order)</t>
  </si>
  <si>
    <t>Scrivener (1967)</t>
  </si>
  <si>
    <t>LOADING CONDITION</t>
  </si>
  <si>
    <t>BOUNDARY CONDITION</t>
  </si>
  <si>
    <t>Dynamic</t>
  </si>
  <si>
    <t>Phased-Sequential</t>
  </si>
  <si>
    <t>Simulated Seismic</t>
  </si>
  <si>
    <t>Muro 309</t>
  </si>
  <si>
    <t>Muro 310</t>
  </si>
  <si>
    <t>Muro 311</t>
  </si>
  <si>
    <t>Muro 312</t>
  </si>
  <si>
    <t>Muro 313</t>
  </si>
  <si>
    <t>Muro 314</t>
  </si>
  <si>
    <t>Muro 315</t>
  </si>
  <si>
    <t>Muro 316</t>
  </si>
  <si>
    <t>Muro 317</t>
  </si>
  <si>
    <t>Muro 318</t>
  </si>
  <si>
    <t>Muro 501</t>
  </si>
  <si>
    <t>Muro 504</t>
  </si>
  <si>
    <t>Muro 505</t>
  </si>
  <si>
    <t>Muro 506</t>
  </si>
  <si>
    <t>Muro 507</t>
  </si>
  <si>
    <t>Muro 508</t>
  </si>
  <si>
    <t>Muro 509</t>
  </si>
  <si>
    <t>Muro 510</t>
  </si>
  <si>
    <t>Muro 511</t>
  </si>
  <si>
    <t>Muro 514</t>
  </si>
  <si>
    <t>Muro 519</t>
  </si>
  <si>
    <t>(3)#3</t>
  </si>
  <si>
    <t>#3</t>
  </si>
  <si>
    <t>VERTICAL REINFORCEMENT</t>
  </si>
  <si>
    <t>(2)2#4</t>
  </si>
  <si>
    <t>(2)#4</t>
  </si>
  <si>
    <t>(2)4#4</t>
  </si>
  <si>
    <t>71, 129</t>
  </si>
  <si>
    <t>Bond Beam Reinf</t>
  </si>
  <si>
    <t>Joint Reinf</t>
  </si>
  <si>
    <t>Flexural Reinf</t>
  </si>
  <si>
    <t>Vertical Reinf</t>
  </si>
  <si>
    <t>Ø2.5mm</t>
  </si>
  <si>
    <t>(2)5/8"</t>
  </si>
  <si>
    <t>(2)5/8"+(2)1/2"</t>
  </si>
  <si>
    <t>(1)1/2"</t>
  </si>
  <si>
    <t>(2)1/2"</t>
  </si>
  <si>
    <t>(3)1/2"</t>
  </si>
  <si>
    <t>(3)5/8"</t>
  </si>
  <si>
    <t>(4)1/2"</t>
  </si>
  <si>
    <t>(4)5/8"</t>
  </si>
  <si>
    <t>(2)2#5</t>
  </si>
  <si>
    <t>(2)#3</t>
  </si>
  <si>
    <t>SWA-2</t>
  </si>
  <si>
    <t>SWA-3</t>
  </si>
  <si>
    <t>2#3</t>
  </si>
  <si>
    <t>#5</t>
  </si>
  <si>
    <t>#8</t>
  </si>
  <si>
    <t>(2)#5</t>
  </si>
  <si>
    <t>D10</t>
  </si>
  <si>
    <t>D16</t>
  </si>
  <si>
    <t>78, 113</t>
  </si>
  <si>
    <t>(2)D12</t>
  </si>
  <si>
    <t>(4)D12</t>
  </si>
  <si>
    <t>DN-0</t>
  </si>
  <si>
    <t>DN-14</t>
  </si>
  <si>
    <t>DN-28</t>
  </si>
  <si>
    <t>DN-50</t>
  </si>
  <si>
    <t>DV-0</t>
  </si>
  <si>
    <t>CV-0</t>
  </si>
  <si>
    <t>Ø10mm</t>
  </si>
  <si>
    <t>2Ø10mm</t>
  </si>
  <si>
    <t>2Ø3.1mm</t>
  </si>
  <si>
    <t>2Ø4.2mm</t>
  </si>
  <si>
    <t>2Ø6mm</t>
  </si>
  <si>
    <t>DM1</t>
  </si>
  <si>
    <t>DM2</t>
  </si>
  <si>
    <t>DM3</t>
  </si>
  <si>
    <t>DM4</t>
  </si>
  <si>
    <t>DM5</t>
  </si>
  <si>
    <t>DM6</t>
  </si>
  <si>
    <t>DP1</t>
  </si>
  <si>
    <t>DP2</t>
  </si>
  <si>
    <t>DS1</t>
  </si>
  <si>
    <t>DS2</t>
  </si>
  <si>
    <t>DS3</t>
  </si>
  <si>
    <t>DS4</t>
  </si>
  <si>
    <t>DS5</t>
  </si>
  <si>
    <t>DS6</t>
  </si>
  <si>
    <t>DP3</t>
  </si>
  <si>
    <t>DP4</t>
  </si>
  <si>
    <t>Phased Sequential</t>
  </si>
  <si>
    <t>9-ga Ladder</t>
  </si>
  <si>
    <t>(3)#5</t>
  </si>
  <si>
    <t>(1)#5</t>
  </si>
  <si>
    <t>(1)#3</t>
  </si>
  <si>
    <t>(2)#4, (1)#5</t>
  </si>
  <si>
    <t>(2)2#4/3</t>
  </si>
  <si>
    <t>(3)#5/3</t>
  </si>
  <si>
    <t>#5/3</t>
  </si>
  <si>
    <t>2#4/3</t>
  </si>
  <si>
    <t>2#6</t>
  </si>
  <si>
    <t>1#4, 1#5</t>
  </si>
  <si>
    <t>6mm Ladder</t>
  </si>
  <si>
    <t>(3)D20</t>
  </si>
  <si>
    <t>D20</t>
  </si>
  <si>
    <t>Ø5mm tr.</t>
  </si>
  <si>
    <t>Ø5mm truss</t>
  </si>
  <si>
    <t>Ø4mm truss</t>
  </si>
  <si>
    <t>#10</t>
  </si>
  <si>
    <t>#4</t>
  </si>
  <si>
    <t>(3)D4</t>
  </si>
  <si>
    <t>(4)D4</t>
  </si>
  <si>
    <t>(4)D3</t>
  </si>
  <si>
    <t>(2)2D3</t>
  </si>
  <si>
    <t>(2)D3</t>
  </si>
  <si>
    <t>(2)#6</t>
  </si>
  <si>
    <t>#6</t>
  </si>
  <si>
    <t>2#5</t>
  </si>
  <si>
    <t>(3)#6</t>
  </si>
  <si>
    <t>(8)#4</t>
  </si>
  <si>
    <t>(4)#4</t>
  </si>
  <si>
    <t>(7)#4</t>
  </si>
  <si>
    <t>(2)3/16"</t>
  </si>
  <si>
    <t>(4)3/16"</t>
  </si>
  <si>
    <t>2#7</t>
  </si>
  <si>
    <t>(2)2#6</t>
  </si>
  <si>
    <t>(3)2#5</t>
  </si>
  <si>
    <t>Ø3.7mm</t>
  </si>
  <si>
    <t>Ø4.9mm</t>
  </si>
  <si>
    <t>15M</t>
  </si>
  <si>
    <t>2-15M</t>
  </si>
  <si>
    <t>2Ø22mm</t>
  </si>
  <si>
    <t>3Ø10mm</t>
  </si>
  <si>
    <t>1Ø10mm</t>
  </si>
  <si>
    <t>2Ø16mm</t>
  </si>
  <si>
    <t>4-2Ø4.2mm</t>
  </si>
  <si>
    <t>9-2Ø4.2mm</t>
  </si>
  <si>
    <t>3-2Ø4.2mm</t>
  </si>
  <si>
    <t>6-2Ø4.2mm</t>
  </si>
  <si>
    <t>AGUILAR'S INPUT VARIABLES</t>
  </si>
  <si>
    <t>P1</t>
  </si>
  <si>
    <t>P2</t>
  </si>
  <si>
    <t>P3</t>
  </si>
  <si>
    <t>P4</t>
  </si>
  <si>
    <t>P5</t>
  </si>
  <si>
    <t>M/(V*L)
-</t>
  </si>
  <si>
    <r>
      <t>g</t>
    </r>
    <r>
      <rPr>
        <b/>
        <vertAlign val="subscript"/>
        <sz val="14"/>
        <color rgb="FF000000"/>
        <rFont val="Segoe UI"/>
        <family val="2"/>
      </rPr>
      <t>g</t>
    </r>
  </si>
  <si>
    <t>M/(V*dv)
-</t>
  </si>
  <si>
    <r>
      <t>v</t>
    </r>
    <r>
      <rPr>
        <b/>
        <vertAlign val="subscript"/>
        <sz val="10"/>
        <color rgb="FF000000"/>
        <rFont val="Segoe UI"/>
        <family val="2"/>
      </rPr>
      <t xml:space="preserve">m
</t>
    </r>
    <r>
      <rPr>
        <b/>
        <sz val="10"/>
        <color rgb="FF000000"/>
        <rFont val="Segoe UI"/>
        <family val="2"/>
      </rPr>
      <t>[MPa]</t>
    </r>
  </si>
  <si>
    <r>
      <t>V</t>
    </r>
    <r>
      <rPr>
        <b/>
        <vertAlign val="subscript"/>
        <sz val="10"/>
        <color rgb="FF000000"/>
        <rFont val="Segoe UI"/>
        <family val="2"/>
      </rPr>
      <t>exp</t>
    </r>
    <r>
      <rPr>
        <b/>
        <sz val="10"/>
        <color rgb="FF000000"/>
        <rFont val="Segoe UI"/>
        <family val="2"/>
      </rPr>
      <t>/V</t>
    </r>
    <r>
      <rPr>
        <b/>
        <vertAlign val="subscript"/>
        <sz val="10"/>
        <color rgb="FF000000"/>
        <rFont val="Segoe UI"/>
        <family val="2"/>
      </rPr>
      <t>n</t>
    </r>
  </si>
  <si>
    <r>
      <t>V</t>
    </r>
    <r>
      <rPr>
        <b/>
        <vertAlign val="subscript"/>
        <sz val="10"/>
        <color rgb="FF000000"/>
        <rFont val="Segoe UI"/>
        <family val="2"/>
      </rPr>
      <t>n</t>
    </r>
    <r>
      <rPr>
        <b/>
        <sz val="10"/>
        <color rgb="FF000000"/>
        <rFont val="Segoe UI"/>
        <family val="2"/>
      </rPr>
      <t xml:space="preserve">
φ</t>
    </r>
    <r>
      <rPr>
        <b/>
        <vertAlign val="subscript"/>
        <sz val="10"/>
        <color rgb="FF000000"/>
        <rFont val="Segoe UI"/>
        <family val="2"/>
      </rPr>
      <t>m</t>
    </r>
    <r>
      <rPr>
        <b/>
        <sz val="10"/>
        <color rgb="FF000000"/>
        <rFont val="Segoe UI"/>
        <family val="2"/>
      </rPr>
      <t>=1.0, φ</t>
    </r>
    <r>
      <rPr>
        <b/>
        <vertAlign val="subscript"/>
        <sz val="10"/>
        <color rgb="FF000000"/>
        <rFont val="Segoe UI"/>
        <family val="2"/>
      </rPr>
      <t>s</t>
    </r>
    <r>
      <rPr>
        <b/>
        <sz val="10"/>
        <color rgb="FF000000"/>
        <rFont val="Segoe UI"/>
        <family val="2"/>
      </rPr>
      <t xml:space="preserve">=1.0 </t>
    </r>
    <r>
      <rPr>
        <b/>
        <vertAlign val="subscript"/>
        <sz val="10"/>
        <color rgb="FF000000"/>
        <rFont val="Segoe UI"/>
        <family val="2"/>
      </rPr>
      <t xml:space="preserve">
</t>
    </r>
    <r>
      <rPr>
        <b/>
        <sz val="10"/>
        <color rgb="FF000000"/>
        <rFont val="Segoe UI"/>
        <family val="2"/>
      </rPr>
      <t>[kN]</t>
    </r>
  </si>
  <si>
    <t>Grand Total</t>
  </si>
  <si>
    <t>Count of Loading Type</t>
  </si>
  <si>
    <t>Row Labels</t>
  </si>
  <si>
    <t>Count of Loading Rate</t>
  </si>
  <si>
    <t>Count of Support Type</t>
  </si>
  <si>
    <t>Count of H</t>
  </si>
  <si>
    <t>Count of L</t>
  </si>
  <si>
    <t>600-1000</t>
  </si>
  <si>
    <t>1000-1400</t>
  </si>
  <si>
    <t>1400-1800</t>
  </si>
  <si>
    <t>1800-2200</t>
  </si>
  <si>
    <t>2200-2600</t>
  </si>
  <si>
    <t>2600-3000</t>
  </si>
  <si>
    <t>3000-3400</t>
  </si>
  <si>
    <t>3800-4200</t>
  </si>
  <si>
    <t>4200-4600</t>
  </si>
  <si>
    <t>Count of A</t>
  </si>
  <si>
    <t>&lt;500000</t>
  </si>
  <si>
    <t>500000-2000000</t>
  </si>
  <si>
    <t>2000000-3500000</t>
  </si>
  <si>
    <t>3500000-5000000</t>
  </si>
  <si>
    <t>5000000-6500000</t>
  </si>
  <si>
    <t>6500000-8000000</t>
  </si>
  <si>
    <t>8000000-9500000</t>
  </si>
  <si>
    <t>9500000-11000000</t>
  </si>
  <si>
    <t>11000000-12500000</t>
  </si>
  <si>
    <t>Count of t</t>
  </si>
  <si>
    <t>&lt;60</t>
  </si>
  <si>
    <t>60-110</t>
  </si>
  <si>
    <t>110-160</t>
  </si>
  <si>
    <t>160-210</t>
  </si>
  <si>
    <t>Count of H/L</t>
  </si>
  <si>
    <t>0.4-0.5</t>
  </si>
  <si>
    <t>0.5-0.6</t>
  </si>
  <si>
    <t>0.6-0.7</t>
  </si>
  <si>
    <t>0.7-0.8</t>
  </si>
  <si>
    <t>0.8-0.9</t>
  </si>
  <si>
    <t>0.3-0.5</t>
  </si>
  <si>
    <t>0.5-0.7</t>
  </si>
  <si>
    <t>0.7-0.9</t>
  </si>
  <si>
    <t>0.9-1.1</t>
  </si>
  <si>
    <t>1.1-1.3</t>
  </si>
  <si>
    <t>1.3-1.5</t>
  </si>
  <si>
    <t>1.5-1.7</t>
  </si>
  <si>
    <t>1.7-1.9</t>
  </si>
  <si>
    <t>1.9-2.1</t>
  </si>
  <si>
    <t>2.1-2.3</t>
  </si>
  <si>
    <t>Count of Anet/</t>
  </si>
  <si>
    <t>0.3-0.4</t>
  </si>
  <si>
    <r>
      <t>f</t>
    </r>
    <r>
      <rPr>
        <b/>
        <vertAlign val="subscript"/>
        <sz val="10"/>
        <rFont val="Segoe UI"/>
        <family val="2"/>
      </rPr>
      <t>grout PIVOT TABLE</t>
    </r>
    <r>
      <rPr>
        <b/>
        <sz val="10"/>
        <rFont val="Segoe UI"/>
        <family val="2"/>
      </rPr>
      <t xml:space="preserve">
[MPa]</t>
    </r>
  </si>
  <si>
    <t>Count of fgrout PIVOT TABLE</t>
  </si>
  <si>
    <t>5-15</t>
  </si>
  <si>
    <t>15-25</t>
  </si>
  <si>
    <t>25-35</t>
  </si>
  <si>
    <t>35-45</t>
  </si>
  <si>
    <t>45-55</t>
  </si>
  <si>
    <r>
      <t>f</t>
    </r>
    <r>
      <rPr>
        <b/>
        <vertAlign val="subscript"/>
        <sz val="10"/>
        <rFont val="Segoe UI"/>
        <family val="2"/>
      </rPr>
      <t>mortar PIVOT TABLE</t>
    </r>
    <r>
      <rPr>
        <b/>
        <sz val="10"/>
        <rFont val="Segoe UI"/>
        <family val="2"/>
      </rPr>
      <t xml:space="preserve">
[MPa]</t>
    </r>
  </si>
  <si>
    <t>Count of fmortar PIVOT TABLE</t>
  </si>
  <si>
    <t>1-6</t>
  </si>
  <si>
    <t>6-11</t>
  </si>
  <si>
    <t>11-16</t>
  </si>
  <si>
    <t>16-21</t>
  </si>
  <si>
    <t>21-26</t>
  </si>
  <si>
    <t>Count of f'mcor</t>
  </si>
  <si>
    <t>4-9</t>
  </si>
  <si>
    <t>9-14</t>
  </si>
  <si>
    <t>14-19</t>
  </si>
  <si>
    <t>19-24</t>
  </si>
  <si>
    <t>24-29</t>
  </si>
  <si>
    <t>Count of ρv</t>
  </si>
  <si>
    <t>0-0.001</t>
  </si>
  <si>
    <t>0.001-0.002</t>
  </si>
  <si>
    <t>0.002-0.003</t>
  </si>
  <si>
    <t>0.003-0.004</t>
  </si>
  <si>
    <t>0.004-0.005</t>
  </si>
  <si>
    <t>0.005-0.006</t>
  </si>
  <si>
    <t>0.006-0.007</t>
  </si>
  <si>
    <t>0.007-0.008</t>
  </si>
  <si>
    <t>Count of ρh</t>
  </si>
  <si>
    <t>Count of σgross</t>
  </si>
  <si>
    <t>0-0.5</t>
  </si>
  <si>
    <t>0.5-1</t>
  </si>
  <si>
    <t>1-1.5</t>
  </si>
  <si>
    <t>1.5-2</t>
  </si>
  <si>
    <t>2-2.5</t>
  </si>
  <si>
    <t>2.5-3</t>
  </si>
  <si>
    <t>Count of vmax,gross</t>
  </si>
  <si>
    <t>0.18-0.38</t>
  </si>
  <si>
    <t>0.38-0.58</t>
  </si>
  <si>
    <t>0.58-0.78</t>
  </si>
  <si>
    <t>0.78-0.98</t>
  </si>
  <si>
    <t>0.98-1.18</t>
  </si>
  <si>
    <t>1.38-1.58</t>
  </si>
  <si>
    <t>1.58-1.78</t>
  </si>
  <si>
    <t>0-1%</t>
  </si>
  <si>
    <t>1-2%</t>
  </si>
  <si>
    <t>2-3%</t>
  </si>
  <si>
    <t>3-4%</t>
  </si>
  <si>
    <t>4-5%</t>
  </si>
  <si>
    <t>5-6%</t>
  </si>
  <si>
    <t>6-7%</t>
  </si>
  <si>
    <t>7-8%</t>
  </si>
  <si>
    <t>0.6-1.0</t>
  </si>
  <si>
    <t>1.0-1.4</t>
  </si>
  <si>
    <t>1.4-1.8</t>
  </si>
  <si>
    <t>1.8-2.2</t>
  </si>
  <si>
    <t>2.2-2.6</t>
  </si>
  <si>
    <t>2.6-3.0</t>
  </si>
  <si>
    <t>3.0-3.4</t>
  </si>
  <si>
    <t>3.4-3.8</t>
  </si>
  <si>
    <t>3.8-4.2</t>
  </si>
  <si>
    <t>4.2-4.6</t>
  </si>
  <si>
    <t>&lt;0.5</t>
  </si>
  <si>
    <t>0.5-2</t>
  </si>
  <si>
    <t>2-3.5</t>
  </si>
  <si>
    <t>3.5-5</t>
  </si>
  <si>
    <t>5-6.5</t>
  </si>
  <si>
    <t>6.5-8</t>
  </si>
  <si>
    <t>8-9.5</t>
  </si>
  <si>
    <t>9.5-11</t>
  </si>
  <si>
    <t>11-12.5</t>
  </si>
  <si>
    <t>Phased-Seq.</t>
  </si>
  <si>
    <r>
      <t>σ</t>
    </r>
    <r>
      <rPr>
        <b/>
        <vertAlign val="subscript"/>
        <sz val="10"/>
        <rFont val="Segoe UI"/>
        <family val="2"/>
      </rPr>
      <t>gross</t>
    </r>
    <r>
      <rPr>
        <b/>
        <sz val="10"/>
        <rFont val="Segoe UI"/>
        <family val="2"/>
      </rPr>
      <t>/f'</t>
    </r>
    <r>
      <rPr>
        <b/>
        <vertAlign val="subscript"/>
        <sz val="10"/>
        <rFont val="Segoe UI"/>
        <family val="2"/>
      </rPr>
      <t>m</t>
    </r>
    <r>
      <rPr>
        <b/>
        <sz val="10"/>
        <rFont val="Segoe UI"/>
        <family val="2"/>
      </rPr>
      <t xml:space="preserve">
[MPa]</t>
    </r>
  </si>
  <si>
    <t>0-0.05</t>
  </si>
  <si>
    <t>0.05-0.1</t>
  </si>
  <si>
    <t>0.1-0.15</t>
  </si>
  <si>
    <t>0.15-0.2</t>
  </si>
  <si>
    <t>0.2-0.25</t>
  </si>
  <si>
    <t>0.25-0.3</t>
  </si>
  <si>
    <t>Count of σgross/f'm</t>
  </si>
  <si>
    <t>Rizaee (2015)</t>
  </si>
  <si>
    <t>Assessing bond beam horizontal reinforcement efficacy with different end anchorage conditions in concrete block masonry shear walls</t>
  </si>
  <si>
    <t>Hamedzadeh (2013)</t>
  </si>
  <si>
    <t>On the shear strength of partially grouted concrete masonry</t>
  </si>
  <si>
    <t>Hoque (2013)</t>
  </si>
  <si>
    <t>In-Plane Cyclic Testing of Reinforced Concrete Masonry Walls to Assess the Effect of Varying Reinforcement Anchorage and Boundary Conditions</t>
  </si>
  <si>
    <t>f'm(grouted)</t>
  </si>
  <si>
    <t>f'm(ungroted)</t>
  </si>
  <si>
    <t>1B</t>
  </si>
  <si>
    <t>2B</t>
  </si>
  <si>
    <t>3B</t>
  </si>
  <si>
    <t>4B</t>
  </si>
  <si>
    <t>5A</t>
  </si>
  <si>
    <t>5B</t>
  </si>
  <si>
    <t>6A</t>
  </si>
  <si>
    <t>6B</t>
  </si>
  <si>
    <t>7A</t>
  </si>
  <si>
    <t>7B</t>
  </si>
  <si>
    <t>8A</t>
  </si>
  <si>
    <t>8B</t>
  </si>
  <si>
    <t>http://www.expocrete.com/pdf/masonry/standard/Standard_Physical_Properties.pdf</t>
  </si>
  <si>
    <t>EXPOCRETE Minimum face shell thickness = 32mm</t>
  </si>
  <si>
    <t>Vertical Grout Spacing</t>
  </si>
  <si>
    <t>Hor. Grout Spacing</t>
  </si>
  <si>
    <t>f'mcor(grouted)</t>
  </si>
  <si>
    <t>f'mcor(ungrouted)</t>
  </si>
  <si>
    <t>f'mcor,eff</t>
  </si>
  <si>
    <t>15M (no splice)</t>
  </si>
  <si>
    <t>15M (top splice)</t>
  </si>
  <si>
    <t>Ø3.665mm</t>
  </si>
  <si>
    <t>3C</t>
  </si>
  <si>
    <t>4C</t>
  </si>
  <si>
    <t>1A (Type A)</t>
  </si>
  <si>
    <t>1B (Type A)</t>
  </si>
  <si>
    <t>2A (Type A)</t>
  </si>
  <si>
    <t>2B (Type A)</t>
  </si>
  <si>
    <t>3A (Type A)</t>
  </si>
  <si>
    <t>3B (Type A)</t>
  </si>
  <si>
    <t>4A (Type B)</t>
  </si>
  <si>
    <t>4C (Type B)</t>
  </si>
  <si>
    <t>4B (Type B)</t>
  </si>
  <si>
    <t>5A (Type B)</t>
  </si>
  <si>
    <t>5B (Type B)</t>
  </si>
  <si>
    <t>5C (Type B)</t>
  </si>
  <si>
    <t>6A (Type C)</t>
  </si>
  <si>
    <t>6B (Type C)</t>
  </si>
  <si>
    <t>6C (Type C)</t>
  </si>
  <si>
    <t>7A (Type C)</t>
  </si>
  <si>
    <t>7B (Type C)</t>
  </si>
  <si>
    <t>7C (Type C)</t>
  </si>
  <si>
    <t>8A (Type D)</t>
  </si>
  <si>
    <t>8B (Type D)</t>
  </si>
  <si>
    <t>8C (Type D)</t>
  </si>
  <si>
    <t>10M</t>
  </si>
  <si>
    <t>(2)10M</t>
  </si>
  <si>
    <t>Wall 1-A</t>
  </si>
  <si>
    <t>Wall 2-A</t>
  </si>
  <si>
    <t>Wall 3-B</t>
  </si>
  <si>
    <t>Wall 4-B</t>
  </si>
  <si>
    <t>Wall 5-C</t>
  </si>
  <si>
    <t>Wall 6-C</t>
  </si>
  <si>
    <t>Wall 7-D</t>
  </si>
  <si>
    <t>Wall 8-D</t>
  </si>
  <si>
    <t>Wall 9-E</t>
  </si>
  <si>
    <t>Wall 10-E</t>
  </si>
  <si>
    <t>Wall 11-F</t>
  </si>
  <si>
    <t>Wall 12-F</t>
  </si>
  <si>
    <t>Wall 13-G</t>
  </si>
  <si>
    <t>Wall 14-G</t>
  </si>
  <si>
    <t>ν</t>
  </si>
  <si>
    <t>no info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</si>
</sst>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0.0"/>
    <numFmt numFmtId="165" formatCode="0.00000"/>
    <numFmt numFmtId="166" formatCode="0.0000"/>
    <numFmt numFmtId="167" formatCode="0.000"/>
    <numFmt numFmtId="168" formatCode="0.0;[Red]0.0"/>
    <numFmt numFmtId="169" formatCode="0;[Red]0"/>
    <numFmt numFmtId="170" formatCode="0.00;[Red]0.00"/>
    <numFmt numFmtId="171" formatCode="0.000000"/>
  </numFmts>
  <fonts count="61" x14ac:knownFonts="1">
    <font>
      <sz val="11"/>
      <color theme="1"/>
      <name val="Calibri"/>
      <family val="2"/>
      <scheme val="minor"/>
    </font>
    <font>
      <sz val="10"/>
      <color theme="1"/>
      <name val="Segoe UI"/>
      <family val="2"/>
    </font>
    <font>
      <sz val="10"/>
      <color rgb="FF000000"/>
      <name val="Segoe UI"/>
      <family val="2"/>
    </font>
    <font>
      <sz val="11"/>
      <color theme="1"/>
      <name val="Segoe UI"/>
      <family val="2"/>
    </font>
    <font>
      <b/>
      <sz val="10"/>
      <name val="Segoe UI"/>
      <family val="2"/>
    </font>
    <font>
      <b/>
      <sz val="10"/>
      <color rgb="FF000000"/>
      <name val="Segoe UI"/>
      <family val="2"/>
    </font>
    <font>
      <b/>
      <vertAlign val="superscript"/>
      <sz val="10"/>
      <color rgb="FF000000"/>
      <name val="Segoe UI"/>
      <family val="2"/>
    </font>
    <font>
      <b/>
      <vertAlign val="subscript"/>
      <sz val="10"/>
      <name val="Segoe UI"/>
      <family val="2"/>
    </font>
    <font>
      <b/>
      <vertAlign val="subscript"/>
      <sz val="10"/>
      <color rgb="FF000000"/>
      <name val="Segoe UI"/>
      <family val="2"/>
    </font>
    <font>
      <b/>
      <sz val="11"/>
      <name val="Segoe UI"/>
      <family val="2"/>
    </font>
    <font>
      <b/>
      <vertAlign val="subscript"/>
      <sz val="8"/>
      <name val="Segoe UI"/>
      <family val="2"/>
    </font>
    <font>
      <b/>
      <sz val="12"/>
      <name val="Segoe UI"/>
      <family val="2"/>
    </font>
    <font>
      <b/>
      <sz val="8"/>
      <name val="Segoe UI"/>
      <family val="2"/>
    </font>
    <font>
      <b/>
      <vertAlign val="superscript"/>
      <sz val="11"/>
      <name val="Segoe UI"/>
      <family val="2"/>
    </font>
    <font>
      <sz val="11"/>
      <color rgb="FF000000"/>
      <name val="Segoe UI"/>
      <family val="2"/>
    </font>
    <font>
      <sz val="11"/>
      <color rgb="FF000000"/>
      <name val="Times New Roman"/>
      <family val="2"/>
    </font>
    <font>
      <sz val="11"/>
      <name val="Times New Roman"/>
      <family val="1"/>
    </font>
    <font>
      <sz val="11"/>
      <name val="Times New Roman"/>
      <family val="1"/>
    </font>
    <font>
      <sz val="11"/>
      <color rgb="FF000000"/>
      <name val="Calibri"/>
      <family val="2"/>
    </font>
    <font>
      <sz val="10"/>
      <color rgb="FF000000"/>
      <name val="Calibri"/>
      <family val="2"/>
    </font>
    <font>
      <sz val="12"/>
      <name val="Times New Roman"/>
      <family val="1"/>
    </font>
    <font>
      <b/>
      <vertAlign val="subscript"/>
      <sz val="11"/>
      <name val="Segoe UI"/>
      <family val="2"/>
    </font>
    <font>
      <sz val="10"/>
      <name val="Segoe UI"/>
      <family val="2"/>
    </font>
    <font>
      <b/>
      <sz val="10"/>
      <color theme="1"/>
      <name val="Segoe UI"/>
      <family val="2"/>
    </font>
    <font>
      <i/>
      <sz val="11"/>
      <color theme="1"/>
      <name val="Calibri"/>
      <family val="2"/>
      <scheme val="minor"/>
    </font>
    <font>
      <i/>
      <sz val="10"/>
      <color theme="1"/>
      <name val="Segoe UI"/>
      <family val="2"/>
    </font>
    <font>
      <sz val="10"/>
      <color rgb="FFC00000"/>
      <name val="Segoe UI"/>
      <family val="2"/>
    </font>
    <font>
      <sz val="10"/>
      <color rgb="FF0070C0"/>
      <name val="Segoe UI"/>
      <family val="2"/>
    </font>
    <font>
      <sz val="10"/>
      <color theme="9" tint="-0.249977111117893"/>
      <name val="Segoe UI"/>
      <family val="2"/>
    </font>
    <font>
      <sz val="10"/>
      <color rgb="FF000000"/>
      <name val="Times New Roman"/>
      <family val="1"/>
    </font>
    <font>
      <b/>
      <sz val="9"/>
      <name val="Segoe UI"/>
      <family val="2"/>
    </font>
    <font>
      <sz val="9"/>
      <color rgb="FF000000"/>
      <name val="Segoe UI"/>
      <family val="2"/>
    </font>
    <font>
      <b/>
      <sz val="9"/>
      <color rgb="FF000000"/>
      <name val="Segoe UI"/>
      <family val="2"/>
    </font>
    <font>
      <b/>
      <vertAlign val="superscript"/>
      <sz val="9"/>
      <color rgb="FF000000"/>
      <name val="Segoe UI"/>
      <family val="2"/>
    </font>
    <font>
      <b/>
      <i/>
      <sz val="9"/>
      <name val="Segoe UI"/>
      <family val="2"/>
    </font>
    <font>
      <sz val="9"/>
      <name val="Segoe UI"/>
      <family val="2"/>
    </font>
    <font>
      <sz val="9"/>
      <color rgb="FF538ED5"/>
      <name val="Segoe UI"/>
      <family val="2"/>
    </font>
    <font>
      <sz val="9"/>
      <color rgb="FFFF0000"/>
      <name val="Segoe UI"/>
      <family val="2"/>
    </font>
    <font>
      <sz val="9"/>
      <color rgb="FF366092"/>
      <name val="Segoe UI"/>
      <family val="2"/>
    </font>
    <font>
      <sz val="9"/>
      <color rgb="FF006100"/>
      <name val="Segoe UI"/>
      <family val="2"/>
    </font>
    <font>
      <sz val="9"/>
      <color rgb="FF4F82BD"/>
      <name val="Segoe UI"/>
      <family val="2"/>
    </font>
    <font>
      <sz val="10"/>
      <color theme="8"/>
      <name val="Segoe UI"/>
      <family val="2"/>
    </font>
    <font>
      <sz val="10"/>
      <color theme="2" tint="-0.499984740745262"/>
      <name val="Segoe UI"/>
      <family val="2"/>
    </font>
    <font>
      <sz val="10"/>
      <color rgb="FFFFC000"/>
      <name val="Segoe UI"/>
      <family val="2"/>
    </font>
    <font>
      <b/>
      <vertAlign val="superscript"/>
      <sz val="10"/>
      <name val="Segoe U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vertAlign val="superscript"/>
      <sz val="11"/>
      <color theme="1"/>
      <name val="Calibri"/>
      <family val="2"/>
      <scheme val="minor"/>
    </font>
    <font>
      <sz val="10"/>
      <color rgb="FF7030A0"/>
      <name val="Segoe UI"/>
      <family val="2"/>
    </font>
    <font>
      <sz val="11"/>
      <color theme="1"/>
      <name val="Calibri"/>
      <family val="2"/>
      <scheme val="minor"/>
    </font>
    <font>
      <b/>
      <sz val="14"/>
      <color rgb="FF000000"/>
      <name val="Symbol"/>
      <family val="1"/>
      <charset val="2"/>
    </font>
    <font>
      <b/>
      <vertAlign val="subscript"/>
      <sz val="14"/>
      <color rgb="FF000000"/>
      <name val="Segoe UI"/>
      <family val="2"/>
    </font>
    <font>
      <b/>
      <i/>
      <sz val="10"/>
      <name val="Times New Roman"/>
      <family val="1"/>
    </font>
    <font>
      <sz val="23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Segoe UI"/>
      <family val="2"/>
    </font>
    <font>
      <i/>
      <sz val="11"/>
      <color theme="1"/>
      <name val="Calibri"/>
      <family val="2"/>
      <scheme val="minor"/>
    </font>
    <font>
      <i/>
      <sz val="10"/>
      <color theme="1"/>
      <name val="Segoe UI"/>
      <family val="2"/>
    </font>
    <font>
      <sz val="10"/>
      <color theme="1"/>
      <name val="Segoe UI"/>
      <family val="2"/>
    </font>
    <font>
      <sz val="10"/>
      <color rgb="FFC00000"/>
      <name val="Segoe UI"/>
      <family val="2"/>
    </font>
  </fonts>
  <fills count="19">
    <fill>
      <patternFill patternType="none"/>
    </fill>
    <fill>
      <patternFill patternType="gray125"/>
    </fill>
    <fill>
      <patternFill patternType="solid">
        <fgColor rgb="FFDFDFDF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lightUp">
        <fgColor rgb="FFFF0000"/>
      </patternFill>
    </fill>
  </fills>
  <borders count="41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/>
      <right/>
      <top style="thin">
        <color indexed="64"/>
      </top>
      <bottom style="thin">
        <color rgb="FF000000"/>
      </bottom>
      <diagonal/>
    </border>
    <border>
      <left/>
      <right style="thin">
        <color indexed="64"/>
      </right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rgb="FF000000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rgb="FF000000"/>
      </top>
      <bottom/>
      <diagonal/>
    </border>
    <border>
      <left style="thin">
        <color indexed="64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rgb="FF000000"/>
      </bottom>
      <diagonal/>
    </border>
    <border>
      <left/>
      <right style="thin">
        <color indexed="64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29" fillId="0" borderId="0"/>
    <xf numFmtId="9" fontId="49" fillId="0" borderId="0" applyFont="0" applyFill="0" applyBorder="0" applyAlignment="0" applyProtection="0"/>
  </cellStyleXfs>
  <cellXfs count="458">
    <xf numFmtId="0" fontId="0" fillId="0" borderId="0" xfId="0"/>
    <xf numFmtId="0" fontId="3" fillId="0" borderId="0" xfId="0" applyFont="1"/>
    <xf numFmtId="0" fontId="1" fillId="0" borderId="0" xfId="0" applyFont="1" applyAlignment="1">
      <alignment horizontal="center" vertical="center"/>
    </xf>
    <xf numFmtId="0" fontId="0" fillId="0" borderId="0" xfId="0" applyFill="1" applyBorder="1" applyAlignment="1">
      <alignment horizontal="left" vertical="top"/>
    </xf>
    <xf numFmtId="0" fontId="16" fillId="0" borderId="8" xfId="0" applyFont="1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9" fillId="0" borderId="7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4" fillId="0" borderId="7" xfId="0" applyFont="1" applyFill="1" applyBorder="1" applyAlignment="1">
      <alignment horizontal="center" vertical="center" wrapText="1"/>
    </xf>
    <xf numFmtId="1" fontId="14" fillId="0" borderId="7" xfId="0" applyNumberFormat="1" applyFont="1" applyFill="1" applyBorder="1" applyAlignment="1">
      <alignment horizontal="center" vertical="center" wrapText="1"/>
    </xf>
    <xf numFmtId="164" fontId="14" fillId="0" borderId="7" xfId="0" applyNumberFormat="1" applyFont="1" applyFill="1" applyBorder="1" applyAlignment="1">
      <alignment horizontal="center" vertical="center" wrapText="1"/>
    </xf>
    <xf numFmtId="1" fontId="14" fillId="0" borderId="1" xfId="0" applyNumberFormat="1" applyFont="1" applyFill="1" applyBorder="1" applyAlignment="1">
      <alignment horizontal="center" vertical="center" wrapText="1"/>
    </xf>
    <xf numFmtId="2" fontId="14" fillId="0" borderId="7" xfId="0" applyNumberFormat="1" applyFont="1" applyFill="1" applyBorder="1" applyAlignment="1">
      <alignment horizontal="center" vertical="center" wrapText="1"/>
    </xf>
    <xf numFmtId="1" fontId="15" fillId="0" borderId="7" xfId="0" applyNumberFormat="1" applyFont="1" applyFill="1" applyBorder="1" applyAlignment="1">
      <alignment horizontal="center" vertical="center" wrapText="1"/>
    </xf>
    <xf numFmtId="164" fontId="15" fillId="0" borderId="7" xfId="0" applyNumberFormat="1" applyFont="1" applyFill="1" applyBorder="1" applyAlignment="1">
      <alignment horizontal="center" vertical="center" wrapText="1"/>
    </xf>
    <xf numFmtId="2" fontId="15" fillId="0" borderId="7" xfId="0" applyNumberFormat="1" applyFont="1" applyFill="1" applyBorder="1" applyAlignment="1">
      <alignment horizontal="center" vertical="center" wrapText="1"/>
    </xf>
    <xf numFmtId="2" fontId="15" fillId="0" borderId="1" xfId="0" applyNumberFormat="1" applyFont="1" applyFill="1" applyBorder="1" applyAlignment="1">
      <alignment horizontal="center" vertical="center" wrapText="1"/>
    </xf>
    <xf numFmtId="1" fontId="15" fillId="2" borderId="7" xfId="0" applyNumberFormat="1" applyFont="1" applyFill="1" applyBorder="1" applyAlignment="1">
      <alignment horizontal="center" vertical="center" wrapText="1"/>
    </xf>
    <xf numFmtId="164" fontId="15" fillId="2" borderId="7" xfId="0" applyNumberFormat="1" applyFont="1" applyFill="1" applyBorder="1" applyAlignment="1">
      <alignment horizontal="center" vertical="center" wrapText="1"/>
    </xf>
    <xf numFmtId="2" fontId="15" fillId="2" borderId="7" xfId="0" applyNumberFormat="1" applyFont="1" applyFill="1" applyBorder="1" applyAlignment="1">
      <alignment horizontal="center" vertical="center" wrapText="1"/>
    </xf>
    <xf numFmtId="164" fontId="18" fillId="0" borderId="7" xfId="0" applyNumberFormat="1" applyFont="1" applyFill="1" applyBorder="1" applyAlignment="1">
      <alignment horizontal="center" vertical="center" wrapText="1"/>
    </xf>
    <xf numFmtId="1" fontId="18" fillId="0" borderId="7" xfId="0" applyNumberFormat="1" applyFont="1" applyFill="1" applyBorder="1" applyAlignment="1">
      <alignment horizontal="center" vertical="center" wrapText="1"/>
    </xf>
    <xf numFmtId="2" fontId="18" fillId="0" borderId="7" xfId="0" applyNumberFormat="1" applyFont="1" applyFill="1" applyBorder="1" applyAlignment="1">
      <alignment horizontal="center" vertical="center" wrapText="1"/>
    </xf>
    <xf numFmtId="164" fontId="19" fillId="2" borderId="7" xfId="0" applyNumberFormat="1" applyFont="1" applyFill="1" applyBorder="1" applyAlignment="1">
      <alignment horizontal="center" vertical="center" wrapText="1"/>
    </xf>
    <xf numFmtId="1" fontId="19" fillId="2" borderId="7" xfId="0" applyNumberFormat="1" applyFont="1" applyFill="1" applyBorder="1" applyAlignment="1">
      <alignment horizontal="center" vertical="center" wrapText="1"/>
    </xf>
    <xf numFmtId="2" fontId="19" fillId="2" borderId="7" xfId="0" applyNumberFormat="1" applyFont="1" applyFill="1" applyBorder="1" applyAlignment="1">
      <alignment horizontal="center" vertical="center" wrapText="1"/>
    </xf>
    <xf numFmtId="1" fontId="15" fillId="0" borderId="1" xfId="0" applyNumberFormat="1" applyFont="1" applyFill="1" applyBorder="1" applyAlignment="1">
      <alignment horizontal="center" vertical="center" wrapText="1"/>
    </xf>
    <xf numFmtId="1" fontId="15" fillId="2" borderId="1" xfId="0" applyNumberFormat="1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16" fillId="2" borderId="8" xfId="0" applyFont="1" applyFill="1" applyBorder="1" applyAlignment="1">
      <alignment horizontal="center" vertical="center" wrapText="1"/>
    </xf>
    <xf numFmtId="0" fontId="17" fillId="2" borderId="8" xfId="0" applyFont="1" applyFill="1" applyBorder="1" applyAlignment="1">
      <alignment horizontal="center" vertical="center" wrapText="1"/>
    </xf>
    <xf numFmtId="0" fontId="17" fillId="0" borderId="8" xfId="0" applyFont="1" applyFill="1" applyBorder="1" applyAlignment="1">
      <alignment horizontal="center" vertical="center" wrapText="1"/>
    </xf>
    <xf numFmtId="0" fontId="17" fillId="2" borderId="9" xfId="0" applyFont="1" applyFill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/>
    </xf>
    <xf numFmtId="0" fontId="1" fillId="0" borderId="0" xfId="0" applyFont="1"/>
    <xf numFmtId="0" fontId="1" fillId="0" borderId="10" xfId="0" applyFont="1" applyBorder="1" applyAlignment="1">
      <alignment horizontal="center"/>
    </xf>
    <xf numFmtId="0" fontId="1" fillId="0" borderId="10" xfId="0" applyFont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 wrapText="1"/>
    </xf>
    <xf numFmtId="0" fontId="1" fillId="0" borderId="10" xfId="0" quotePrefix="1" applyNumberFormat="1" applyFont="1" applyBorder="1" applyAlignment="1">
      <alignment horizontal="center"/>
    </xf>
    <xf numFmtId="0" fontId="1" fillId="0" borderId="0" xfId="0" applyFont="1" applyBorder="1" applyAlignment="1">
      <alignment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23" fillId="0" borderId="0" xfId="0" applyFont="1"/>
    <xf numFmtId="0" fontId="24" fillId="0" borderId="0" xfId="0" applyFont="1"/>
    <xf numFmtId="0" fontId="25" fillId="0" borderId="0" xfId="0" applyFont="1"/>
    <xf numFmtId="0" fontId="22" fillId="3" borderId="10" xfId="0" applyFont="1" applyFill="1" applyBorder="1" applyAlignment="1">
      <alignment horizontal="center" vertical="center" wrapText="1"/>
    </xf>
    <xf numFmtId="0" fontId="25" fillId="0" borderId="0" xfId="0" applyFont="1" applyAlignment="1">
      <alignment wrapText="1"/>
    </xf>
    <xf numFmtId="3" fontId="1" fillId="0" borderId="10" xfId="0" applyNumberFormat="1" applyFont="1" applyBorder="1" applyAlignment="1">
      <alignment horizontal="center" vertical="center"/>
    </xf>
    <xf numFmtId="0" fontId="26" fillId="4" borderId="10" xfId="0" applyFont="1" applyFill="1" applyBorder="1" applyAlignment="1">
      <alignment horizontal="center" vertical="center" wrapText="1"/>
    </xf>
    <xf numFmtId="0" fontId="1" fillId="3" borderId="10" xfId="0" applyFont="1" applyFill="1" applyBorder="1" applyAlignment="1">
      <alignment horizontal="center" vertical="center" wrapText="1"/>
    </xf>
    <xf numFmtId="0" fontId="4" fillId="0" borderId="13" xfId="0" applyFont="1" applyFill="1" applyBorder="1" applyAlignment="1">
      <alignment horizontal="center" vertical="center" wrapText="1"/>
    </xf>
    <xf numFmtId="0" fontId="2" fillId="0" borderId="13" xfId="0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center" vertical="center" wrapText="1"/>
    </xf>
    <xf numFmtId="0" fontId="30" fillId="0" borderId="1" xfId="1" applyFont="1" applyFill="1" applyBorder="1" applyAlignment="1">
      <alignment horizontal="center" vertical="center" wrapText="1"/>
    </xf>
    <xf numFmtId="0" fontId="30" fillId="0" borderId="2" xfId="1" applyFont="1" applyFill="1" applyBorder="1" applyAlignment="1">
      <alignment horizontal="center" vertical="center" wrapText="1"/>
    </xf>
    <xf numFmtId="0" fontId="31" fillId="0" borderId="3" xfId="1" applyFont="1" applyFill="1" applyBorder="1" applyAlignment="1">
      <alignment horizontal="center" vertical="center" wrapText="1"/>
    </xf>
    <xf numFmtId="0" fontId="31" fillId="0" borderId="4" xfId="1" applyFont="1" applyFill="1" applyBorder="1" applyAlignment="1">
      <alignment horizontal="center" vertical="center" wrapText="1"/>
    </xf>
    <xf numFmtId="0" fontId="32" fillId="0" borderId="4" xfId="1" applyFont="1" applyFill="1" applyBorder="1" applyAlignment="1">
      <alignment horizontal="center" vertical="center" wrapText="1"/>
    </xf>
    <xf numFmtId="0" fontId="31" fillId="0" borderId="5" xfId="1" applyFont="1" applyFill="1" applyBorder="1" applyAlignment="1">
      <alignment horizontal="center" vertical="center" wrapText="1"/>
    </xf>
    <xf numFmtId="0" fontId="31" fillId="0" borderId="2" xfId="1" applyFont="1" applyFill="1" applyBorder="1" applyAlignment="1">
      <alignment horizontal="center" vertical="center" wrapText="1"/>
    </xf>
    <xf numFmtId="0" fontId="30" fillId="0" borderId="3" xfId="1" applyFont="1" applyFill="1" applyBorder="1" applyAlignment="1">
      <alignment horizontal="center" vertical="center" wrapText="1"/>
    </xf>
    <xf numFmtId="0" fontId="34" fillId="0" borderId="2" xfId="1" applyFont="1" applyFill="1" applyBorder="1" applyAlignment="1">
      <alignment horizontal="center" vertical="center" wrapText="1"/>
    </xf>
    <xf numFmtId="0" fontId="34" fillId="0" borderId="5" xfId="1" applyFont="1" applyFill="1" applyBorder="1" applyAlignment="1">
      <alignment horizontal="center" vertical="center" wrapText="1"/>
    </xf>
    <xf numFmtId="0" fontId="31" fillId="0" borderId="14" xfId="1" applyFont="1" applyFill="1" applyBorder="1" applyAlignment="1">
      <alignment horizontal="center" vertical="center" wrapText="1"/>
    </xf>
    <xf numFmtId="0" fontId="30" fillId="0" borderId="6" xfId="1" applyFont="1" applyFill="1" applyBorder="1" applyAlignment="1">
      <alignment horizontal="center" vertical="center" wrapText="1"/>
    </xf>
    <xf numFmtId="0" fontId="35" fillId="0" borderId="1" xfId="1" applyFont="1" applyFill="1" applyBorder="1" applyAlignment="1">
      <alignment horizontal="center" vertical="center" wrapText="1"/>
    </xf>
    <xf numFmtId="0" fontId="31" fillId="0" borderId="14" xfId="1" applyFont="1" applyFill="1" applyBorder="1" applyAlignment="1">
      <alignment vertical="center" wrapText="1"/>
    </xf>
    <xf numFmtId="0" fontId="35" fillId="0" borderId="6" xfId="1" applyFont="1" applyFill="1" applyBorder="1" applyAlignment="1">
      <alignment horizontal="center" vertical="center" wrapText="1"/>
    </xf>
    <xf numFmtId="0" fontId="35" fillId="0" borderId="14" xfId="1" applyFont="1" applyFill="1" applyBorder="1" applyAlignment="1">
      <alignment horizontal="center" vertical="center" wrapText="1"/>
    </xf>
    <xf numFmtId="0" fontId="35" fillId="0" borderId="7" xfId="1" applyFont="1" applyFill="1" applyBorder="1" applyAlignment="1">
      <alignment horizontal="center" vertical="center" wrapText="1"/>
    </xf>
    <xf numFmtId="0" fontId="35" fillId="0" borderId="14" xfId="1" applyFont="1" applyFill="1" applyBorder="1" applyAlignment="1">
      <alignment vertical="center" wrapText="1"/>
    </xf>
    <xf numFmtId="0" fontId="29" fillId="0" borderId="0" xfId="1" applyFill="1" applyBorder="1" applyAlignment="1">
      <alignment horizontal="left" vertical="top"/>
    </xf>
    <xf numFmtId="0" fontId="5" fillId="0" borderId="15" xfId="1" applyFont="1" applyFill="1" applyBorder="1" applyAlignment="1">
      <alignment horizontal="center" vertical="center"/>
    </xf>
    <xf numFmtId="0" fontId="5" fillId="0" borderId="15" xfId="1" applyFont="1" applyFill="1" applyBorder="1" applyAlignment="1">
      <alignment horizontal="center" vertical="center" wrapText="1"/>
    </xf>
    <xf numFmtId="0" fontId="2" fillId="0" borderId="0" xfId="1" applyFont="1" applyFill="1" applyBorder="1" applyAlignment="1">
      <alignment horizontal="left" vertical="top"/>
    </xf>
    <xf numFmtId="1" fontId="31" fillId="0" borderId="16" xfId="1" applyNumberFormat="1" applyFont="1" applyFill="1" applyBorder="1" applyAlignment="1">
      <alignment horizontal="center" vertical="center" wrapText="1"/>
    </xf>
    <xf numFmtId="0" fontId="35" fillId="0" borderId="17" xfId="1" applyFont="1" applyFill="1" applyBorder="1" applyAlignment="1">
      <alignment vertical="center" wrapText="1"/>
    </xf>
    <xf numFmtId="0" fontId="35" fillId="0" borderId="17" xfId="1" applyFont="1" applyFill="1" applyBorder="1" applyAlignment="1">
      <alignment horizontal="center" vertical="center" wrapText="1"/>
    </xf>
    <xf numFmtId="1" fontId="31" fillId="0" borderId="18" xfId="1" applyNumberFormat="1" applyFont="1" applyFill="1" applyBorder="1" applyAlignment="1">
      <alignment horizontal="center" vertical="center" wrapText="1"/>
    </xf>
    <xf numFmtId="1" fontId="31" fillId="0" borderId="19" xfId="1" applyNumberFormat="1" applyFont="1" applyFill="1" applyBorder="1" applyAlignment="1">
      <alignment horizontal="center" vertical="center" wrapText="1"/>
    </xf>
    <xf numFmtId="164" fontId="31" fillId="0" borderId="19" xfId="1" applyNumberFormat="1" applyFont="1" applyFill="1" applyBorder="1" applyAlignment="1">
      <alignment horizontal="center" vertical="center" wrapText="1"/>
    </xf>
    <xf numFmtId="2" fontId="31" fillId="0" borderId="20" xfId="1" applyNumberFormat="1" applyFont="1" applyFill="1" applyBorder="1" applyAlignment="1">
      <alignment horizontal="center" vertical="center" wrapText="1"/>
    </xf>
    <xf numFmtId="164" fontId="31" fillId="0" borderId="18" xfId="1" applyNumberFormat="1" applyFont="1" applyFill="1" applyBorder="1" applyAlignment="1">
      <alignment horizontal="center" vertical="center" wrapText="1"/>
    </xf>
    <xf numFmtId="164" fontId="31" fillId="0" borderId="20" xfId="1" applyNumberFormat="1" applyFont="1" applyFill="1" applyBorder="1" applyAlignment="1">
      <alignment horizontal="center" vertical="center" wrapText="1"/>
    </xf>
    <xf numFmtId="164" fontId="31" fillId="0" borderId="17" xfId="1" applyNumberFormat="1" applyFont="1" applyFill="1" applyBorder="1" applyAlignment="1">
      <alignment horizontal="center" vertical="center" wrapText="1"/>
    </xf>
    <xf numFmtId="2" fontId="31" fillId="0" borderId="18" xfId="1" applyNumberFormat="1" applyFont="1" applyFill="1" applyBorder="1" applyAlignment="1">
      <alignment horizontal="center" vertical="center" wrapText="1"/>
    </xf>
    <xf numFmtId="0" fontId="35" fillId="0" borderId="19" xfId="1" applyFont="1" applyFill="1" applyBorder="1" applyAlignment="1">
      <alignment horizontal="center" vertical="center" wrapText="1"/>
    </xf>
    <xf numFmtId="0" fontId="35" fillId="0" borderId="20" xfId="1" applyFont="1" applyFill="1" applyBorder="1" applyAlignment="1">
      <alignment horizontal="center" vertical="center" wrapText="1"/>
    </xf>
    <xf numFmtId="165" fontId="31" fillId="0" borderId="18" xfId="1" applyNumberFormat="1" applyFont="1" applyFill="1" applyBorder="1" applyAlignment="1">
      <alignment horizontal="center" vertical="center" wrapText="1"/>
    </xf>
    <xf numFmtId="165" fontId="31" fillId="0" borderId="19" xfId="1" applyNumberFormat="1" applyFont="1" applyFill="1" applyBorder="1" applyAlignment="1">
      <alignment horizontal="center" vertical="center" wrapText="1"/>
    </xf>
    <xf numFmtId="1" fontId="31" fillId="0" borderId="20" xfId="1" applyNumberFormat="1" applyFont="1" applyFill="1" applyBorder="1" applyAlignment="1">
      <alignment horizontal="center" vertical="center" wrapText="1"/>
    </xf>
    <xf numFmtId="1" fontId="31" fillId="0" borderId="17" xfId="1" applyNumberFormat="1" applyFont="1" applyFill="1" applyBorder="1" applyAlignment="1">
      <alignment horizontal="center" vertical="center" wrapText="1"/>
    </xf>
    <xf numFmtId="2" fontId="31" fillId="0" borderId="19" xfId="1" applyNumberFormat="1" applyFont="1" applyFill="1" applyBorder="1" applyAlignment="1">
      <alignment horizontal="center" vertical="center" wrapText="1"/>
    </xf>
    <xf numFmtId="2" fontId="31" fillId="0" borderId="21" xfId="1" applyNumberFormat="1" applyFont="1" applyFill="1" applyBorder="1" applyAlignment="1">
      <alignment horizontal="center" vertical="center" wrapText="1"/>
    </xf>
    <xf numFmtId="2" fontId="31" fillId="0" borderId="16" xfId="1" applyNumberFormat="1" applyFont="1" applyFill="1" applyBorder="1" applyAlignment="1">
      <alignment horizontal="center" vertical="center" wrapText="1"/>
    </xf>
    <xf numFmtId="2" fontId="31" fillId="0" borderId="8" xfId="1" applyNumberFormat="1" applyFont="1" applyFill="1" applyBorder="1" applyAlignment="1">
      <alignment horizontal="center" vertical="center" wrapText="1"/>
    </xf>
    <xf numFmtId="0" fontId="2" fillId="0" borderId="0" xfId="1" applyFont="1" applyFill="1" applyBorder="1" applyAlignment="1">
      <alignment horizontal="center" vertical="top"/>
    </xf>
    <xf numFmtId="2" fontId="2" fillId="0" borderId="0" xfId="1" applyNumberFormat="1" applyFont="1" applyFill="1" applyBorder="1" applyAlignment="1">
      <alignment horizontal="center" vertical="top"/>
    </xf>
    <xf numFmtId="1" fontId="31" fillId="0" borderId="22" xfId="1" applyNumberFormat="1" applyFont="1" applyFill="1" applyBorder="1" applyAlignment="1">
      <alignment horizontal="center" vertical="center" wrapText="1"/>
    </xf>
    <xf numFmtId="0" fontId="35" fillId="0" borderId="23" xfId="1" applyFont="1" applyFill="1" applyBorder="1" applyAlignment="1">
      <alignment vertical="center" wrapText="1"/>
    </xf>
    <xf numFmtId="0" fontId="35" fillId="0" borderId="23" xfId="1" applyFont="1" applyFill="1" applyBorder="1" applyAlignment="1">
      <alignment horizontal="center" vertical="center" wrapText="1"/>
    </xf>
    <xf numFmtId="1" fontId="31" fillId="0" borderId="11" xfId="1" applyNumberFormat="1" applyFont="1" applyFill="1" applyBorder="1" applyAlignment="1">
      <alignment horizontal="center" vertical="center" wrapText="1"/>
    </xf>
    <xf numFmtId="1" fontId="31" fillId="0" borderId="0" xfId="1" applyNumberFormat="1" applyFont="1" applyFill="1" applyBorder="1" applyAlignment="1">
      <alignment horizontal="center" vertical="center" wrapText="1"/>
    </xf>
    <xf numFmtId="164" fontId="31" fillId="0" borderId="0" xfId="1" applyNumberFormat="1" applyFont="1" applyFill="1" applyBorder="1" applyAlignment="1">
      <alignment horizontal="center" vertical="center" wrapText="1"/>
    </xf>
    <xf numFmtId="2" fontId="31" fillId="0" borderId="24" xfId="1" applyNumberFormat="1" applyFont="1" applyFill="1" applyBorder="1" applyAlignment="1">
      <alignment horizontal="center" vertical="center" wrapText="1"/>
    </xf>
    <xf numFmtId="164" fontId="31" fillId="0" borderId="11" xfId="1" applyNumberFormat="1" applyFont="1" applyFill="1" applyBorder="1" applyAlignment="1">
      <alignment horizontal="center" vertical="center" wrapText="1"/>
    </xf>
    <xf numFmtId="164" fontId="31" fillId="0" borderId="24" xfId="1" applyNumberFormat="1" applyFont="1" applyFill="1" applyBorder="1" applyAlignment="1">
      <alignment horizontal="center" vertical="center" wrapText="1"/>
    </xf>
    <xf numFmtId="164" fontId="31" fillId="0" borderId="23" xfId="1" applyNumberFormat="1" applyFont="1" applyFill="1" applyBorder="1" applyAlignment="1">
      <alignment horizontal="center" vertical="center" wrapText="1"/>
    </xf>
    <xf numFmtId="2" fontId="31" fillId="0" borderId="11" xfId="1" applyNumberFormat="1" applyFont="1" applyFill="1" applyBorder="1" applyAlignment="1">
      <alignment horizontal="center" vertical="center" wrapText="1"/>
    </xf>
    <xf numFmtId="0" fontId="35" fillId="0" borderId="0" xfId="1" applyFont="1" applyFill="1" applyBorder="1" applyAlignment="1">
      <alignment horizontal="center" vertical="center" wrapText="1"/>
    </xf>
    <xf numFmtId="0" fontId="35" fillId="0" borderId="24" xfId="1" applyFont="1" applyFill="1" applyBorder="1" applyAlignment="1">
      <alignment horizontal="center" vertical="center" wrapText="1"/>
    </xf>
    <xf numFmtId="165" fontId="31" fillId="0" borderId="11" xfId="1" applyNumberFormat="1" applyFont="1" applyFill="1" applyBorder="1" applyAlignment="1">
      <alignment horizontal="center" vertical="center" wrapText="1"/>
    </xf>
    <xf numFmtId="165" fontId="31" fillId="0" borderId="0" xfId="1" applyNumberFormat="1" applyFont="1" applyFill="1" applyBorder="1" applyAlignment="1">
      <alignment horizontal="center" vertical="center" wrapText="1"/>
    </xf>
    <xf numFmtId="1" fontId="31" fillId="0" borderId="24" xfId="1" applyNumberFormat="1" applyFont="1" applyFill="1" applyBorder="1" applyAlignment="1">
      <alignment horizontal="center" vertical="center" wrapText="1"/>
    </xf>
    <xf numFmtId="1" fontId="31" fillId="0" borderId="23" xfId="1" applyNumberFormat="1" applyFont="1" applyFill="1" applyBorder="1" applyAlignment="1">
      <alignment horizontal="center" vertical="center" wrapText="1"/>
    </xf>
    <xf numFmtId="2" fontId="31" fillId="0" borderId="0" xfId="1" applyNumberFormat="1" applyFont="1" applyFill="1" applyBorder="1" applyAlignment="1">
      <alignment horizontal="center" vertical="center" wrapText="1"/>
    </xf>
    <xf numFmtId="2" fontId="31" fillId="0" borderId="25" xfId="1" applyNumberFormat="1" applyFont="1" applyFill="1" applyBorder="1" applyAlignment="1">
      <alignment horizontal="center" vertical="center" wrapText="1"/>
    </xf>
    <xf numFmtId="2" fontId="31" fillId="0" borderId="22" xfId="1" applyNumberFormat="1" applyFont="1" applyFill="1" applyBorder="1" applyAlignment="1">
      <alignment horizontal="center" vertical="center" wrapText="1"/>
    </xf>
    <xf numFmtId="2" fontId="31" fillId="0" borderId="26" xfId="1" applyNumberFormat="1" applyFont="1" applyFill="1" applyBorder="1" applyAlignment="1">
      <alignment horizontal="center" vertical="center" wrapText="1"/>
    </xf>
    <xf numFmtId="0" fontId="31" fillId="0" borderId="22" xfId="1" applyFont="1" applyFill="1" applyBorder="1" applyAlignment="1">
      <alignment horizontal="center" vertical="center" wrapText="1"/>
    </xf>
    <xf numFmtId="0" fontId="35" fillId="0" borderId="11" xfId="1" applyFont="1" applyFill="1" applyBorder="1" applyAlignment="1">
      <alignment horizontal="center" vertical="center" wrapText="1"/>
    </xf>
    <xf numFmtId="0" fontId="31" fillId="0" borderId="0" xfId="1" applyFont="1" applyFill="1" applyBorder="1" applyAlignment="1">
      <alignment horizontal="center" vertical="center" wrapText="1"/>
    </xf>
    <xf numFmtId="0" fontId="31" fillId="0" borderId="24" xfId="1" applyFont="1" applyFill="1" applyBorder="1" applyAlignment="1">
      <alignment horizontal="center" vertical="center" wrapText="1"/>
    </xf>
    <xf numFmtId="0" fontId="35" fillId="0" borderId="22" xfId="1" applyFont="1" applyFill="1" applyBorder="1" applyAlignment="1">
      <alignment horizontal="center" vertical="center" wrapText="1"/>
    </xf>
    <xf numFmtId="0" fontId="31" fillId="0" borderId="11" xfId="1" applyFont="1" applyFill="1" applyBorder="1" applyAlignment="1">
      <alignment horizontal="center" vertical="center" wrapText="1"/>
    </xf>
    <xf numFmtId="1" fontId="31" fillId="0" borderId="27" xfId="1" applyNumberFormat="1" applyFont="1" applyFill="1" applyBorder="1" applyAlignment="1">
      <alignment horizontal="center" vertical="center" wrapText="1"/>
    </xf>
    <xf numFmtId="0" fontId="35" fillId="0" borderId="28" xfId="1" applyFont="1" applyFill="1" applyBorder="1" applyAlignment="1">
      <alignment vertical="center" wrapText="1"/>
    </xf>
    <xf numFmtId="0" fontId="35" fillId="0" borderId="28" xfId="1" applyFont="1" applyFill="1" applyBorder="1" applyAlignment="1">
      <alignment horizontal="center" vertical="center" wrapText="1"/>
    </xf>
    <xf numFmtId="1" fontId="31" fillId="0" borderId="29" xfId="1" applyNumberFormat="1" applyFont="1" applyFill="1" applyBorder="1" applyAlignment="1">
      <alignment horizontal="center" vertical="center" wrapText="1"/>
    </xf>
    <xf numFmtId="1" fontId="31" fillId="0" borderId="12" xfId="1" applyNumberFormat="1" applyFont="1" applyFill="1" applyBorder="1" applyAlignment="1">
      <alignment horizontal="center" vertical="center" wrapText="1"/>
    </xf>
    <xf numFmtId="164" fontId="31" fillId="0" borderId="12" xfId="1" applyNumberFormat="1" applyFont="1" applyFill="1" applyBorder="1" applyAlignment="1">
      <alignment horizontal="center" vertical="center" wrapText="1"/>
    </xf>
    <xf numFmtId="2" fontId="31" fillId="0" borderId="30" xfId="1" applyNumberFormat="1" applyFont="1" applyFill="1" applyBorder="1" applyAlignment="1">
      <alignment horizontal="center" vertical="center" wrapText="1"/>
    </xf>
    <xf numFmtId="164" fontId="31" fillId="0" borderId="29" xfId="1" applyNumberFormat="1" applyFont="1" applyFill="1" applyBorder="1" applyAlignment="1">
      <alignment horizontal="center" vertical="center" wrapText="1"/>
    </xf>
    <xf numFmtId="164" fontId="31" fillId="0" borderId="30" xfId="1" applyNumberFormat="1" applyFont="1" applyFill="1" applyBorder="1" applyAlignment="1">
      <alignment horizontal="center" vertical="center" wrapText="1"/>
    </xf>
    <xf numFmtId="164" fontId="31" fillId="0" borderId="28" xfId="1" applyNumberFormat="1" applyFont="1" applyFill="1" applyBorder="1" applyAlignment="1">
      <alignment horizontal="center" vertical="center" wrapText="1"/>
    </xf>
    <xf numFmtId="2" fontId="31" fillId="0" borderId="29" xfId="1" applyNumberFormat="1" applyFont="1" applyFill="1" applyBorder="1" applyAlignment="1">
      <alignment horizontal="center" vertical="center" wrapText="1"/>
    </xf>
    <xf numFmtId="0" fontId="35" fillId="0" borderId="12" xfId="1" applyFont="1" applyFill="1" applyBorder="1" applyAlignment="1">
      <alignment horizontal="center" vertical="center" wrapText="1"/>
    </xf>
    <xf numFmtId="0" fontId="35" fillId="0" borderId="30" xfId="1" applyFont="1" applyFill="1" applyBorder="1" applyAlignment="1">
      <alignment horizontal="center" vertical="center" wrapText="1"/>
    </xf>
    <xf numFmtId="165" fontId="31" fillId="0" borderId="29" xfId="1" applyNumberFormat="1" applyFont="1" applyFill="1" applyBorder="1" applyAlignment="1">
      <alignment horizontal="center" vertical="center" wrapText="1"/>
    </xf>
    <xf numFmtId="165" fontId="31" fillId="0" borderId="12" xfId="1" applyNumberFormat="1" applyFont="1" applyFill="1" applyBorder="1" applyAlignment="1">
      <alignment horizontal="center" vertical="center" wrapText="1"/>
    </xf>
    <xf numFmtId="1" fontId="31" fillId="0" borderId="30" xfId="1" applyNumberFormat="1" applyFont="1" applyFill="1" applyBorder="1" applyAlignment="1">
      <alignment horizontal="center" vertical="center" wrapText="1"/>
    </xf>
    <xf numFmtId="1" fontId="31" fillId="0" borderId="28" xfId="1" applyNumberFormat="1" applyFont="1" applyFill="1" applyBorder="1" applyAlignment="1">
      <alignment horizontal="center" vertical="center" wrapText="1"/>
    </xf>
    <xf numFmtId="2" fontId="31" fillId="0" borderId="12" xfId="1" applyNumberFormat="1" applyFont="1" applyFill="1" applyBorder="1" applyAlignment="1">
      <alignment horizontal="center" vertical="center" wrapText="1"/>
    </xf>
    <xf numFmtId="2" fontId="31" fillId="0" borderId="31" xfId="1" applyNumberFormat="1" applyFont="1" applyFill="1" applyBorder="1" applyAlignment="1">
      <alignment horizontal="center" vertical="center" wrapText="1"/>
    </xf>
    <xf numFmtId="2" fontId="31" fillId="0" borderId="27" xfId="1" applyNumberFormat="1" applyFont="1" applyFill="1" applyBorder="1" applyAlignment="1">
      <alignment horizontal="center" vertical="center" wrapText="1"/>
    </xf>
    <xf numFmtId="2" fontId="31" fillId="0" borderId="32" xfId="1" applyNumberFormat="1" applyFont="1" applyFill="1" applyBorder="1" applyAlignment="1">
      <alignment horizontal="center" vertical="center" wrapText="1"/>
    </xf>
    <xf numFmtId="164" fontId="36" fillId="0" borderId="18" xfId="1" applyNumberFormat="1" applyFont="1" applyFill="1" applyBorder="1" applyAlignment="1">
      <alignment horizontal="center" vertical="center" wrapText="1"/>
    </xf>
    <xf numFmtId="168" fontId="37" fillId="0" borderId="20" xfId="1" applyNumberFormat="1" applyFont="1" applyFill="1" applyBorder="1" applyAlignment="1">
      <alignment horizontal="center" vertical="center" wrapText="1"/>
    </xf>
    <xf numFmtId="168" fontId="37" fillId="0" borderId="17" xfId="1" applyNumberFormat="1" applyFont="1" applyFill="1" applyBorder="1" applyAlignment="1">
      <alignment horizontal="center" vertical="center" wrapText="1"/>
    </xf>
    <xf numFmtId="2" fontId="36" fillId="0" borderId="18" xfId="1" applyNumberFormat="1" applyFont="1" applyFill="1" applyBorder="1" applyAlignment="1">
      <alignment horizontal="center" vertical="center" wrapText="1"/>
    </xf>
    <xf numFmtId="2" fontId="31" fillId="0" borderId="17" xfId="1" applyNumberFormat="1" applyFont="1" applyFill="1" applyBorder="1" applyAlignment="1">
      <alignment horizontal="center" vertical="center" wrapText="1"/>
    </xf>
    <xf numFmtId="164" fontId="38" fillId="0" borderId="19" xfId="1" applyNumberFormat="1" applyFont="1" applyFill="1" applyBorder="1" applyAlignment="1">
      <alignment horizontal="center" vertical="center" wrapText="1"/>
    </xf>
    <xf numFmtId="164" fontId="36" fillId="0" borderId="11" xfId="1" applyNumberFormat="1" applyFont="1" applyFill="1" applyBorder="1" applyAlignment="1">
      <alignment horizontal="center" vertical="center" wrapText="1"/>
    </xf>
    <xf numFmtId="168" fontId="37" fillId="0" borderId="24" xfId="1" applyNumberFormat="1" applyFont="1" applyFill="1" applyBorder="1" applyAlignment="1">
      <alignment horizontal="center" vertical="center" wrapText="1"/>
    </xf>
    <xf numFmtId="168" fontId="37" fillId="0" borderId="23" xfId="1" applyNumberFormat="1" applyFont="1" applyFill="1" applyBorder="1" applyAlignment="1">
      <alignment horizontal="center" vertical="center" wrapText="1"/>
    </xf>
    <xf numFmtId="2" fontId="36" fillId="0" borderId="11" xfId="1" applyNumberFormat="1" applyFont="1" applyFill="1" applyBorder="1" applyAlignment="1">
      <alignment horizontal="center" vertical="center" wrapText="1"/>
    </xf>
    <xf numFmtId="164" fontId="38" fillId="0" borderId="0" xfId="1" applyNumberFormat="1" applyFont="1" applyFill="1" applyBorder="1" applyAlignment="1">
      <alignment horizontal="center" vertical="center" wrapText="1"/>
    </xf>
    <xf numFmtId="2" fontId="31" fillId="0" borderId="23" xfId="1" applyNumberFormat="1" applyFont="1" applyFill="1" applyBorder="1" applyAlignment="1">
      <alignment horizontal="center" vertical="center" wrapText="1"/>
    </xf>
    <xf numFmtId="2" fontId="35" fillId="0" borderId="24" xfId="1" applyNumberFormat="1" applyFont="1" applyFill="1" applyBorder="1" applyAlignment="1">
      <alignment horizontal="center" vertical="center" wrapText="1"/>
    </xf>
    <xf numFmtId="0" fontId="35" fillId="0" borderId="11" xfId="1" applyFont="1" applyFill="1" applyBorder="1" applyAlignment="1">
      <alignment vertical="center" wrapText="1"/>
    </xf>
    <xf numFmtId="0" fontId="35" fillId="0" borderId="0" xfId="1" applyFont="1" applyFill="1" applyBorder="1" applyAlignment="1">
      <alignment vertical="center" wrapText="1"/>
    </xf>
    <xf numFmtId="164" fontId="36" fillId="0" borderId="29" xfId="1" applyNumberFormat="1" applyFont="1" applyFill="1" applyBorder="1" applyAlignment="1">
      <alignment horizontal="center" vertical="center" wrapText="1"/>
    </xf>
    <xf numFmtId="168" fontId="37" fillId="0" borderId="30" xfId="1" applyNumberFormat="1" applyFont="1" applyFill="1" applyBorder="1" applyAlignment="1">
      <alignment horizontal="center" vertical="center" wrapText="1"/>
    </xf>
    <xf numFmtId="2" fontId="36" fillId="0" borderId="29" xfId="1" applyNumberFormat="1" applyFont="1" applyFill="1" applyBorder="1" applyAlignment="1">
      <alignment horizontal="center" vertical="center" wrapText="1"/>
    </xf>
    <xf numFmtId="2" fontId="31" fillId="0" borderId="28" xfId="1" applyNumberFormat="1" applyFont="1" applyFill="1" applyBorder="1" applyAlignment="1">
      <alignment horizontal="center" vertical="center" wrapText="1"/>
    </xf>
    <xf numFmtId="0" fontId="35" fillId="0" borderId="29" xfId="1" applyFont="1" applyFill="1" applyBorder="1" applyAlignment="1">
      <alignment vertical="center" wrapText="1"/>
    </xf>
    <xf numFmtId="0" fontId="35" fillId="0" borderId="12" xfId="1" applyFont="1" applyFill="1" applyBorder="1" applyAlignment="1">
      <alignment vertical="center" wrapText="1"/>
    </xf>
    <xf numFmtId="0" fontId="35" fillId="0" borderId="18" xfId="1" applyFont="1" applyFill="1" applyBorder="1" applyAlignment="1">
      <alignment vertical="center" wrapText="1"/>
    </xf>
    <xf numFmtId="0" fontId="35" fillId="0" borderId="19" xfId="1" applyFont="1" applyFill="1" applyBorder="1" applyAlignment="1">
      <alignment vertical="center" wrapText="1"/>
    </xf>
    <xf numFmtId="164" fontId="36" fillId="0" borderId="20" xfId="1" applyNumberFormat="1" applyFont="1" applyFill="1" applyBorder="1" applyAlignment="1">
      <alignment horizontal="center" vertical="center" wrapText="1"/>
    </xf>
    <xf numFmtId="0" fontId="35" fillId="0" borderId="21" xfId="1" applyFont="1" applyFill="1" applyBorder="1" applyAlignment="1">
      <alignment horizontal="center" vertical="center" wrapText="1"/>
    </xf>
    <xf numFmtId="164" fontId="36" fillId="0" borderId="24" xfId="1" applyNumberFormat="1" applyFont="1" applyFill="1" applyBorder="1" applyAlignment="1">
      <alignment horizontal="center" vertical="center" wrapText="1"/>
    </xf>
    <xf numFmtId="0" fontId="35" fillId="0" borderId="25" xfId="1" applyFont="1" applyFill="1" applyBorder="1" applyAlignment="1">
      <alignment horizontal="center" vertical="center" wrapText="1"/>
    </xf>
    <xf numFmtId="0" fontId="35" fillId="0" borderId="33" xfId="1" applyFont="1" applyFill="1" applyBorder="1" applyAlignment="1">
      <alignment horizontal="center" vertical="center" wrapText="1"/>
    </xf>
    <xf numFmtId="0" fontId="35" fillId="0" borderId="31" xfId="1" applyFont="1" applyFill="1" applyBorder="1" applyAlignment="1">
      <alignment horizontal="center" vertical="center" wrapText="1"/>
    </xf>
    <xf numFmtId="164" fontId="36" fillId="0" borderId="30" xfId="1" applyNumberFormat="1" applyFont="1" applyFill="1" applyBorder="1" applyAlignment="1">
      <alignment horizontal="center" vertical="center" wrapText="1"/>
    </xf>
    <xf numFmtId="0" fontId="2" fillId="0" borderId="13" xfId="1" applyFont="1" applyFill="1" applyBorder="1" applyAlignment="1">
      <alignment horizontal="center" vertical="top"/>
    </xf>
    <xf numFmtId="2" fontId="2" fillId="0" borderId="13" xfId="1" applyNumberFormat="1" applyFont="1" applyFill="1" applyBorder="1" applyAlignment="1">
      <alignment horizontal="center" vertical="top"/>
    </xf>
    <xf numFmtId="168" fontId="37" fillId="0" borderId="28" xfId="1" applyNumberFormat="1" applyFont="1" applyFill="1" applyBorder="1" applyAlignment="1">
      <alignment horizontal="center" vertical="center" wrapText="1"/>
    </xf>
    <xf numFmtId="164" fontId="36" fillId="0" borderId="19" xfId="1" applyNumberFormat="1" applyFont="1" applyFill="1" applyBorder="1" applyAlignment="1">
      <alignment horizontal="center" vertical="center" wrapText="1"/>
    </xf>
    <xf numFmtId="169" fontId="37" fillId="0" borderId="19" xfId="1" applyNumberFormat="1" applyFont="1" applyFill="1" applyBorder="1" applyAlignment="1">
      <alignment horizontal="center" vertical="center" wrapText="1"/>
    </xf>
    <xf numFmtId="164" fontId="36" fillId="0" borderId="0" xfId="1" applyNumberFormat="1" applyFont="1" applyFill="1" applyBorder="1" applyAlignment="1">
      <alignment horizontal="center" vertical="center" wrapText="1"/>
    </xf>
    <xf numFmtId="169" fontId="37" fillId="0" borderId="0" xfId="1" applyNumberFormat="1" applyFont="1" applyFill="1" applyBorder="1" applyAlignment="1">
      <alignment horizontal="center" vertical="center" wrapText="1"/>
    </xf>
    <xf numFmtId="164" fontId="36" fillId="0" borderId="12" xfId="1" applyNumberFormat="1" applyFont="1" applyFill="1" applyBorder="1" applyAlignment="1">
      <alignment horizontal="center" vertical="center" wrapText="1"/>
    </xf>
    <xf numFmtId="169" fontId="37" fillId="0" borderId="12" xfId="1" applyNumberFormat="1" applyFont="1" applyFill="1" applyBorder="1" applyAlignment="1">
      <alignment horizontal="center" vertical="center" wrapText="1"/>
    </xf>
    <xf numFmtId="0" fontId="35" fillId="0" borderId="18" xfId="1" applyFont="1" applyFill="1" applyBorder="1" applyAlignment="1">
      <alignment horizontal="center" vertical="center" wrapText="1"/>
    </xf>
    <xf numFmtId="0" fontId="31" fillId="0" borderId="16" xfId="1" applyFont="1" applyFill="1" applyBorder="1" applyAlignment="1">
      <alignment horizontal="center" vertical="center" wrapText="1"/>
    </xf>
    <xf numFmtId="0" fontId="31" fillId="0" borderId="19" xfId="1" applyFont="1" applyFill="1" applyBorder="1" applyAlignment="1">
      <alignment horizontal="center" vertical="center" wrapText="1"/>
    </xf>
    <xf numFmtId="0" fontId="31" fillId="0" borderId="21" xfId="1" applyFont="1" applyFill="1" applyBorder="1" applyAlignment="1">
      <alignment horizontal="center" vertical="center" wrapText="1"/>
    </xf>
    <xf numFmtId="0" fontId="31" fillId="0" borderId="25" xfId="1" applyFont="1" applyFill="1" applyBorder="1" applyAlignment="1">
      <alignment horizontal="center" vertical="center" wrapText="1"/>
    </xf>
    <xf numFmtId="0" fontId="35" fillId="0" borderId="29" xfId="1" applyFont="1" applyFill="1" applyBorder="1" applyAlignment="1">
      <alignment horizontal="center" vertical="center" wrapText="1"/>
    </xf>
    <xf numFmtId="0" fontId="31" fillId="0" borderId="27" xfId="1" applyFont="1" applyFill="1" applyBorder="1" applyAlignment="1">
      <alignment horizontal="center" vertical="center" wrapText="1"/>
    </xf>
    <xf numFmtId="0" fontId="31" fillId="0" borderId="12" xfId="1" applyFont="1" applyFill="1" applyBorder="1" applyAlignment="1">
      <alignment horizontal="center" vertical="center" wrapText="1"/>
    </xf>
    <xf numFmtId="0" fontId="31" fillId="0" borderId="31" xfId="1" applyFont="1" applyFill="1" applyBorder="1" applyAlignment="1">
      <alignment horizontal="center" vertical="center" wrapText="1"/>
    </xf>
    <xf numFmtId="0" fontId="35" fillId="0" borderId="34" xfId="1" applyFont="1" applyFill="1" applyBorder="1" applyAlignment="1">
      <alignment vertical="center" wrapText="1"/>
    </xf>
    <xf numFmtId="0" fontId="35" fillId="0" borderId="34" xfId="1" applyFont="1" applyFill="1" applyBorder="1" applyAlignment="1">
      <alignment horizontal="center" vertical="center" wrapText="1"/>
    </xf>
    <xf numFmtId="1" fontId="31" fillId="0" borderId="35" xfId="1" applyNumberFormat="1" applyFont="1" applyFill="1" applyBorder="1" applyAlignment="1">
      <alignment horizontal="center" vertical="center" wrapText="1"/>
    </xf>
    <xf numFmtId="1" fontId="31" fillId="0" borderId="36" xfId="1" applyNumberFormat="1" applyFont="1" applyFill="1" applyBorder="1" applyAlignment="1">
      <alignment horizontal="center" vertical="center" wrapText="1"/>
    </xf>
    <xf numFmtId="164" fontId="31" fillId="0" borderId="36" xfId="1" applyNumberFormat="1" applyFont="1" applyFill="1" applyBorder="1" applyAlignment="1">
      <alignment horizontal="center" vertical="center" wrapText="1"/>
    </xf>
    <xf numFmtId="2" fontId="31" fillId="0" borderId="37" xfId="1" applyNumberFormat="1" applyFont="1" applyFill="1" applyBorder="1" applyAlignment="1">
      <alignment horizontal="center" vertical="center" wrapText="1"/>
    </xf>
    <xf numFmtId="164" fontId="36" fillId="0" borderId="35" xfId="1" applyNumberFormat="1" applyFont="1" applyFill="1" applyBorder="1" applyAlignment="1">
      <alignment horizontal="center" vertical="center" wrapText="1"/>
    </xf>
    <xf numFmtId="168" fontId="37" fillId="0" borderId="37" xfId="1" applyNumberFormat="1" applyFont="1" applyFill="1" applyBorder="1" applyAlignment="1">
      <alignment horizontal="center" vertical="center" wrapText="1"/>
    </xf>
    <xf numFmtId="168" fontId="37" fillId="0" borderId="34" xfId="1" applyNumberFormat="1" applyFont="1" applyFill="1" applyBorder="1" applyAlignment="1">
      <alignment horizontal="center" vertical="center" wrapText="1"/>
    </xf>
    <xf numFmtId="2" fontId="36" fillId="0" borderId="35" xfId="1" applyNumberFormat="1" applyFont="1" applyFill="1" applyBorder="1" applyAlignment="1">
      <alignment horizontal="center" vertical="center" wrapText="1"/>
    </xf>
    <xf numFmtId="0" fontId="35" fillId="0" borderId="36" xfId="1" applyFont="1" applyFill="1" applyBorder="1" applyAlignment="1">
      <alignment horizontal="center" vertical="center" wrapText="1"/>
    </xf>
    <xf numFmtId="0" fontId="35" fillId="0" borderId="37" xfId="1" applyFont="1" applyFill="1" applyBorder="1" applyAlignment="1">
      <alignment horizontal="center" vertical="center" wrapText="1"/>
    </xf>
    <xf numFmtId="165" fontId="31" fillId="0" borderId="35" xfId="1" applyNumberFormat="1" applyFont="1" applyFill="1" applyBorder="1" applyAlignment="1">
      <alignment horizontal="center" vertical="center" wrapText="1"/>
    </xf>
    <xf numFmtId="165" fontId="31" fillId="0" borderId="36" xfId="1" applyNumberFormat="1" applyFont="1" applyFill="1" applyBorder="1" applyAlignment="1">
      <alignment horizontal="center" vertical="center" wrapText="1"/>
    </xf>
    <xf numFmtId="1" fontId="31" fillId="0" borderId="37" xfId="1" applyNumberFormat="1" applyFont="1" applyFill="1" applyBorder="1" applyAlignment="1">
      <alignment horizontal="center" vertical="center" wrapText="1"/>
    </xf>
    <xf numFmtId="2" fontId="31" fillId="0" borderId="34" xfId="1" applyNumberFormat="1" applyFont="1" applyFill="1" applyBorder="1" applyAlignment="1">
      <alignment horizontal="center" vertical="center" wrapText="1"/>
    </xf>
    <xf numFmtId="1" fontId="31" fillId="0" borderId="34" xfId="1" applyNumberFormat="1" applyFont="1" applyFill="1" applyBorder="1" applyAlignment="1">
      <alignment horizontal="center" vertical="center" wrapText="1"/>
    </xf>
    <xf numFmtId="164" fontId="36" fillId="0" borderId="37" xfId="1" applyNumberFormat="1" applyFont="1" applyFill="1" applyBorder="1" applyAlignment="1">
      <alignment horizontal="center" vertical="center" wrapText="1"/>
    </xf>
    <xf numFmtId="2" fontId="31" fillId="0" borderId="36" xfId="1" applyNumberFormat="1" applyFont="1" applyFill="1" applyBorder="1" applyAlignment="1">
      <alignment horizontal="center" vertical="center" wrapText="1"/>
    </xf>
    <xf numFmtId="0" fontId="35" fillId="0" borderId="38" xfId="1" applyFont="1" applyFill="1" applyBorder="1" applyAlignment="1">
      <alignment vertical="center" wrapText="1"/>
    </xf>
    <xf numFmtId="0" fontId="35" fillId="0" borderId="38" xfId="1" applyFont="1" applyFill="1" applyBorder="1" applyAlignment="1">
      <alignment horizontal="center" vertical="center" wrapText="1"/>
    </xf>
    <xf numFmtId="1" fontId="31" fillId="0" borderId="33" xfId="1" applyNumberFormat="1" applyFont="1" applyFill="1" applyBorder="1" applyAlignment="1">
      <alignment horizontal="center" vertical="center" wrapText="1"/>
    </xf>
    <xf numFmtId="1" fontId="31" fillId="0" borderId="13" xfId="1" applyNumberFormat="1" applyFont="1" applyFill="1" applyBorder="1" applyAlignment="1">
      <alignment horizontal="center" vertical="center" wrapText="1"/>
    </xf>
    <xf numFmtId="164" fontId="31" fillId="0" borderId="13" xfId="1" applyNumberFormat="1" applyFont="1" applyFill="1" applyBorder="1" applyAlignment="1">
      <alignment horizontal="center" vertical="center" wrapText="1"/>
    </xf>
    <xf numFmtId="2" fontId="31" fillId="0" borderId="39" xfId="1" applyNumberFormat="1" applyFont="1" applyFill="1" applyBorder="1" applyAlignment="1">
      <alignment horizontal="center" vertical="center" wrapText="1"/>
    </xf>
    <xf numFmtId="164" fontId="36" fillId="0" borderId="33" xfId="1" applyNumberFormat="1" applyFont="1" applyFill="1" applyBorder="1" applyAlignment="1">
      <alignment horizontal="center" vertical="center" wrapText="1"/>
    </xf>
    <xf numFmtId="2" fontId="36" fillId="0" borderId="33" xfId="1" applyNumberFormat="1" applyFont="1" applyFill="1" applyBorder="1" applyAlignment="1">
      <alignment horizontal="center" vertical="center" wrapText="1"/>
    </xf>
    <xf numFmtId="0" fontId="35" fillId="0" borderId="13" xfId="1" applyFont="1" applyFill="1" applyBorder="1" applyAlignment="1">
      <alignment horizontal="center" vertical="center" wrapText="1"/>
    </xf>
    <xf numFmtId="0" fontId="35" fillId="0" borderId="39" xfId="1" applyFont="1" applyFill="1" applyBorder="1" applyAlignment="1">
      <alignment horizontal="center" vertical="center" wrapText="1"/>
    </xf>
    <xf numFmtId="165" fontId="31" fillId="0" borderId="33" xfId="1" applyNumberFormat="1" applyFont="1" applyFill="1" applyBorder="1" applyAlignment="1">
      <alignment horizontal="center" vertical="center" wrapText="1"/>
    </xf>
    <xf numFmtId="165" fontId="31" fillId="0" borderId="13" xfId="1" applyNumberFormat="1" applyFont="1" applyFill="1" applyBorder="1" applyAlignment="1">
      <alignment horizontal="center" vertical="center" wrapText="1"/>
    </xf>
    <xf numFmtId="1" fontId="31" fillId="0" borderId="39" xfId="1" applyNumberFormat="1" applyFont="1" applyFill="1" applyBorder="1" applyAlignment="1">
      <alignment horizontal="center" vertical="center" wrapText="1"/>
    </xf>
    <xf numFmtId="2" fontId="31" fillId="0" borderId="38" xfId="1" applyNumberFormat="1" applyFont="1" applyFill="1" applyBorder="1" applyAlignment="1">
      <alignment horizontal="center" vertical="center" wrapText="1"/>
    </xf>
    <xf numFmtId="1" fontId="31" fillId="0" borderId="38" xfId="1" applyNumberFormat="1" applyFont="1" applyFill="1" applyBorder="1" applyAlignment="1">
      <alignment horizontal="center" vertical="center" wrapText="1"/>
    </xf>
    <xf numFmtId="164" fontId="36" fillId="0" borderId="39" xfId="1" applyNumberFormat="1" applyFont="1" applyFill="1" applyBorder="1" applyAlignment="1">
      <alignment horizontal="center" vertical="center" wrapText="1"/>
    </xf>
    <xf numFmtId="2" fontId="31" fillId="0" borderId="13" xfId="1" applyNumberFormat="1" applyFont="1" applyFill="1" applyBorder="1" applyAlignment="1">
      <alignment horizontal="center" vertical="center" wrapText="1"/>
    </xf>
    <xf numFmtId="164" fontId="31" fillId="0" borderId="34" xfId="1" applyNumberFormat="1" applyFont="1" applyFill="1" applyBorder="1" applyAlignment="1">
      <alignment horizontal="center" vertical="center" wrapText="1"/>
    </xf>
    <xf numFmtId="164" fontId="31" fillId="0" borderId="35" xfId="1" applyNumberFormat="1" applyFont="1" applyFill="1" applyBorder="1" applyAlignment="1">
      <alignment horizontal="center" vertical="center" wrapText="1"/>
    </xf>
    <xf numFmtId="167" fontId="31" fillId="0" borderId="36" xfId="1" applyNumberFormat="1" applyFont="1" applyFill="1" applyBorder="1" applyAlignment="1">
      <alignment horizontal="center" vertical="center" wrapText="1"/>
    </xf>
    <xf numFmtId="167" fontId="31" fillId="0" borderId="0" xfId="1" applyNumberFormat="1" applyFont="1" applyFill="1" applyBorder="1" applyAlignment="1">
      <alignment horizontal="center" vertical="center" wrapText="1"/>
    </xf>
    <xf numFmtId="0" fontId="37" fillId="0" borderId="24" xfId="1" applyFont="1" applyFill="1" applyBorder="1" applyAlignment="1">
      <alignment horizontal="center" vertical="center" wrapText="1"/>
    </xf>
    <xf numFmtId="167" fontId="31" fillId="0" borderId="13" xfId="1" applyNumberFormat="1" applyFont="1" applyFill="1" applyBorder="1" applyAlignment="1">
      <alignment horizontal="center" vertical="center" wrapText="1"/>
    </xf>
    <xf numFmtId="168" fontId="37" fillId="0" borderId="39" xfId="1" applyNumberFormat="1" applyFont="1" applyFill="1" applyBorder="1" applyAlignment="1">
      <alignment horizontal="center" vertical="center" wrapText="1"/>
    </xf>
    <xf numFmtId="164" fontId="31" fillId="0" borderId="38" xfId="1" applyNumberFormat="1" applyFont="1" applyFill="1" applyBorder="1" applyAlignment="1">
      <alignment horizontal="center" vertical="center" wrapText="1"/>
    </xf>
    <xf numFmtId="164" fontId="31" fillId="0" borderId="33" xfId="1" applyNumberFormat="1" applyFont="1" applyFill="1" applyBorder="1" applyAlignment="1">
      <alignment horizontal="center" vertical="center" wrapText="1"/>
    </xf>
    <xf numFmtId="168" fontId="37" fillId="0" borderId="38" xfId="1" applyNumberFormat="1" applyFont="1" applyFill="1" applyBorder="1" applyAlignment="1">
      <alignment horizontal="center" vertical="center" wrapText="1"/>
    </xf>
    <xf numFmtId="166" fontId="31" fillId="0" borderId="11" xfId="1" applyNumberFormat="1" applyFont="1" applyFill="1" applyBorder="1" applyAlignment="1">
      <alignment horizontal="center" vertical="center" wrapText="1"/>
    </xf>
    <xf numFmtId="166" fontId="31" fillId="0" borderId="29" xfId="1" applyNumberFormat="1" applyFont="1" applyFill="1" applyBorder="1" applyAlignment="1">
      <alignment horizontal="center" vertical="center" wrapText="1"/>
    </xf>
    <xf numFmtId="167" fontId="31" fillId="0" borderId="18" xfId="1" applyNumberFormat="1" applyFont="1" applyFill="1" applyBorder="1" applyAlignment="1">
      <alignment horizontal="center" vertical="center" wrapText="1"/>
    </xf>
    <xf numFmtId="166" fontId="31" fillId="0" borderId="19" xfId="1" applyNumberFormat="1" applyFont="1" applyFill="1" applyBorder="1" applyAlignment="1">
      <alignment horizontal="center" vertical="center" wrapText="1"/>
    </xf>
    <xf numFmtId="167" fontId="31" fillId="0" borderId="11" xfId="1" applyNumberFormat="1" applyFont="1" applyFill="1" applyBorder="1" applyAlignment="1">
      <alignment horizontal="center" vertical="center" wrapText="1"/>
    </xf>
    <xf numFmtId="166" fontId="31" fillId="0" borderId="0" xfId="1" applyNumberFormat="1" applyFont="1" applyFill="1" applyBorder="1" applyAlignment="1">
      <alignment horizontal="center" vertical="center" wrapText="1"/>
    </xf>
    <xf numFmtId="166" fontId="31" fillId="0" borderId="12" xfId="1" applyNumberFormat="1" applyFont="1" applyFill="1" applyBorder="1" applyAlignment="1">
      <alignment horizontal="center" vertical="center" wrapText="1"/>
    </xf>
    <xf numFmtId="166" fontId="31" fillId="0" borderId="18" xfId="1" applyNumberFormat="1" applyFont="1" applyFill="1" applyBorder="1" applyAlignment="1">
      <alignment horizontal="center" vertical="center" wrapText="1"/>
    </xf>
    <xf numFmtId="1" fontId="40" fillId="0" borderId="19" xfId="1" applyNumberFormat="1" applyFont="1" applyFill="1" applyBorder="1" applyAlignment="1">
      <alignment horizontal="center" vertical="center" wrapText="1"/>
    </xf>
    <xf numFmtId="170" fontId="37" fillId="0" borderId="18" xfId="1" applyNumberFormat="1" applyFont="1" applyFill="1" applyBorder="1" applyAlignment="1">
      <alignment horizontal="center" vertical="center" wrapText="1"/>
    </xf>
    <xf numFmtId="2" fontId="40" fillId="0" borderId="18" xfId="1" applyNumberFormat="1" applyFont="1" applyFill="1" applyBorder="1" applyAlignment="1">
      <alignment horizontal="center" vertical="center" wrapText="1"/>
    </xf>
    <xf numFmtId="1" fontId="40" fillId="0" borderId="0" xfId="1" applyNumberFormat="1" applyFont="1" applyFill="1" applyBorder="1" applyAlignment="1">
      <alignment horizontal="center" vertical="center" wrapText="1"/>
    </xf>
    <xf numFmtId="170" fontId="37" fillId="0" borderId="11" xfId="1" applyNumberFormat="1" applyFont="1" applyFill="1" applyBorder="1" applyAlignment="1">
      <alignment horizontal="center" vertical="center" wrapText="1"/>
    </xf>
    <xf numFmtId="2" fontId="40" fillId="0" borderId="11" xfId="1" applyNumberFormat="1" applyFont="1" applyFill="1" applyBorder="1" applyAlignment="1">
      <alignment horizontal="center" vertical="center" wrapText="1"/>
    </xf>
    <xf numFmtId="1" fontId="40" fillId="0" borderId="12" xfId="1" applyNumberFormat="1" applyFont="1" applyFill="1" applyBorder="1" applyAlignment="1">
      <alignment horizontal="center" vertical="center" wrapText="1"/>
    </xf>
    <xf numFmtId="170" fontId="37" fillId="0" borderId="29" xfId="1" applyNumberFormat="1" applyFont="1" applyFill="1" applyBorder="1" applyAlignment="1">
      <alignment horizontal="center" vertical="center" wrapText="1"/>
    </xf>
    <xf numFmtId="2" fontId="40" fillId="0" borderId="29" xfId="1" applyNumberFormat="1" applyFont="1" applyFill="1" applyBorder="1" applyAlignment="1">
      <alignment horizontal="center" vertical="center" wrapText="1"/>
    </xf>
    <xf numFmtId="1" fontId="40" fillId="0" borderId="13" xfId="1" applyNumberFormat="1" applyFont="1" applyFill="1" applyBorder="1" applyAlignment="1">
      <alignment horizontal="center" vertical="center" wrapText="1"/>
    </xf>
    <xf numFmtId="2" fontId="31" fillId="0" borderId="33" xfId="1" applyNumberFormat="1" applyFont="1" applyFill="1" applyBorder="1" applyAlignment="1">
      <alignment horizontal="center" vertical="center" wrapText="1"/>
    </xf>
    <xf numFmtId="166" fontId="31" fillId="0" borderId="33" xfId="1" applyNumberFormat="1" applyFont="1" applyFill="1" applyBorder="1" applyAlignment="1">
      <alignment horizontal="center" vertical="center" wrapText="1"/>
    </xf>
    <xf numFmtId="166" fontId="31" fillId="0" borderId="13" xfId="1" applyNumberFormat="1" applyFont="1" applyFill="1" applyBorder="1" applyAlignment="1">
      <alignment horizontal="center" vertical="center" wrapText="1"/>
    </xf>
    <xf numFmtId="164" fontId="31" fillId="0" borderId="39" xfId="1" applyNumberFormat="1" applyFont="1" applyFill="1" applyBorder="1" applyAlignment="1">
      <alignment horizontal="center" vertical="center" wrapText="1"/>
    </xf>
    <xf numFmtId="1" fontId="2" fillId="0" borderId="0" xfId="1" applyNumberFormat="1" applyFont="1" applyFill="1" applyBorder="1" applyAlignment="1">
      <alignment horizontal="left" vertical="top"/>
    </xf>
    <xf numFmtId="1" fontId="43" fillId="0" borderId="0" xfId="1" applyNumberFormat="1" applyFont="1" applyFill="1" applyBorder="1" applyAlignment="1">
      <alignment horizontal="center" vertical="center" wrapText="1"/>
    </xf>
    <xf numFmtId="1" fontId="2" fillId="0" borderId="0" xfId="1" applyNumberFormat="1" applyFont="1" applyFill="1" applyBorder="1" applyAlignment="1">
      <alignment horizontal="center" vertical="center" wrapText="1"/>
    </xf>
    <xf numFmtId="0" fontId="23" fillId="0" borderId="13" xfId="0" applyFont="1" applyBorder="1" applyAlignment="1">
      <alignment horizontal="center" vertical="center"/>
    </xf>
    <xf numFmtId="1" fontId="43" fillId="0" borderId="13" xfId="1" applyNumberFormat="1" applyFont="1" applyFill="1" applyBorder="1" applyAlignment="1">
      <alignment horizontal="center" vertical="center" wrapText="1"/>
    </xf>
    <xf numFmtId="2" fontId="0" fillId="0" borderId="0" xfId="0" applyNumberFormat="1" applyAlignment="1">
      <alignment horizontal="center"/>
    </xf>
    <xf numFmtId="164" fontId="0" fillId="0" borderId="0" xfId="0" applyNumberFormat="1" applyAlignment="1">
      <alignment horizontal="center"/>
    </xf>
    <xf numFmtId="1" fontId="0" fillId="0" borderId="0" xfId="0" applyNumberFormat="1" applyAlignment="1">
      <alignment horizontal="center"/>
    </xf>
    <xf numFmtId="0" fontId="0" fillId="7" borderId="13" xfId="0" applyFill="1" applyBorder="1" applyAlignment="1">
      <alignment horizontal="center"/>
    </xf>
    <xf numFmtId="0" fontId="1" fillId="0" borderId="10" xfId="0" applyFont="1" applyBorder="1" applyAlignment="1">
      <alignment horizontal="center" vertical="center"/>
    </xf>
    <xf numFmtId="0" fontId="25" fillId="0" borderId="0" xfId="0" applyFont="1" applyBorder="1" applyAlignment="1">
      <alignment horizontal="left" vertical="center"/>
    </xf>
    <xf numFmtId="0" fontId="23" fillId="0" borderId="40" xfId="0" applyFont="1" applyBorder="1" applyAlignment="1">
      <alignment horizontal="center"/>
    </xf>
    <xf numFmtId="0" fontId="1" fillId="0" borderId="40" xfId="0" applyFont="1" applyBorder="1" applyAlignment="1">
      <alignment horizontal="center"/>
    </xf>
    <xf numFmtId="3" fontId="1" fillId="0" borderId="40" xfId="0" applyNumberFormat="1" applyFont="1" applyBorder="1" applyAlignment="1">
      <alignment horizontal="center" vertical="center"/>
    </xf>
    <xf numFmtId="0" fontId="1" fillId="0" borderId="40" xfId="0" quotePrefix="1" applyNumberFormat="1" applyFont="1" applyBorder="1" applyAlignment="1">
      <alignment horizontal="center"/>
    </xf>
    <xf numFmtId="0" fontId="23" fillId="8" borderId="10" xfId="0" applyFont="1" applyFill="1" applyBorder="1" applyAlignment="1">
      <alignment horizontal="center" vertical="center" wrapText="1"/>
    </xf>
    <xf numFmtId="0" fontId="1" fillId="8" borderId="10" xfId="0" applyFont="1" applyFill="1" applyBorder="1" applyAlignment="1">
      <alignment horizontal="center" vertical="center" wrapText="1"/>
    </xf>
    <xf numFmtId="0" fontId="1" fillId="8" borderId="10" xfId="0" applyFont="1" applyFill="1" applyBorder="1" applyAlignment="1">
      <alignment horizontal="center"/>
    </xf>
    <xf numFmtId="0" fontId="1" fillId="8" borderId="0" xfId="0" applyFont="1" applyFill="1" applyBorder="1" applyAlignment="1">
      <alignment vertical="center" wrapText="1"/>
    </xf>
    <xf numFmtId="0" fontId="1" fillId="8" borderId="0" xfId="0" applyFont="1" applyFill="1" applyAlignment="1">
      <alignment horizontal="center"/>
    </xf>
    <xf numFmtId="0" fontId="1" fillId="8" borderId="0" xfId="0" applyFont="1" applyFill="1"/>
    <xf numFmtId="0" fontId="1" fillId="0" borderId="0" xfId="0" applyFont="1" applyBorder="1" applyAlignment="1">
      <alignment horizontal="center" vertical="center"/>
    </xf>
    <xf numFmtId="0" fontId="5" fillId="0" borderId="13" xfId="0" applyFont="1" applyFill="1" applyBorder="1" applyAlignment="1">
      <alignment horizontal="center" vertical="center"/>
    </xf>
    <xf numFmtId="0" fontId="26" fillId="6" borderId="10" xfId="0" applyFont="1" applyFill="1" applyBorder="1" applyAlignment="1">
      <alignment horizontal="center" vertical="center" wrapText="1"/>
    </xf>
    <xf numFmtId="0" fontId="1" fillId="0" borderId="40" xfId="0" applyFont="1" applyBorder="1" applyAlignment="1">
      <alignment horizontal="center"/>
    </xf>
    <xf numFmtId="0" fontId="22" fillId="6" borderId="10" xfId="0" applyFont="1" applyFill="1" applyBorder="1" applyAlignment="1">
      <alignment horizontal="center" vertical="center" wrapText="1"/>
    </xf>
    <xf numFmtId="0" fontId="1" fillId="9" borderId="0" xfId="0" applyFont="1" applyFill="1" applyBorder="1" applyAlignment="1">
      <alignment horizontal="center" vertical="center"/>
    </xf>
    <xf numFmtId="0" fontId="22" fillId="9" borderId="0" xfId="0" applyFont="1" applyFill="1" applyBorder="1" applyAlignment="1">
      <alignment horizontal="center" vertical="center"/>
    </xf>
    <xf numFmtId="0" fontId="28" fillId="0" borderId="13" xfId="0" applyFont="1" applyFill="1" applyBorder="1" applyAlignment="1">
      <alignment horizontal="center" vertical="center"/>
    </xf>
    <xf numFmtId="0" fontId="22" fillId="0" borderId="13" xfId="0" applyFont="1" applyFill="1" applyBorder="1" applyAlignment="1">
      <alignment horizontal="center" vertical="center"/>
    </xf>
    <xf numFmtId="0" fontId="2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23" fillId="0" borderId="0" xfId="0" applyFont="1" applyFill="1" applyBorder="1" applyAlignment="1">
      <alignment horizontal="left"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  <xf numFmtId="0" fontId="23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left" vertical="center"/>
    </xf>
    <xf numFmtId="0" fontId="26" fillId="0" borderId="0" xfId="0" applyFont="1" applyFill="1" applyBorder="1" applyAlignment="1">
      <alignment horizontal="left" vertical="center"/>
    </xf>
    <xf numFmtId="0" fontId="41" fillId="0" borderId="0" xfId="0" applyFont="1" applyFill="1" applyBorder="1" applyAlignment="1">
      <alignment horizontal="left" vertical="center"/>
    </xf>
    <xf numFmtId="0" fontId="48" fillId="0" borderId="0" xfId="0" applyFont="1" applyFill="1" applyBorder="1" applyAlignment="1">
      <alignment horizontal="left" vertical="center"/>
    </xf>
    <xf numFmtId="0" fontId="1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/>
    </xf>
    <xf numFmtId="164" fontId="1" fillId="0" borderId="0" xfId="0" applyNumberFormat="1" applyFont="1" applyFill="1" applyBorder="1" applyAlignment="1">
      <alignment horizontal="center" vertical="center"/>
    </xf>
    <xf numFmtId="164" fontId="27" fillId="0" borderId="0" xfId="0" applyNumberFormat="1" applyFont="1" applyFill="1" applyBorder="1" applyAlignment="1">
      <alignment horizontal="center" vertical="center"/>
    </xf>
    <xf numFmtId="2" fontId="27" fillId="0" borderId="0" xfId="0" applyNumberFormat="1" applyFont="1" applyFill="1" applyBorder="1" applyAlignment="1">
      <alignment horizontal="center" vertical="center"/>
    </xf>
    <xf numFmtId="164" fontId="22" fillId="0" borderId="0" xfId="0" applyNumberFormat="1" applyFont="1" applyFill="1" applyBorder="1" applyAlignment="1">
      <alignment horizontal="center" vertical="center"/>
    </xf>
    <xf numFmtId="1" fontId="1" fillId="0" borderId="0" xfId="0" applyNumberFormat="1" applyFont="1" applyFill="1" applyBorder="1" applyAlignment="1">
      <alignment horizontal="center" vertical="center"/>
    </xf>
    <xf numFmtId="1" fontId="22" fillId="0" borderId="0" xfId="0" applyNumberFormat="1" applyFont="1" applyFill="1" applyBorder="1" applyAlignment="1">
      <alignment horizontal="center" vertical="center"/>
    </xf>
    <xf numFmtId="167" fontId="27" fillId="0" borderId="0" xfId="0" applyNumberFormat="1" applyFont="1" applyFill="1" applyBorder="1" applyAlignment="1">
      <alignment horizontal="center" vertical="center"/>
    </xf>
    <xf numFmtId="3" fontId="1" fillId="0" borderId="0" xfId="0" applyNumberFormat="1" applyFont="1" applyFill="1" applyBorder="1" applyAlignment="1">
      <alignment horizontal="center" vertical="center"/>
    </xf>
    <xf numFmtId="0" fontId="1" fillId="0" borderId="13" xfId="0" applyFont="1" applyFill="1" applyBorder="1" applyAlignment="1">
      <alignment horizontal="center" vertical="center"/>
    </xf>
    <xf numFmtId="0" fontId="27" fillId="0" borderId="13" xfId="0" applyFont="1" applyFill="1" applyBorder="1" applyAlignment="1">
      <alignment horizontal="center" vertical="center"/>
    </xf>
    <xf numFmtId="164" fontId="1" fillId="0" borderId="13" xfId="0" applyNumberFormat="1" applyFont="1" applyFill="1" applyBorder="1" applyAlignment="1">
      <alignment horizontal="center" vertical="center"/>
    </xf>
    <xf numFmtId="164" fontId="27" fillId="0" borderId="13" xfId="0" applyNumberFormat="1" applyFont="1" applyFill="1" applyBorder="1" applyAlignment="1">
      <alignment horizontal="center" vertical="center"/>
    </xf>
    <xf numFmtId="2" fontId="27" fillId="0" borderId="13" xfId="0" applyNumberFormat="1" applyFont="1" applyFill="1" applyBorder="1" applyAlignment="1">
      <alignment horizontal="center" vertical="center"/>
    </xf>
    <xf numFmtId="164" fontId="22" fillId="0" borderId="13" xfId="0" applyNumberFormat="1" applyFont="1" applyFill="1" applyBorder="1" applyAlignment="1">
      <alignment horizontal="center" vertical="center"/>
    </xf>
    <xf numFmtId="1" fontId="1" fillId="0" borderId="13" xfId="0" applyNumberFormat="1" applyFont="1" applyFill="1" applyBorder="1" applyAlignment="1">
      <alignment horizontal="center" vertical="center"/>
    </xf>
    <xf numFmtId="1" fontId="22" fillId="0" borderId="13" xfId="0" applyNumberFormat="1" applyFont="1" applyFill="1" applyBorder="1" applyAlignment="1">
      <alignment horizontal="center" vertical="center"/>
    </xf>
    <xf numFmtId="3" fontId="1" fillId="0" borderId="13" xfId="0" applyNumberFormat="1" applyFont="1" applyFill="1" applyBorder="1" applyAlignment="1">
      <alignment horizontal="center" vertical="center"/>
    </xf>
    <xf numFmtId="167" fontId="27" fillId="0" borderId="13" xfId="0" applyNumberFormat="1" applyFont="1" applyFill="1" applyBorder="1" applyAlignment="1">
      <alignment horizontal="center" vertical="center"/>
    </xf>
    <xf numFmtId="2" fontId="22" fillId="0" borderId="0" xfId="0" applyNumberFormat="1" applyFont="1" applyFill="1" applyBorder="1" applyAlignment="1">
      <alignment horizontal="center" vertical="center"/>
    </xf>
    <xf numFmtId="2" fontId="22" fillId="0" borderId="13" xfId="0" applyNumberFormat="1" applyFont="1" applyFill="1" applyBorder="1" applyAlignment="1">
      <alignment horizontal="center" vertical="center"/>
    </xf>
    <xf numFmtId="1" fontId="27" fillId="0" borderId="0" xfId="0" applyNumberFormat="1" applyFont="1" applyFill="1" applyBorder="1" applyAlignment="1">
      <alignment horizontal="center" vertical="center"/>
    </xf>
    <xf numFmtId="2" fontId="1" fillId="0" borderId="0" xfId="0" applyNumberFormat="1" applyFont="1" applyFill="1" applyBorder="1" applyAlignment="1">
      <alignment horizontal="center" vertical="center"/>
    </xf>
    <xf numFmtId="1" fontId="27" fillId="0" borderId="13" xfId="0" applyNumberFormat="1" applyFont="1" applyFill="1" applyBorder="1" applyAlignment="1">
      <alignment horizontal="center" vertical="center"/>
    </xf>
    <xf numFmtId="2" fontId="1" fillId="0" borderId="13" xfId="0" applyNumberFormat="1" applyFont="1" applyFill="1" applyBorder="1" applyAlignment="1">
      <alignment horizontal="center" vertical="center"/>
    </xf>
    <xf numFmtId="1" fontId="42" fillId="0" borderId="0" xfId="0" applyNumberFormat="1" applyFont="1" applyFill="1" applyBorder="1" applyAlignment="1">
      <alignment horizontal="center" vertical="center"/>
    </xf>
    <xf numFmtId="0" fontId="28" fillId="0" borderId="0" xfId="0" applyFont="1" applyFill="1" applyBorder="1" applyAlignment="1">
      <alignment horizontal="center" vertical="center"/>
    </xf>
    <xf numFmtId="164" fontId="43" fillId="0" borderId="0" xfId="0" applyNumberFormat="1" applyFont="1" applyFill="1" applyBorder="1" applyAlignment="1">
      <alignment horizontal="center" vertical="center"/>
    </xf>
    <xf numFmtId="0" fontId="42" fillId="0" borderId="0" xfId="0" applyFont="1" applyFill="1" applyBorder="1" applyAlignment="1">
      <alignment horizontal="center" vertical="center"/>
    </xf>
    <xf numFmtId="164" fontId="42" fillId="0" borderId="0" xfId="0" applyNumberFormat="1" applyFont="1" applyFill="1" applyBorder="1" applyAlignment="1">
      <alignment horizontal="center" vertical="center"/>
    </xf>
    <xf numFmtId="0" fontId="26" fillId="0" borderId="0" xfId="0" applyFont="1" applyFill="1" applyBorder="1" applyAlignment="1">
      <alignment horizontal="center" vertical="center"/>
    </xf>
    <xf numFmtId="1" fontId="42" fillId="0" borderId="13" xfId="0" applyNumberFormat="1" applyFont="1" applyFill="1" applyBorder="1" applyAlignment="1">
      <alignment horizontal="center" vertical="center"/>
    </xf>
    <xf numFmtId="164" fontId="43" fillId="0" borderId="13" xfId="0" applyNumberFormat="1" applyFont="1" applyFill="1" applyBorder="1" applyAlignment="1">
      <alignment horizontal="center" vertical="center"/>
    </xf>
    <xf numFmtId="164" fontId="42" fillId="0" borderId="13" xfId="0" applyNumberFormat="1" applyFont="1" applyFill="1" applyBorder="1" applyAlignment="1">
      <alignment horizontal="center" vertical="center"/>
    </xf>
    <xf numFmtId="165" fontId="1" fillId="0" borderId="0" xfId="0" applyNumberFormat="1" applyFont="1" applyFill="1" applyBorder="1" applyAlignment="1">
      <alignment horizontal="center" vertical="center"/>
    </xf>
    <xf numFmtId="0" fontId="41" fillId="0" borderId="13" xfId="0" applyFont="1" applyFill="1" applyBorder="1" applyAlignment="1">
      <alignment horizontal="center" vertical="center"/>
    </xf>
    <xf numFmtId="1" fontId="26" fillId="0" borderId="0" xfId="0" applyNumberFormat="1" applyFont="1" applyFill="1" applyBorder="1" applyAlignment="1">
      <alignment horizontal="center" vertical="center"/>
    </xf>
    <xf numFmtId="0" fontId="41" fillId="0" borderId="0" xfId="0" applyFont="1" applyFill="1" applyBorder="1" applyAlignment="1">
      <alignment horizontal="center" vertical="center"/>
    </xf>
    <xf numFmtId="0" fontId="26" fillId="0" borderId="13" xfId="0" applyFont="1" applyFill="1" applyBorder="1" applyAlignment="1">
      <alignment horizontal="center" vertical="center"/>
    </xf>
    <xf numFmtId="0" fontId="48" fillId="0" borderId="0" xfId="0" applyFont="1" applyFill="1" applyBorder="1" applyAlignment="1">
      <alignment horizontal="center" vertical="center"/>
    </xf>
    <xf numFmtId="0" fontId="48" fillId="0" borderId="13" xfId="0" applyFont="1" applyFill="1" applyBorder="1" applyAlignment="1">
      <alignment horizontal="center" vertical="center"/>
    </xf>
    <xf numFmtId="171" fontId="27" fillId="0" borderId="0" xfId="0" applyNumberFormat="1" applyFont="1" applyFill="1" applyBorder="1" applyAlignment="1">
      <alignment horizontal="center" vertical="center"/>
    </xf>
    <xf numFmtId="171" fontId="27" fillId="0" borderId="13" xfId="0" applyNumberFormat="1" applyFont="1" applyFill="1" applyBorder="1" applyAlignment="1">
      <alignment horizontal="center" vertical="center"/>
    </xf>
    <xf numFmtId="165" fontId="1" fillId="0" borderId="13" xfId="0" applyNumberFormat="1" applyFont="1" applyFill="1" applyBorder="1" applyAlignment="1">
      <alignment horizontal="center" vertical="center"/>
    </xf>
    <xf numFmtId="1" fontId="26" fillId="0" borderId="13" xfId="0" applyNumberFormat="1" applyFont="1" applyFill="1" applyBorder="1" applyAlignment="1">
      <alignment horizontal="center" vertical="center"/>
    </xf>
    <xf numFmtId="167" fontId="1" fillId="0" borderId="0" xfId="0" applyNumberFormat="1" applyFont="1" applyFill="1" applyBorder="1" applyAlignment="1">
      <alignment horizontal="center" vertical="center"/>
    </xf>
    <xf numFmtId="0" fontId="1" fillId="13" borderId="0" xfId="0" applyFont="1" applyFill="1" applyBorder="1" applyAlignment="1">
      <alignment horizontal="center" vertical="center"/>
    </xf>
    <xf numFmtId="167" fontId="1" fillId="0" borderId="13" xfId="0" applyNumberFormat="1" applyFont="1" applyFill="1" applyBorder="1" applyAlignment="1">
      <alignment horizontal="center" vertical="center"/>
    </xf>
    <xf numFmtId="2" fontId="26" fillId="0" borderId="0" xfId="0" applyNumberFormat="1" applyFont="1" applyFill="1" applyBorder="1" applyAlignment="1">
      <alignment horizontal="center" vertical="center"/>
    </xf>
    <xf numFmtId="2" fontId="26" fillId="0" borderId="13" xfId="0" applyNumberFormat="1" applyFont="1" applyFill="1" applyBorder="1" applyAlignment="1">
      <alignment horizontal="center" vertical="center"/>
    </xf>
    <xf numFmtId="1" fontId="2" fillId="0" borderId="0" xfId="0" applyNumberFormat="1" applyFont="1" applyFill="1" applyBorder="1" applyAlignment="1">
      <alignment horizontal="center" vertical="center" wrapText="1"/>
    </xf>
    <xf numFmtId="164" fontId="2" fillId="0" borderId="0" xfId="0" applyNumberFormat="1" applyFont="1" applyFill="1" applyBorder="1" applyAlignment="1">
      <alignment horizontal="center" vertical="center" wrapText="1"/>
    </xf>
    <xf numFmtId="1" fontId="2" fillId="0" borderId="13" xfId="0" applyNumberFormat="1" applyFont="1" applyFill="1" applyBorder="1" applyAlignment="1">
      <alignment horizontal="center" vertical="center" wrapText="1"/>
    </xf>
    <xf numFmtId="9" fontId="1" fillId="0" borderId="0" xfId="2" applyFont="1" applyAlignment="1">
      <alignment horizont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1" fontId="41" fillId="0" borderId="0" xfId="0" applyNumberFormat="1" applyFont="1" applyFill="1" applyBorder="1" applyAlignment="1">
      <alignment horizontal="center" vertical="center"/>
    </xf>
    <xf numFmtId="1" fontId="41" fillId="0" borderId="13" xfId="0" applyNumberFormat="1" applyFont="1" applyFill="1" applyBorder="1" applyAlignment="1">
      <alignment horizontal="center" vertical="center"/>
    </xf>
    <xf numFmtId="1" fontId="1" fillId="0" borderId="36" xfId="0" applyNumberFormat="1" applyFont="1" applyFill="1" applyBorder="1" applyAlignment="1">
      <alignment horizontal="center" vertical="center"/>
    </xf>
    <xf numFmtId="2" fontId="1" fillId="0" borderId="36" xfId="0" applyNumberFormat="1" applyFont="1" applyFill="1" applyBorder="1" applyAlignment="1">
      <alignment horizontal="center" vertical="center"/>
    </xf>
    <xf numFmtId="164" fontId="26" fillId="0" borderId="0" xfId="0" applyNumberFormat="1" applyFont="1" applyFill="1" applyBorder="1" applyAlignment="1">
      <alignment horizontal="center" vertical="center"/>
    </xf>
    <xf numFmtId="164" fontId="26" fillId="0" borderId="13" xfId="0" applyNumberFormat="1" applyFont="1" applyFill="1" applyBorder="1" applyAlignment="1">
      <alignment horizontal="center" vertical="center"/>
    </xf>
    <xf numFmtId="1" fontId="22" fillId="0" borderId="36" xfId="0" applyNumberFormat="1" applyFont="1" applyFill="1" applyBorder="1" applyAlignment="1">
      <alignment horizontal="center" vertical="center"/>
    </xf>
    <xf numFmtId="164" fontId="1" fillId="0" borderId="0" xfId="0" quotePrefix="1" applyNumberFormat="1" applyFont="1" applyFill="1" applyBorder="1" applyAlignment="1">
      <alignment horizontal="center" vertical="center"/>
    </xf>
    <xf numFmtId="0" fontId="1" fillId="0" borderId="36" xfId="0" applyFont="1" applyFill="1" applyBorder="1" applyAlignment="1">
      <alignment horizontal="center" vertical="center"/>
    </xf>
    <xf numFmtId="2" fontId="27" fillId="0" borderId="36" xfId="0" applyNumberFormat="1" applyFont="1" applyFill="1" applyBorder="1" applyAlignment="1">
      <alignment horizontal="center" vertical="center"/>
    </xf>
    <xf numFmtId="0" fontId="4" fillId="0" borderId="13" xfId="0" applyFont="1" applyFill="1" applyBorder="1" applyAlignment="1">
      <alignment horizontal="center" vertical="top" wrapText="1"/>
    </xf>
    <xf numFmtId="0" fontId="1" fillId="0" borderId="0" xfId="0" applyFont="1" applyFill="1" applyBorder="1" applyAlignment="1">
      <alignment horizontal="center" vertical="center"/>
    </xf>
    <xf numFmtId="0" fontId="22" fillId="16" borderId="0" xfId="0" applyFont="1" applyFill="1" applyBorder="1" applyAlignment="1">
      <alignment horizontal="center" vertical="center"/>
    </xf>
    <xf numFmtId="0" fontId="4" fillId="16" borderId="13" xfId="0" applyFont="1" applyFill="1" applyBorder="1" applyAlignment="1">
      <alignment horizontal="center" vertical="center" wrapText="1"/>
    </xf>
    <xf numFmtId="2" fontId="22" fillId="16" borderId="0" xfId="0" applyNumberFormat="1" applyFont="1" applyFill="1" applyBorder="1" applyAlignment="1">
      <alignment horizontal="center" vertical="center"/>
    </xf>
    <xf numFmtId="0" fontId="50" fillId="0" borderId="13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2" fontId="1" fillId="0" borderId="0" xfId="0" applyNumberFormat="1" applyFont="1" applyBorder="1" applyAlignment="1">
      <alignment horizontal="center" vertical="center"/>
    </xf>
    <xf numFmtId="0" fontId="0" fillId="0" borderId="0" xfId="0" pivotButton="1"/>
    <xf numFmtId="0" fontId="0" fillId="0" borderId="0" xfId="0" applyNumberFormat="1"/>
    <xf numFmtId="0" fontId="0" fillId="0" borderId="0" xfId="0" applyAlignment="1">
      <alignment horizontal="left"/>
    </xf>
    <xf numFmtId="1" fontId="0" fillId="0" borderId="0" xfId="0" applyNumberFormat="1" applyAlignment="1">
      <alignment horizontal="left"/>
    </xf>
    <xf numFmtId="2" fontId="0" fillId="0" borderId="0" xfId="0" applyNumberFormat="1" applyAlignment="1">
      <alignment horizontal="left"/>
    </xf>
    <xf numFmtId="0" fontId="1" fillId="6" borderId="0" xfId="0" applyFont="1" applyFill="1" applyBorder="1" applyAlignment="1">
      <alignment horizontal="center" vertical="center"/>
    </xf>
    <xf numFmtId="0" fontId="4" fillId="6" borderId="13" xfId="0" applyFont="1" applyFill="1" applyBorder="1" applyAlignment="1">
      <alignment horizontal="center" vertical="center" wrapText="1"/>
    </xf>
    <xf numFmtId="164" fontId="1" fillId="6" borderId="0" xfId="0" applyNumberFormat="1" applyFont="1" applyFill="1" applyBorder="1" applyAlignment="1">
      <alignment horizontal="center" vertical="center"/>
    </xf>
    <xf numFmtId="164" fontId="0" fillId="0" borderId="0" xfId="0" applyNumberFormat="1" applyAlignment="1">
      <alignment horizontal="left"/>
    </xf>
    <xf numFmtId="0" fontId="1" fillId="14" borderId="0" xfId="0" applyFont="1" applyFill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6" borderId="13" xfId="0" applyFont="1" applyFill="1" applyBorder="1" applyAlignment="1">
      <alignment horizontal="center" vertical="center"/>
    </xf>
    <xf numFmtId="0" fontId="22" fillId="16" borderId="13" xfId="0" applyFont="1" applyFill="1" applyBorder="1" applyAlignment="1">
      <alignment horizontal="center" vertical="center"/>
    </xf>
    <xf numFmtId="0" fontId="27" fillId="0" borderId="0" xfId="0" applyFont="1" applyBorder="1" applyAlignment="1">
      <alignment horizontal="center" vertical="center"/>
    </xf>
    <xf numFmtId="0" fontId="27" fillId="0" borderId="13" xfId="0" applyFont="1" applyBorder="1" applyAlignment="1">
      <alignment horizontal="center" vertical="center"/>
    </xf>
    <xf numFmtId="1" fontId="27" fillId="0" borderId="36" xfId="0" applyNumberFormat="1" applyFont="1" applyFill="1" applyBorder="1" applyAlignment="1">
      <alignment horizontal="center" vertical="center"/>
    </xf>
    <xf numFmtId="0" fontId="1" fillId="0" borderId="36" xfId="0" applyFont="1" applyBorder="1" applyAlignment="1">
      <alignment horizontal="center" vertical="center"/>
    </xf>
    <xf numFmtId="0" fontId="27" fillId="0" borderId="36" xfId="0" applyFont="1" applyBorder="1" applyAlignment="1">
      <alignment horizontal="center" vertical="center"/>
    </xf>
    <xf numFmtId="0" fontId="27" fillId="9" borderId="0" xfId="0" applyFont="1" applyFill="1" applyBorder="1" applyAlignment="1">
      <alignment horizontal="center" vertical="center"/>
    </xf>
    <xf numFmtId="0" fontId="27" fillId="9" borderId="13" xfId="0" applyFont="1" applyFill="1" applyBorder="1" applyAlignment="1">
      <alignment horizontal="center" vertical="center"/>
    </xf>
    <xf numFmtId="164" fontId="1" fillId="0" borderId="0" xfId="0" applyNumberFormat="1" applyFont="1" applyBorder="1" applyAlignment="1">
      <alignment horizontal="center" vertical="center"/>
    </xf>
    <xf numFmtId="0" fontId="27" fillId="9" borderId="36" xfId="0" applyFont="1" applyFill="1" applyBorder="1" applyAlignment="1">
      <alignment horizontal="center" vertical="center"/>
    </xf>
    <xf numFmtId="164" fontId="1" fillId="0" borderId="13" xfId="0" applyNumberFormat="1" applyFont="1" applyBorder="1" applyAlignment="1">
      <alignment horizontal="center" vertical="center"/>
    </xf>
    <xf numFmtId="164" fontId="27" fillId="9" borderId="0" xfId="0" applyNumberFormat="1" applyFont="1" applyFill="1" applyBorder="1" applyAlignment="1">
      <alignment horizontal="center" vertical="center"/>
    </xf>
    <xf numFmtId="164" fontId="27" fillId="9" borderId="36" xfId="0" applyNumberFormat="1" applyFont="1" applyFill="1" applyBorder="1" applyAlignment="1">
      <alignment horizontal="center" vertical="center"/>
    </xf>
    <xf numFmtId="164" fontId="27" fillId="9" borderId="13" xfId="0" applyNumberFormat="1" applyFont="1" applyFill="1" applyBorder="1" applyAlignment="1">
      <alignment horizontal="center" vertical="center"/>
    </xf>
    <xf numFmtId="0" fontId="27" fillId="0" borderId="36" xfId="0" applyFont="1" applyFill="1" applyBorder="1" applyAlignment="1">
      <alignment horizontal="center" vertical="center"/>
    </xf>
    <xf numFmtId="2" fontId="27" fillId="0" borderId="36" xfId="0" applyNumberFormat="1" applyFont="1" applyBorder="1" applyAlignment="1">
      <alignment horizontal="center" vertical="center"/>
    </xf>
    <xf numFmtId="2" fontId="27" fillId="0" borderId="0" xfId="0" applyNumberFormat="1" applyFont="1" applyBorder="1" applyAlignment="1">
      <alignment horizontal="center" vertical="center"/>
    </xf>
    <xf numFmtId="2" fontId="27" fillId="0" borderId="13" xfId="0" applyNumberFormat="1" applyFont="1" applyBorder="1" applyAlignment="1">
      <alignment horizontal="center" vertical="center"/>
    </xf>
    <xf numFmtId="164" fontId="27" fillId="0" borderId="36" xfId="0" applyNumberFormat="1" applyFont="1" applyBorder="1" applyAlignment="1">
      <alignment horizontal="center" vertical="center"/>
    </xf>
    <xf numFmtId="164" fontId="27" fillId="0" borderId="0" xfId="0" applyNumberFormat="1" applyFont="1" applyBorder="1" applyAlignment="1">
      <alignment horizontal="center" vertical="center"/>
    </xf>
    <xf numFmtId="164" fontId="27" fillId="0" borderId="13" xfId="0" applyNumberFormat="1" applyFont="1" applyBorder="1" applyAlignment="1">
      <alignment horizontal="center" vertical="center"/>
    </xf>
    <xf numFmtId="167" fontId="27" fillId="0" borderId="36" xfId="0" applyNumberFormat="1" applyFont="1" applyFill="1" applyBorder="1" applyAlignment="1">
      <alignment horizontal="center" vertical="center"/>
    </xf>
    <xf numFmtId="1" fontId="27" fillId="0" borderId="0" xfId="0" applyNumberFormat="1" applyFont="1" applyBorder="1" applyAlignment="1">
      <alignment horizontal="center" vertical="center"/>
    </xf>
    <xf numFmtId="1" fontId="27" fillId="0" borderId="13" xfId="0" applyNumberFormat="1" applyFont="1" applyBorder="1" applyAlignment="1">
      <alignment horizontal="center" vertical="center"/>
    </xf>
    <xf numFmtId="164" fontId="27" fillId="0" borderId="36" xfId="0" applyNumberFormat="1" applyFont="1" applyFill="1" applyBorder="1" applyAlignment="1">
      <alignment horizontal="center" vertical="center"/>
    </xf>
    <xf numFmtId="0" fontId="52" fillId="0" borderId="13" xfId="0" applyFont="1" applyFill="1" applyBorder="1" applyAlignment="1">
      <alignment horizontal="center" vertical="center" wrapText="1"/>
    </xf>
    <xf numFmtId="9" fontId="26" fillId="0" borderId="0" xfId="2" applyFont="1" applyFill="1" applyBorder="1" applyAlignment="1">
      <alignment horizontal="center" vertical="center"/>
    </xf>
    <xf numFmtId="9" fontId="26" fillId="0" borderId="13" xfId="2" applyFont="1" applyFill="1" applyBorder="1" applyAlignment="1">
      <alignment horizontal="center" vertical="center"/>
    </xf>
    <xf numFmtId="9" fontId="22" fillId="0" borderId="0" xfId="2" applyFont="1" applyFill="1" applyBorder="1" applyAlignment="1">
      <alignment horizontal="center" vertical="center"/>
    </xf>
    <xf numFmtId="9" fontId="22" fillId="0" borderId="13" xfId="2" applyFont="1" applyFill="1" applyBorder="1" applyAlignment="1">
      <alignment horizontal="center" vertical="center"/>
    </xf>
    <xf numFmtId="9" fontId="1" fillId="0" borderId="0" xfId="2" applyFont="1" applyBorder="1" applyAlignment="1">
      <alignment horizontal="center" vertical="center"/>
    </xf>
    <xf numFmtId="9" fontId="26" fillId="0" borderId="0" xfId="2" applyFont="1" applyBorder="1" applyAlignment="1">
      <alignment horizontal="center" vertical="center"/>
    </xf>
    <xf numFmtId="9" fontId="26" fillId="0" borderId="13" xfId="2" applyFont="1" applyBorder="1" applyAlignment="1">
      <alignment horizontal="center" vertical="center"/>
    </xf>
    <xf numFmtId="9" fontId="26" fillId="0" borderId="36" xfId="2" applyFont="1" applyBorder="1" applyAlignment="1">
      <alignment horizontal="center" vertical="center"/>
    </xf>
    <xf numFmtId="164" fontId="26" fillId="0" borderId="36" xfId="0" applyNumberFormat="1" applyFont="1" applyFill="1" applyBorder="1" applyAlignment="1">
      <alignment horizontal="center" vertical="center"/>
    </xf>
    <xf numFmtId="164" fontId="1" fillId="0" borderId="0" xfId="0" applyNumberFormat="1" applyFont="1" applyBorder="1" applyAlignment="1">
      <alignment horizontal="center"/>
    </xf>
    <xf numFmtId="164" fontId="1" fillId="0" borderId="13" xfId="0" applyNumberFormat="1" applyFont="1" applyBorder="1" applyAlignment="1">
      <alignment horizontal="center"/>
    </xf>
    <xf numFmtId="0" fontId="27" fillId="18" borderId="0" xfId="0" applyFont="1" applyFill="1" applyBorder="1" applyAlignment="1">
      <alignment horizontal="center" vertical="center"/>
    </xf>
    <xf numFmtId="0" fontId="27" fillId="18" borderId="13" xfId="0" applyFont="1" applyFill="1" applyBorder="1" applyAlignment="1">
      <alignment horizontal="center" vertical="center"/>
    </xf>
    <xf numFmtId="0" fontId="27" fillId="18" borderId="36" xfId="0" applyFont="1" applyFill="1" applyBorder="1" applyAlignment="1">
      <alignment horizontal="center" vertical="center"/>
    </xf>
    <xf numFmtId="9" fontId="26" fillId="0" borderId="36" xfId="2" applyFont="1" applyFill="1" applyBorder="1" applyAlignment="1">
      <alignment horizontal="center" vertical="center"/>
    </xf>
    <xf numFmtId="0" fontId="53" fillId="0" borderId="0" xfId="0" applyFont="1"/>
    <xf numFmtId="0" fontId="54" fillId="0" borderId="0" xfId="0" applyFont="1"/>
    <xf numFmtId="0" fontId="55" fillId="0" borderId="0" xfId="0" applyFont="1"/>
    <xf numFmtId="0" fontId="56" fillId="3" borderId="10" xfId="0" applyFont="1" applyFill="1" applyBorder="1" applyAlignment="1">
      <alignment horizontal="center" vertical="center" wrapText="1"/>
    </xf>
    <xf numFmtId="0" fontId="57" fillId="0" borderId="0" xfId="0" applyFont="1" applyFill="1"/>
    <xf numFmtId="0" fontId="58" fillId="0" borderId="0" xfId="0" applyFont="1" applyFill="1"/>
    <xf numFmtId="0" fontId="59" fillId="3" borderId="10" xfId="0" applyFont="1" applyFill="1" applyBorder="1" applyAlignment="1">
      <alignment horizontal="center" vertical="center" wrapText="1"/>
    </xf>
    <xf numFmtId="0" fontId="58" fillId="0" borderId="11" xfId="0" applyFont="1" applyFill="1" applyBorder="1" applyAlignment="1">
      <alignment horizontal="left" vertical="center"/>
    </xf>
    <xf numFmtId="0" fontId="60" fillId="6" borderId="10" xfId="0" applyFont="1" applyFill="1" applyBorder="1" applyAlignment="1">
      <alignment horizontal="center" vertical="center" wrapText="1"/>
    </xf>
    <xf numFmtId="0" fontId="60" fillId="4" borderId="10" xfId="0" applyFont="1" applyFill="1" applyBorder="1" applyAlignment="1">
      <alignment horizontal="center" vertical="center" wrapText="1"/>
    </xf>
    <xf numFmtId="0" fontId="58" fillId="0" borderId="0" xfId="0" applyFont="1" applyFill="1" applyAlignment="1">
      <alignment wrapText="1"/>
    </xf>
    <xf numFmtId="0" fontId="56" fillId="6" borderId="10" xfId="0" applyFont="1" applyFill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1" fillId="0" borderId="40" xfId="0" applyFont="1" applyBorder="1" applyAlignment="1">
      <alignment horizontal="center" vertical="center"/>
    </xf>
    <xf numFmtId="0" fontId="1" fillId="8" borderId="10" xfId="0" applyFont="1" applyFill="1" applyBorder="1" applyAlignment="1">
      <alignment horizontal="center" vertical="center" wrapText="1"/>
    </xf>
    <xf numFmtId="0" fontId="1" fillId="15" borderId="0" xfId="0" applyFont="1" applyFill="1" applyBorder="1" applyAlignment="1">
      <alignment horizontal="center" vertical="center"/>
    </xf>
    <xf numFmtId="0" fontId="23" fillId="17" borderId="0" xfId="0" applyFont="1" applyFill="1" applyBorder="1" applyAlignment="1">
      <alignment horizontal="center" vertical="center"/>
    </xf>
    <xf numFmtId="0" fontId="1" fillId="10" borderId="0" xfId="0" applyFont="1" applyFill="1" applyBorder="1" applyAlignment="1">
      <alignment horizontal="center" vertical="center"/>
    </xf>
    <xf numFmtId="0" fontId="1" fillId="5" borderId="0" xfId="0" applyFont="1" applyFill="1" applyBorder="1" applyAlignment="1">
      <alignment horizontal="center" vertical="center"/>
    </xf>
    <xf numFmtId="0" fontId="1" fillId="12" borderId="0" xfId="0" applyFont="1" applyFill="1" applyBorder="1" applyAlignment="1">
      <alignment horizontal="center" vertical="center"/>
    </xf>
    <xf numFmtId="0" fontId="1" fillId="8" borderId="0" xfId="0" applyFont="1" applyFill="1" applyBorder="1" applyAlignment="1">
      <alignment horizontal="center" vertical="center"/>
    </xf>
    <xf numFmtId="0" fontId="1" fillId="11" borderId="0" xfId="0" applyFont="1" applyFill="1" applyBorder="1" applyAlignment="1">
      <alignment horizontal="center" vertical="center"/>
    </xf>
    <xf numFmtId="0" fontId="1" fillId="3" borderId="0" xfId="0" applyFont="1" applyFill="1" applyBorder="1" applyAlignment="1">
      <alignment horizontal="center" vertical="center"/>
    </xf>
    <xf numFmtId="0" fontId="1" fillId="4" borderId="0" xfId="0" applyFont="1" applyFill="1" applyBorder="1" applyAlignment="1">
      <alignment horizontal="center" vertical="center"/>
    </xf>
    <xf numFmtId="0" fontId="1" fillId="14" borderId="0" xfId="0" applyFont="1" applyFill="1" applyBorder="1" applyAlignment="1">
      <alignment horizontal="center" vertical="center"/>
    </xf>
  </cellXfs>
  <cellStyles count="3">
    <cellStyle name="Normal" xfId="0" builtinId="0"/>
    <cellStyle name="Normal 2" xfId="1" xr:uid="{00000000-0005-0000-0000-000001000000}"/>
    <cellStyle name="Percent" xfId="2" builtinId="5"/>
  </cellStyles>
  <dxfs count="593"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  <dxf>
      <fill>
        <patternFill>
          <bgColor theme="5" tint="0.79998168889431442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pivotCacheDefinition" Target="pivotCache/pivotCacheDefinition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920" b="1" i="0" u="none" strike="noStrike" kern="1200" spc="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n-CA" dirty="0"/>
              <a:t>CSA S304.14 (2014)</a:t>
            </a:r>
          </a:p>
        </c:rich>
      </c:tx>
      <c:layout>
        <c:manualLayout>
          <c:xMode val="edge"/>
          <c:yMode val="edge"/>
          <c:x val="0.15906661177156775"/>
          <c:y val="0.8062105570597086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920" b="1" i="0" u="none" strike="noStrike" kern="1200" spc="0" baseline="0">
              <a:solidFill>
                <a:sysClr val="windowText" lastClr="000000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5278233293127516"/>
          <c:y val="2.5636574074074076E-2"/>
          <c:w val="0.77406792524428425"/>
          <c:h val="0.88690261373578305"/>
        </c:manualLayout>
      </c:layout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6"/>
            <c:spPr>
              <a:solidFill>
                <a:schemeClr val="tx1"/>
              </a:solidFill>
              <a:ln w="9525">
                <a:noFill/>
              </a:ln>
              <a:effectLst/>
            </c:spPr>
          </c:marker>
          <c:xVal>
            <c:numRef>
              <c:f>COMPILED!$A$9:$A$300</c:f>
              <c:numCache>
                <c:formatCode>General</c:formatCode>
                <c:ptCount val="292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  <c:pt idx="24">
                  <c:v>25</c:v>
                </c:pt>
                <c:pt idx="25">
                  <c:v>26</c:v>
                </c:pt>
                <c:pt idx="26">
                  <c:v>27</c:v>
                </c:pt>
                <c:pt idx="27">
                  <c:v>28</c:v>
                </c:pt>
                <c:pt idx="28">
                  <c:v>29</c:v>
                </c:pt>
                <c:pt idx="29">
                  <c:v>30</c:v>
                </c:pt>
                <c:pt idx="30">
                  <c:v>31</c:v>
                </c:pt>
                <c:pt idx="31">
                  <c:v>32</c:v>
                </c:pt>
                <c:pt idx="32">
                  <c:v>33</c:v>
                </c:pt>
                <c:pt idx="33">
                  <c:v>34</c:v>
                </c:pt>
                <c:pt idx="34">
                  <c:v>35</c:v>
                </c:pt>
                <c:pt idx="35">
                  <c:v>36</c:v>
                </c:pt>
                <c:pt idx="36">
                  <c:v>37</c:v>
                </c:pt>
                <c:pt idx="37">
                  <c:v>38</c:v>
                </c:pt>
                <c:pt idx="38">
                  <c:v>39</c:v>
                </c:pt>
                <c:pt idx="39">
                  <c:v>40</c:v>
                </c:pt>
                <c:pt idx="40">
                  <c:v>41</c:v>
                </c:pt>
                <c:pt idx="41">
                  <c:v>42</c:v>
                </c:pt>
                <c:pt idx="42">
                  <c:v>43</c:v>
                </c:pt>
                <c:pt idx="43">
                  <c:v>44</c:v>
                </c:pt>
                <c:pt idx="44">
                  <c:v>45</c:v>
                </c:pt>
                <c:pt idx="45">
                  <c:v>46</c:v>
                </c:pt>
                <c:pt idx="46">
                  <c:v>47</c:v>
                </c:pt>
                <c:pt idx="47">
                  <c:v>48</c:v>
                </c:pt>
                <c:pt idx="48">
                  <c:v>49</c:v>
                </c:pt>
                <c:pt idx="49">
                  <c:v>50</c:v>
                </c:pt>
                <c:pt idx="50">
                  <c:v>51</c:v>
                </c:pt>
                <c:pt idx="51">
                  <c:v>52</c:v>
                </c:pt>
                <c:pt idx="52">
                  <c:v>53</c:v>
                </c:pt>
                <c:pt idx="53">
                  <c:v>54</c:v>
                </c:pt>
                <c:pt idx="54">
                  <c:v>55</c:v>
                </c:pt>
                <c:pt idx="55">
                  <c:v>56</c:v>
                </c:pt>
                <c:pt idx="56">
                  <c:v>57</c:v>
                </c:pt>
                <c:pt idx="57">
                  <c:v>58</c:v>
                </c:pt>
                <c:pt idx="58">
                  <c:v>59</c:v>
                </c:pt>
                <c:pt idx="59">
                  <c:v>60</c:v>
                </c:pt>
                <c:pt idx="60">
                  <c:v>61</c:v>
                </c:pt>
                <c:pt idx="61">
                  <c:v>62</c:v>
                </c:pt>
                <c:pt idx="62">
                  <c:v>63</c:v>
                </c:pt>
                <c:pt idx="63">
                  <c:v>64</c:v>
                </c:pt>
                <c:pt idx="64">
                  <c:v>65</c:v>
                </c:pt>
                <c:pt idx="65">
                  <c:v>66</c:v>
                </c:pt>
                <c:pt idx="66">
                  <c:v>67</c:v>
                </c:pt>
                <c:pt idx="67">
                  <c:v>68</c:v>
                </c:pt>
                <c:pt idx="68">
                  <c:v>69</c:v>
                </c:pt>
                <c:pt idx="69">
                  <c:v>70</c:v>
                </c:pt>
                <c:pt idx="70">
                  <c:v>71</c:v>
                </c:pt>
                <c:pt idx="71">
                  <c:v>72</c:v>
                </c:pt>
                <c:pt idx="72">
                  <c:v>73</c:v>
                </c:pt>
                <c:pt idx="73">
                  <c:v>74</c:v>
                </c:pt>
                <c:pt idx="74">
                  <c:v>75</c:v>
                </c:pt>
                <c:pt idx="75">
                  <c:v>76</c:v>
                </c:pt>
                <c:pt idx="76">
                  <c:v>77</c:v>
                </c:pt>
                <c:pt idx="77">
                  <c:v>78</c:v>
                </c:pt>
                <c:pt idx="78">
                  <c:v>79</c:v>
                </c:pt>
                <c:pt idx="79">
                  <c:v>80</c:v>
                </c:pt>
                <c:pt idx="80">
                  <c:v>81</c:v>
                </c:pt>
                <c:pt idx="81">
                  <c:v>82</c:v>
                </c:pt>
                <c:pt idx="82">
                  <c:v>83</c:v>
                </c:pt>
                <c:pt idx="83">
                  <c:v>84</c:v>
                </c:pt>
                <c:pt idx="84">
                  <c:v>85</c:v>
                </c:pt>
                <c:pt idx="85">
                  <c:v>86</c:v>
                </c:pt>
                <c:pt idx="86">
                  <c:v>87</c:v>
                </c:pt>
                <c:pt idx="87">
                  <c:v>88</c:v>
                </c:pt>
                <c:pt idx="88">
                  <c:v>89</c:v>
                </c:pt>
                <c:pt idx="89">
                  <c:v>90</c:v>
                </c:pt>
                <c:pt idx="90">
                  <c:v>91</c:v>
                </c:pt>
                <c:pt idx="91">
                  <c:v>92</c:v>
                </c:pt>
                <c:pt idx="92">
                  <c:v>93</c:v>
                </c:pt>
                <c:pt idx="93">
                  <c:v>94</c:v>
                </c:pt>
                <c:pt idx="94">
                  <c:v>95</c:v>
                </c:pt>
                <c:pt idx="95">
                  <c:v>96</c:v>
                </c:pt>
                <c:pt idx="96">
                  <c:v>97</c:v>
                </c:pt>
                <c:pt idx="97">
                  <c:v>98</c:v>
                </c:pt>
                <c:pt idx="98">
                  <c:v>99</c:v>
                </c:pt>
                <c:pt idx="99">
                  <c:v>100</c:v>
                </c:pt>
                <c:pt idx="100">
                  <c:v>101</c:v>
                </c:pt>
                <c:pt idx="101">
                  <c:v>102</c:v>
                </c:pt>
                <c:pt idx="102">
                  <c:v>103</c:v>
                </c:pt>
                <c:pt idx="103">
                  <c:v>104</c:v>
                </c:pt>
                <c:pt idx="104">
                  <c:v>105</c:v>
                </c:pt>
                <c:pt idx="105">
                  <c:v>106</c:v>
                </c:pt>
                <c:pt idx="106">
                  <c:v>107</c:v>
                </c:pt>
                <c:pt idx="107">
                  <c:v>108</c:v>
                </c:pt>
                <c:pt idx="108">
                  <c:v>109</c:v>
                </c:pt>
                <c:pt idx="109">
                  <c:v>110</c:v>
                </c:pt>
                <c:pt idx="110">
                  <c:v>111</c:v>
                </c:pt>
                <c:pt idx="111">
                  <c:v>112</c:v>
                </c:pt>
                <c:pt idx="112">
                  <c:v>113</c:v>
                </c:pt>
                <c:pt idx="113">
                  <c:v>114</c:v>
                </c:pt>
                <c:pt idx="114">
                  <c:v>115</c:v>
                </c:pt>
                <c:pt idx="115">
                  <c:v>116</c:v>
                </c:pt>
                <c:pt idx="116">
                  <c:v>117</c:v>
                </c:pt>
                <c:pt idx="117">
                  <c:v>118</c:v>
                </c:pt>
                <c:pt idx="118">
                  <c:v>119</c:v>
                </c:pt>
                <c:pt idx="119">
                  <c:v>120</c:v>
                </c:pt>
                <c:pt idx="120">
                  <c:v>121</c:v>
                </c:pt>
                <c:pt idx="121">
                  <c:v>122</c:v>
                </c:pt>
                <c:pt idx="122">
                  <c:v>123</c:v>
                </c:pt>
                <c:pt idx="123">
                  <c:v>124</c:v>
                </c:pt>
                <c:pt idx="124">
                  <c:v>125</c:v>
                </c:pt>
                <c:pt idx="125">
                  <c:v>126</c:v>
                </c:pt>
                <c:pt idx="126">
                  <c:v>127</c:v>
                </c:pt>
                <c:pt idx="127">
                  <c:v>128</c:v>
                </c:pt>
                <c:pt idx="128">
                  <c:v>129</c:v>
                </c:pt>
                <c:pt idx="129">
                  <c:v>130</c:v>
                </c:pt>
                <c:pt idx="130">
                  <c:v>131</c:v>
                </c:pt>
                <c:pt idx="131">
                  <c:v>132</c:v>
                </c:pt>
                <c:pt idx="132">
                  <c:v>133</c:v>
                </c:pt>
                <c:pt idx="133">
                  <c:v>134</c:v>
                </c:pt>
                <c:pt idx="134">
                  <c:v>135</c:v>
                </c:pt>
                <c:pt idx="135">
                  <c:v>136</c:v>
                </c:pt>
                <c:pt idx="136">
                  <c:v>137</c:v>
                </c:pt>
                <c:pt idx="137">
                  <c:v>138</c:v>
                </c:pt>
                <c:pt idx="138">
                  <c:v>139</c:v>
                </c:pt>
                <c:pt idx="139">
                  <c:v>140</c:v>
                </c:pt>
                <c:pt idx="140">
                  <c:v>141</c:v>
                </c:pt>
                <c:pt idx="141">
                  <c:v>142</c:v>
                </c:pt>
                <c:pt idx="142">
                  <c:v>143</c:v>
                </c:pt>
                <c:pt idx="143">
                  <c:v>144</c:v>
                </c:pt>
                <c:pt idx="144">
                  <c:v>145</c:v>
                </c:pt>
                <c:pt idx="145">
                  <c:v>146</c:v>
                </c:pt>
                <c:pt idx="146">
                  <c:v>147</c:v>
                </c:pt>
                <c:pt idx="147">
                  <c:v>148</c:v>
                </c:pt>
                <c:pt idx="148">
                  <c:v>149</c:v>
                </c:pt>
                <c:pt idx="149">
                  <c:v>150</c:v>
                </c:pt>
                <c:pt idx="150">
                  <c:v>151</c:v>
                </c:pt>
                <c:pt idx="151">
                  <c:v>152</c:v>
                </c:pt>
                <c:pt idx="152">
                  <c:v>153</c:v>
                </c:pt>
                <c:pt idx="153">
                  <c:v>154</c:v>
                </c:pt>
                <c:pt idx="154">
                  <c:v>155</c:v>
                </c:pt>
                <c:pt idx="155">
                  <c:v>156</c:v>
                </c:pt>
                <c:pt idx="156">
                  <c:v>157</c:v>
                </c:pt>
                <c:pt idx="157">
                  <c:v>158</c:v>
                </c:pt>
                <c:pt idx="158">
                  <c:v>159</c:v>
                </c:pt>
                <c:pt idx="159">
                  <c:v>160</c:v>
                </c:pt>
                <c:pt idx="160">
                  <c:v>161</c:v>
                </c:pt>
                <c:pt idx="161">
                  <c:v>162</c:v>
                </c:pt>
                <c:pt idx="162">
                  <c:v>163</c:v>
                </c:pt>
                <c:pt idx="163">
                  <c:v>164</c:v>
                </c:pt>
                <c:pt idx="164">
                  <c:v>165</c:v>
                </c:pt>
                <c:pt idx="165">
                  <c:v>166</c:v>
                </c:pt>
                <c:pt idx="166">
                  <c:v>167</c:v>
                </c:pt>
                <c:pt idx="167">
                  <c:v>168</c:v>
                </c:pt>
                <c:pt idx="168">
                  <c:v>169</c:v>
                </c:pt>
                <c:pt idx="169">
                  <c:v>170</c:v>
                </c:pt>
                <c:pt idx="170">
                  <c:v>171</c:v>
                </c:pt>
                <c:pt idx="171">
                  <c:v>172</c:v>
                </c:pt>
                <c:pt idx="172">
                  <c:v>173</c:v>
                </c:pt>
                <c:pt idx="173">
                  <c:v>174</c:v>
                </c:pt>
                <c:pt idx="174">
                  <c:v>175</c:v>
                </c:pt>
                <c:pt idx="175">
                  <c:v>176</c:v>
                </c:pt>
                <c:pt idx="176">
                  <c:v>177</c:v>
                </c:pt>
                <c:pt idx="177">
                  <c:v>178</c:v>
                </c:pt>
                <c:pt idx="178">
                  <c:v>179</c:v>
                </c:pt>
                <c:pt idx="179">
                  <c:v>180</c:v>
                </c:pt>
                <c:pt idx="180">
                  <c:v>181</c:v>
                </c:pt>
                <c:pt idx="181">
                  <c:v>182</c:v>
                </c:pt>
                <c:pt idx="182">
                  <c:v>183</c:v>
                </c:pt>
                <c:pt idx="183">
                  <c:v>184</c:v>
                </c:pt>
                <c:pt idx="184">
                  <c:v>185</c:v>
                </c:pt>
                <c:pt idx="185">
                  <c:v>186</c:v>
                </c:pt>
                <c:pt idx="186">
                  <c:v>187</c:v>
                </c:pt>
                <c:pt idx="187">
                  <c:v>188</c:v>
                </c:pt>
                <c:pt idx="188">
                  <c:v>189</c:v>
                </c:pt>
                <c:pt idx="189">
                  <c:v>190</c:v>
                </c:pt>
                <c:pt idx="190">
                  <c:v>191</c:v>
                </c:pt>
                <c:pt idx="191">
                  <c:v>192</c:v>
                </c:pt>
                <c:pt idx="192">
                  <c:v>193</c:v>
                </c:pt>
                <c:pt idx="193">
                  <c:v>194</c:v>
                </c:pt>
                <c:pt idx="194">
                  <c:v>195</c:v>
                </c:pt>
                <c:pt idx="195">
                  <c:v>196</c:v>
                </c:pt>
                <c:pt idx="196">
                  <c:v>197</c:v>
                </c:pt>
                <c:pt idx="197">
                  <c:v>198</c:v>
                </c:pt>
                <c:pt idx="198">
                  <c:v>199</c:v>
                </c:pt>
                <c:pt idx="199">
                  <c:v>200</c:v>
                </c:pt>
                <c:pt idx="200">
                  <c:v>201</c:v>
                </c:pt>
                <c:pt idx="201">
                  <c:v>202</c:v>
                </c:pt>
                <c:pt idx="202">
                  <c:v>203</c:v>
                </c:pt>
                <c:pt idx="203">
                  <c:v>204</c:v>
                </c:pt>
                <c:pt idx="204">
                  <c:v>205</c:v>
                </c:pt>
                <c:pt idx="205">
                  <c:v>206</c:v>
                </c:pt>
                <c:pt idx="206">
                  <c:v>207</c:v>
                </c:pt>
                <c:pt idx="207">
                  <c:v>208</c:v>
                </c:pt>
                <c:pt idx="208">
                  <c:v>209</c:v>
                </c:pt>
                <c:pt idx="209">
                  <c:v>210</c:v>
                </c:pt>
                <c:pt idx="210">
                  <c:v>211</c:v>
                </c:pt>
                <c:pt idx="211">
                  <c:v>212</c:v>
                </c:pt>
                <c:pt idx="212">
                  <c:v>213</c:v>
                </c:pt>
                <c:pt idx="213">
                  <c:v>214</c:v>
                </c:pt>
                <c:pt idx="214">
                  <c:v>215</c:v>
                </c:pt>
                <c:pt idx="215">
                  <c:v>216</c:v>
                </c:pt>
                <c:pt idx="216">
                  <c:v>217</c:v>
                </c:pt>
                <c:pt idx="217">
                  <c:v>218</c:v>
                </c:pt>
                <c:pt idx="218">
                  <c:v>219</c:v>
                </c:pt>
                <c:pt idx="219">
                  <c:v>220</c:v>
                </c:pt>
                <c:pt idx="220">
                  <c:v>221</c:v>
                </c:pt>
                <c:pt idx="221">
                  <c:v>222</c:v>
                </c:pt>
                <c:pt idx="222">
                  <c:v>223</c:v>
                </c:pt>
                <c:pt idx="223">
                  <c:v>224</c:v>
                </c:pt>
                <c:pt idx="224">
                  <c:v>225</c:v>
                </c:pt>
                <c:pt idx="225">
                  <c:v>226</c:v>
                </c:pt>
                <c:pt idx="226">
                  <c:v>227</c:v>
                </c:pt>
                <c:pt idx="227">
                  <c:v>228</c:v>
                </c:pt>
                <c:pt idx="228">
                  <c:v>229</c:v>
                </c:pt>
                <c:pt idx="229">
                  <c:v>230</c:v>
                </c:pt>
                <c:pt idx="230">
                  <c:v>231</c:v>
                </c:pt>
                <c:pt idx="231">
                  <c:v>232</c:v>
                </c:pt>
                <c:pt idx="232">
                  <c:v>233</c:v>
                </c:pt>
                <c:pt idx="233">
                  <c:v>234</c:v>
                </c:pt>
                <c:pt idx="234">
                  <c:v>235</c:v>
                </c:pt>
                <c:pt idx="235">
                  <c:v>236</c:v>
                </c:pt>
                <c:pt idx="236">
                  <c:v>237</c:v>
                </c:pt>
                <c:pt idx="237">
                  <c:v>238</c:v>
                </c:pt>
                <c:pt idx="238">
                  <c:v>239</c:v>
                </c:pt>
                <c:pt idx="239">
                  <c:v>240</c:v>
                </c:pt>
                <c:pt idx="240">
                  <c:v>241</c:v>
                </c:pt>
                <c:pt idx="241">
                  <c:v>242</c:v>
                </c:pt>
                <c:pt idx="242">
                  <c:v>243</c:v>
                </c:pt>
                <c:pt idx="243">
                  <c:v>244</c:v>
                </c:pt>
                <c:pt idx="244">
                  <c:v>245</c:v>
                </c:pt>
                <c:pt idx="245">
                  <c:v>246</c:v>
                </c:pt>
                <c:pt idx="246">
                  <c:v>247</c:v>
                </c:pt>
                <c:pt idx="247">
                  <c:v>248</c:v>
                </c:pt>
                <c:pt idx="248">
                  <c:v>249</c:v>
                </c:pt>
                <c:pt idx="249">
                  <c:v>250</c:v>
                </c:pt>
                <c:pt idx="250">
                  <c:v>251</c:v>
                </c:pt>
                <c:pt idx="251">
                  <c:v>252</c:v>
                </c:pt>
                <c:pt idx="252">
                  <c:v>253</c:v>
                </c:pt>
                <c:pt idx="253">
                  <c:v>254</c:v>
                </c:pt>
                <c:pt idx="254">
                  <c:v>255</c:v>
                </c:pt>
                <c:pt idx="255">
                  <c:v>256</c:v>
                </c:pt>
                <c:pt idx="256">
                  <c:v>257</c:v>
                </c:pt>
                <c:pt idx="257">
                  <c:v>258</c:v>
                </c:pt>
                <c:pt idx="258">
                  <c:v>259</c:v>
                </c:pt>
                <c:pt idx="259">
                  <c:v>260</c:v>
                </c:pt>
                <c:pt idx="260">
                  <c:v>261</c:v>
                </c:pt>
                <c:pt idx="261">
                  <c:v>262</c:v>
                </c:pt>
                <c:pt idx="262">
                  <c:v>263</c:v>
                </c:pt>
                <c:pt idx="263">
                  <c:v>264</c:v>
                </c:pt>
                <c:pt idx="264">
                  <c:v>265</c:v>
                </c:pt>
                <c:pt idx="265">
                  <c:v>266</c:v>
                </c:pt>
                <c:pt idx="266">
                  <c:v>267</c:v>
                </c:pt>
                <c:pt idx="267">
                  <c:v>268</c:v>
                </c:pt>
                <c:pt idx="268">
                  <c:v>269</c:v>
                </c:pt>
                <c:pt idx="269">
                  <c:v>270</c:v>
                </c:pt>
                <c:pt idx="270">
                  <c:v>271</c:v>
                </c:pt>
                <c:pt idx="271">
                  <c:v>272</c:v>
                </c:pt>
                <c:pt idx="272">
                  <c:v>273</c:v>
                </c:pt>
                <c:pt idx="273">
                  <c:v>274</c:v>
                </c:pt>
                <c:pt idx="274">
                  <c:v>275</c:v>
                </c:pt>
                <c:pt idx="275">
                  <c:v>276</c:v>
                </c:pt>
                <c:pt idx="276">
                  <c:v>277</c:v>
                </c:pt>
                <c:pt idx="277">
                  <c:v>278</c:v>
                </c:pt>
                <c:pt idx="278">
                  <c:v>279</c:v>
                </c:pt>
                <c:pt idx="279">
                  <c:v>280</c:v>
                </c:pt>
                <c:pt idx="280">
                  <c:v>281</c:v>
                </c:pt>
                <c:pt idx="281">
                  <c:v>282</c:v>
                </c:pt>
                <c:pt idx="282">
                  <c:v>283</c:v>
                </c:pt>
                <c:pt idx="283">
                  <c:v>284</c:v>
                </c:pt>
                <c:pt idx="284">
                  <c:v>285</c:v>
                </c:pt>
                <c:pt idx="285">
                  <c:v>286</c:v>
                </c:pt>
                <c:pt idx="286">
                  <c:v>287</c:v>
                </c:pt>
                <c:pt idx="287">
                  <c:v>288</c:v>
                </c:pt>
                <c:pt idx="288">
                  <c:v>289</c:v>
                </c:pt>
                <c:pt idx="289">
                  <c:v>290</c:v>
                </c:pt>
                <c:pt idx="290">
                  <c:v>291</c:v>
                </c:pt>
                <c:pt idx="291">
                  <c:v>292</c:v>
                </c:pt>
              </c:numCache>
            </c:numRef>
          </c:xVal>
          <c:yVal>
            <c:numRef>
              <c:f>COMPILED!$CD$9:$CD$300</c:f>
              <c:numCache>
                <c:formatCode>0.00</c:formatCode>
                <c:ptCount val="292"/>
                <c:pt idx="0">
                  <c:v>2.1410943729940581</c:v>
                </c:pt>
                <c:pt idx="1">
                  <c:v>2.7549624922017029</c:v>
                </c:pt>
                <c:pt idx="2">
                  <c:v>2.0063456021392674</c:v>
                </c:pt>
                <c:pt idx="3">
                  <c:v>1.925156812946633</c:v>
                </c:pt>
                <c:pt idx="4">
                  <c:v>2.1115078090321409</c:v>
                </c:pt>
                <c:pt idx="5">
                  <c:v>2.4832976289945408</c:v>
                </c:pt>
                <c:pt idx="6">
                  <c:v>2.6985821371722158</c:v>
                </c:pt>
                <c:pt idx="7">
                  <c:v>2.7002896846598383</c:v>
                </c:pt>
                <c:pt idx="8">
                  <c:v>2.8092343358387755</c:v>
                </c:pt>
                <c:pt idx="9">
                  <c:v>3.0007579774941942</c:v>
                </c:pt>
                <c:pt idx="10">
                  <c:v>2.5931393869281005</c:v>
                </c:pt>
                <c:pt idx="11">
                  <c:v>3.0007579774941942</c:v>
                </c:pt>
                <c:pt idx="33">
                  <c:v>1.3369316816236607</c:v>
                </c:pt>
                <c:pt idx="34">
                  <c:v>1.4597111217727723</c:v>
                </c:pt>
                <c:pt idx="35">
                  <c:v>1.1602920265450321</c:v>
                </c:pt>
                <c:pt idx="36">
                  <c:v>1.5002308795392389</c:v>
                </c:pt>
                <c:pt idx="37">
                  <c:v>1.83898574275813</c:v>
                </c:pt>
                <c:pt idx="38">
                  <c:v>1.5909800867329342</c:v>
                </c:pt>
                <c:pt idx="39">
                  <c:v>0.85014553070045829</c:v>
                </c:pt>
                <c:pt idx="40">
                  <c:v>1.7008500008787522</c:v>
                </c:pt>
                <c:pt idx="41">
                  <c:v>1.0770632630564698</c:v>
                </c:pt>
                <c:pt idx="42">
                  <c:v>0.623919600428268</c:v>
                </c:pt>
                <c:pt idx="43">
                  <c:v>0.67386099428768886</c:v>
                </c:pt>
                <c:pt idx="44">
                  <c:v>0.65186017434241805</c:v>
                </c:pt>
                <c:pt idx="45">
                  <c:v>0.66472718297711764</c:v>
                </c:pt>
                <c:pt idx="46">
                  <c:v>0.83312036412713975</c:v>
                </c:pt>
                <c:pt idx="47">
                  <c:v>0.60399379675544496</c:v>
                </c:pt>
                <c:pt idx="48">
                  <c:v>0.82421544824377468</c:v>
                </c:pt>
                <c:pt idx="49">
                  <c:v>1.0199043020699998</c:v>
                </c:pt>
                <c:pt idx="50">
                  <c:v>0.59398704370105126</c:v>
                </c:pt>
                <c:pt idx="51">
                  <c:v>0.64419664316412373</c:v>
                </c:pt>
                <c:pt idx="52">
                  <c:v>0.802486761833617</c:v>
                </c:pt>
                <c:pt idx="53">
                  <c:v>0.7702007007768541</c:v>
                </c:pt>
                <c:pt idx="54">
                  <c:v>0.80403824428854764</c:v>
                </c:pt>
                <c:pt idx="55">
                  <c:v>1.0103516406397579</c:v>
                </c:pt>
                <c:pt idx="56">
                  <c:v>1.1933295708614891</c:v>
                </c:pt>
                <c:pt idx="57">
                  <c:v>1.1533999569537121</c:v>
                </c:pt>
                <c:pt idx="58">
                  <c:v>1.3092905988752443</c:v>
                </c:pt>
                <c:pt idx="59">
                  <c:v>1.480005594348661</c:v>
                </c:pt>
                <c:pt idx="60">
                  <c:v>1.0513052818351629</c:v>
                </c:pt>
                <c:pt idx="61">
                  <c:v>1.3639344221014214</c:v>
                </c:pt>
                <c:pt idx="62">
                  <c:v>0.97069921850830365</c:v>
                </c:pt>
                <c:pt idx="63">
                  <c:v>0.94334842954263587</c:v>
                </c:pt>
                <c:pt idx="64">
                  <c:v>1.0382136142537974</c:v>
                </c:pt>
                <c:pt idx="65">
                  <c:v>1.2809009931352122</c:v>
                </c:pt>
                <c:pt idx="66">
                  <c:v>1.1541900446580264</c:v>
                </c:pt>
                <c:pt idx="67">
                  <c:v>1.084153420669804</c:v>
                </c:pt>
                <c:pt idx="68">
                  <c:v>0.85116728841818157</c:v>
                </c:pt>
                <c:pt idx="69">
                  <c:v>0.83634542254649902</c:v>
                </c:pt>
                <c:pt idx="70">
                  <c:v>0.84472027712624576</c:v>
                </c:pt>
                <c:pt idx="71">
                  <c:v>1.648213738551829</c:v>
                </c:pt>
                <c:pt idx="72">
                  <c:v>1.3545838939847581</c:v>
                </c:pt>
                <c:pt idx="73">
                  <c:v>1.1767697840074078</c:v>
                </c:pt>
                <c:pt idx="74">
                  <c:v>1.3412644849976907</c:v>
                </c:pt>
                <c:pt idx="75">
                  <c:v>1.3034368908401663</c:v>
                </c:pt>
                <c:pt idx="76">
                  <c:v>1.5859507751000514</c:v>
                </c:pt>
                <c:pt idx="77">
                  <c:v>1.2684875583519744</c:v>
                </c:pt>
                <c:pt idx="78">
                  <c:v>1.5699894694150149</c:v>
                </c:pt>
                <c:pt idx="79">
                  <c:v>1.7014878932762449</c:v>
                </c:pt>
                <c:pt idx="80">
                  <c:v>1.5326636732087988</c:v>
                </c:pt>
                <c:pt idx="81">
                  <c:v>2.0918006335593153</c:v>
                </c:pt>
                <c:pt idx="82">
                  <c:v>2.3617103927282592</c:v>
                </c:pt>
                <c:pt idx="83">
                  <c:v>2.4864263970230098</c:v>
                </c:pt>
                <c:pt idx="84">
                  <c:v>3.9606792164968305</c:v>
                </c:pt>
                <c:pt idx="85">
                  <c:v>2.2100961108810644</c:v>
                </c:pt>
                <c:pt idx="86">
                  <c:v>2.2786776718793762</c:v>
                </c:pt>
                <c:pt idx="87">
                  <c:v>2.3107546420389582</c:v>
                </c:pt>
                <c:pt idx="88">
                  <c:v>2.0838055254101322</c:v>
                </c:pt>
                <c:pt idx="89">
                  <c:v>2.4190905009793822</c:v>
                </c:pt>
                <c:pt idx="90">
                  <c:v>2.2871401100168702</c:v>
                </c:pt>
                <c:pt idx="91">
                  <c:v>2.257938770273475</c:v>
                </c:pt>
                <c:pt idx="92">
                  <c:v>2.2157343072777089</c:v>
                </c:pt>
                <c:pt idx="93">
                  <c:v>2.3229238402653838</c:v>
                </c:pt>
                <c:pt idx="94">
                  <c:v>2.2786776718793762</c:v>
                </c:pt>
                <c:pt idx="95">
                  <c:v>2.2581423668719021</c:v>
                </c:pt>
                <c:pt idx="96">
                  <c:v>2.1865972621789305</c:v>
                </c:pt>
                <c:pt idx="107">
                  <c:v>0.68510334653366123</c:v>
                </c:pt>
                <c:pt idx="108">
                  <c:v>0.80526281944999634</c:v>
                </c:pt>
                <c:pt idx="109">
                  <c:v>0.68611834863893006</c:v>
                </c:pt>
                <c:pt idx="110">
                  <c:v>0.91088125595168312</c:v>
                </c:pt>
                <c:pt idx="117">
                  <c:v>0.60997265034262493</c:v>
                </c:pt>
                <c:pt idx="118">
                  <c:v>1.0319073932612342</c:v>
                </c:pt>
                <c:pt idx="119">
                  <c:v>0.76905936868817393</c:v>
                </c:pt>
                <c:pt idx="120">
                  <c:v>0.78285259937021379</c:v>
                </c:pt>
                <c:pt idx="121">
                  <c:v>0.80867844696390589</c:v>
                </c:pt>
                <c:pt idx="122">
                  <c:v>0.87607583383504428</c:v>
                </c:pt>
                <c:pt idx="123">
                  <c:v>0.91880508329803445</c:v>
                </c:pt>
                <c:pt idx="124">
                  <c:v>1.147646433108144</c:v>
                </c:pt>
                <c:pt idx="125">
                  <c:v>1.070957820962297</c:v>
                </c:pt>
                <c:pt idx="126">
                  <c:v>0.85586359462204964</c:v>
                </c:pt>
                <c:pt idx="127">
                  <c:v>1.2237034748289204</c:v>
                </c:pt>
                <c:pt idx="128">
                  <c:v>1.2864888434868298</c:v>
                </c:pt>
                <c:pt idx="129">
                  <c:v>1.183928327468895</c:v>
                </c:pt>
                <c:pt idx="130">
                  <c:v>1.0032751744767234</c:v>
                </c:pt>
                <c:pt idx="131">
                  <c:v>1.1336257667150746</c:v>
                </c:pt>
                <c:pt idx="132">
                  <c:v>1.2903014033412619</c:v>
                </c:pt>
                <c:pt idx="133">
                  <c:v>1.8897327639486197</c:v>
                </c:pt>
                <c:pt idx="134">
                  <c:v>1.8998926175182358</c:v>
                </c:pt>
                <c:pt idx="135">
                  <c:v>0.94208891889303403</c:v>
                </c:pt>
                <c:pt idx="136">
                  <c:v>0.9558101229821192</c:v>
                </c:pt>
                <c:pt idx="137">
                  <c:v>0.94940906848965922</c:v>
                </c:pt>
                <c:pt idx="138">
                  <c:v>1.1875028318423093</c:v>
                </c:pt>
                <c:pt idx="139">
                  <c:v>0.81838027297778693</c:v>
                </c:pt>
                <c:pt idx="140">
                  <c:v>0.57049745371589555</c:v>
                </c:pt>
                <c:pt idx="141">
                  <c:v>0.60405612746388937</c:v>
                </c:pt>
                <c:pt idx="142">
                  <c:v>0.5896738387147491</c:v>
                </c:pt>
                <c:pt idx="143">
                  <c:v>0.68555576370901727</c:v>
                </c:pt>
                <c:pt idx="144">
                  <c:v>0.77417875131261193</c:v>
                </c:pt>
                <c:pt idx="145">
                  <c:v>0.88307508874841456</c:v>
                </c:pt>
                <c:pt idx="146">
                  <c:v>1.0985643489860761</c:v>
                </c:pt>
                <c:pt idx="147">
                  <c:v>0.65637492549482535</c:v>
                </c:pt>
                <c:pt idx="148">
                  <c:v>0.83255977391712066</c:v>
                </c:pt>
                <c:pt idx="149">
                  <c:v>0.7945591203358412</c:v>
                </c:pt>
                <c:pt idx="150">
                  <c:v>0.79969214911291153</c:v>
                </c:pt>
                <c:pt idx="151">
                  <c:v>0.60503920780740772</c:v>
                </c:pt>
                <c:pt idx="152">
                  <c:v>0.9798422568916425</c:v>
                </c:pt>
                <c:pt idx="153">
                  <c:v>0.96194804334726491</c:v>
                </c:pt>
                <c:pt idx="154">
                  <c:v>0.76017784254913623</c:v>
                </c:pt>
                <c:pt idx="155">
                  <c:v>0.80062783694888195</c:v>
                </c:pt>
                <c:pt idx="156">
                  <c:v>0.73786630563570221</c:v>
                </c:pt>
                <c:pt idx="157">
                  <c:v>0.68655139998890236</c:v>
                </c:pt>
                <c:pt idx="158">
                  <c:v>0.86196671707949546</c:v>
                </c:pt>
                <c:pt idx="159">
                  <c:v>0.7472787961335744</c:v>
                </c:pt>
                <c:pt idx="160">
                  <c:v>0.65197216991241713</c:v>
                </c:pt>
                <c:pt idx="161">
                  <c:v>0.94647008593515936</c:v>
                </c:pt>
                <c:pt idx="162">
                  <c:v>1.0625124825058054</c:v>
                </c:pt>
                <c:pt idx="163">
                  <c:v>1.8386067780833379</c:v>
                </c:pt>
                <c:pt idx="164">
                  <c:v>1.7216045285689439</c:v>
                </c:pt>
                <c:pt idx="165">
                  <c:v>1.7079852191016598</c:v>
                </c:pt>
                <c:pt idx="166">
                  <c:v>1.2159051667988112</c:v>
                </c:pt>
                <c:pt idx="167">
                  <c:v>1.1753900001894468</c:v>
                </c:pt>
                <c:pt idx="168">
                  <c:v>1.2253587056743294</c:v>
                </c:pt>
                <c:pt idx="169">
                  <c:v>1.1587337650278191</c:v>
                </c:pt>
                <c:pt idx="170">
                  <c:v>1.1969980890477743</c:v>
                </c:pt>
                <c:pt idx="171">
                  <c:v>1.1677371353854555</c:v>
                </c:pt>
                <c:pt idx="172">
                  <c:v>1.7030327429317385</c:v>
                </c:pt>
                <c:pt idx="173">
                  <c:v>1.7426525522911098</c:v>
                </c:pt>
                <c:pt idx="174">
                  <c:v>1.7234617071326643</c:v>
                </c:pt>
                <c:pt idx="175">
                  <c:v>1.2546196593366479</c:v>
                </c:pt>
                <c:pt idx="176">
                  <c:v>1.2946846574281308</c:v>
                </c:pt>
                <c:pt idx="177">
                  <c:v>1.2555199963724117</c:v>
                </c:pt>
                <c:pt idx="178">
                  <c:v>1.1303181717204209</c:v>
                </c:pt>
                <c:pt idx="179">
                  <c:v>1.1106604643861526</c:v>
                </c:pt>
                <c:pt idx="180">
                  <c:v>1.1885352280565227</c:v>
                </c:pt>
                <c:pt idx="181">
                  <c:v>1.9611151509177391</c:v>
                </c:pt>
                <c:pt idx="182">
                  <c:v>1.7682687599065778</c:v>
                </c:pt>
                <c:pt idx="183">
                  <c:v>2.140696975351414</c:v>
                </c:pt>
                <c:pt idx="184">
                  <c:v>1.5661362737108715</c:v>
                </c:pt>
                <c:pt idx="185">
                  <c:v>1.5175180737796341</c:v>
                </c:pt>
                <c:pt idx="186">
                  <c:v>1.7561073882570017</c:v>
                </c:pt>
                <c:pt idx="187">
                  <c:v>1.7295474457019737</c:v>
                </c:pt>
                <c:pt idx="188">
                  <c:v>1.6309605402858542</c:v>
                </c:pt>
                <c:pt idx="189">
                  <c:v>1.4630476831159334</c:v>
                </c:pt>
                <c:pt idx="190">
                  <c:v>1.7264343576237327</c:v>
                </c:pt>
                <c:pt idx="191">
                  <c:v>1.8162252698405703</c:v>
                </c:pt>
                <c:pt idx="192">
                  <c:v>1.9075467089701943</c:v>
                </c:pt>
                <c:pt idx="193">
                  <c:v>1.6224073384460995</c:v>
                </c:pt>
                <c:pt idx="194">
                  <c:v>1.5742393070327441</c:v>
                </c:pt>
                <c:pt idx="195">
                  <c:v>1.7007366605575374</c:v>
                </c:pt>
                <c:pt idx="196">
                  <c:v>1.2320687679330036</c:v>
                </c:pt>
                <c:pt idx="197">
                  <c:v>1.320640235155655</c:v>
                </c:pt>
                <c:pt idx="198">
                  <c:v>1.4244142676478664</c:v>
                </c:pt>
                <c:pt idx="199">
                  <c:v>2.0685243396669888</c:v>
                </c:pt>
                <c:pt idx="200">
                  <c:v>1.8164299696531667</c:v>
                </c:pt>
                <c:pt idx="201">
                  <c:v>1.951930693535596</c:v>
                </c:pt>
                <c:pt idx="202">
                  <c:v>1.8663986751380492</c:v>
                </c:pt>
                <c:pt idx="203">
                  <c:v>1.7727636234186295</c:v>
                </c:pt>
                <c:pt idx="204">
                  <c:v>1.8096774418849393</c:v>
                </c:pt>
                <c:pt idx="205">
                  <c:v>1.9672364231435782</c:v>
                </c:pt>
                <c:pt idx="206">
                  <c:v>1.7705127808292203</c:v>
                </c:pt>
                <c:pt idx="207">
                  <c:v>1.9163673806229315</c:v>
                </c:pt>
                <c:pt idx="208">
                  <c:v>1.9069138417474136</c:v>
                </c:pt>
                <c:pt idx="209">
                  <c:v>1.8047255881882387</c:v>
                </c:pt>
                <c:pt idx="210">
                  <c:v>1.82723401408233</c:v>
                </c:pt>
                <c:pt idx="211">
                  <c:v>1.8470414288691306</c:v>
                </c:pt>
                <c:pt idx="212">
                  <c:v>1.9663360861078147</c:v>
                </c:pt>
                <c:pt idx="213">
                  <c:v>1.9960472082880145</c:v>
                </c:pt>
                <c:pt idx="214">
                  <c:v>1.3555882882132311</c:v>
                </c:pt>
                <c:pt idx="215">
                  <c:v>1.4711447108778812</c:v>
                </c:pt>
                <c:pt idx="216">
                  <c:v>1.3913697185814728</c:v>
                </c:pt>
                <c:pt idx="217">
                  <c:v>0.83911411733172303</c:v>
                </c:pt>
                <c:pt idx="218">
                  <c:v>0.97821618935720722</c:v>
                </c:pt>
                <c:pt idx="219">
                  <c:v>0.93635051719419726</c:v>
                </c:pt>
                <c:pt idx="220">
                  <c:v>0.94580405606971563</c:v>
                </c:pt>
                <c:pt idx="221">
                  <c:v>0.93049832646173358</c:v>
                </c:pt>
                <c:pt idx="222">
                  <c:v>0.94839252504753602</c:v>
                </c:pt>
                <c:pt idx="223">
                  <c:v>1.5787409922115623</c:v>
                </c:pt>
                <c:pt idx="224">
                  <c:v>1.4544944812761786</c:v>
                </c:pt>
                <c:pt idx="225">
                  <c:v>1.5269716126551525</c:v>
                </c:pt>
                <c:pt idx="226">
                  <c:v>1.4423399312933693</c:v>
                </c:pt>
                <c:pt idx="227">
                  <c:v>1.5062638608325885</c:v>
                </c:pt>
                <c:pt idx="228">
                  <c:v>1.499961501582243</c:v>
                </c:pt>
                <c:pt idx="229">
                  <c:v>1.03194494817805</c:v>
                </c:pt>
                <c:pt idx="230">
                  <c:v>1.0207086138119998</c:v>
                </c:pt>
                <c:pt idx="231">
                  <c:v>1.142061024965342</c:v>
                </c:pt>
                <c:pt idx="232">
                  <c:v>1.0445296426680264</c:v>
                </c:pt>
                <c:pt idx="233">
                  <c:v>1.1299257838500079</c:v>
                </c:pt>
                <c:pt idx="234">
                  <c:v>1.1070036617432655</c:v>
                </c:pt>
                <c:pt idx="235">
                  <c:v>0.7577783896464253</c:v>
                </c:pt>
                <c:pt idx="236">
                  <c:v>1.0643055911522747</c:v>
                </c:pt>
                <c:pt idx="237">
                  <c:v>1.1258807034782297</c:v>
                </c:pt>
                <c:pt idx="238">
                  <c:v>0.87463626705334729</c:v>
                </c:pt>
                <c:pt idx="239">
                  <c:v>0.93531247263001838</c:v>
                </c:pt>
                <c:pt idx="240">
                  <c:v>0.9820556235927872</c:v>
                </c:pt>
                <c:pt idx="241">
                  <c:v>0.92092996464147414</c:v>
                </c:pt>
                <c:pt idx="242">
                  <c:v>0.95868404811140284</c:v>
                </c:pt>
                <c:pt idx="243">
                  <c:v>0.79867864673884792</c:v>
                </c:pt>
                <c:pt idx="244">
                  <c:v>0.853961411819815</c:v>
                </c:pt>
                <c:pt idx="245">
                  <c:v>0.79563334870143065</c:v>
                </c:pt>
                <c:pt idx="246">
                  <c:v>0.8146345793477956</c:v>
                </c:pt>
                <c:pt idx="247">
                  <c:v>0.92122906984201147</c:v>
                </c:pt>
                <c:pt idx="248">
                  <c:v>0.86902047539027039</c:v>
                </c:pt>
                <c:pt idx="249">
                  <c:v>0.64334461550209954</c:v>
                </c:pt>
                <c:pt idx="250">
                  <c:v>0.77470817573551232</c:v>
                </c:pt>
                <c:pt idx="251">
                  <c:v>0.71879445522590579</c:v>
                </c:pt>
                <c:pt idx="252">
                  <c:v>0.74102521157309875</c:v>
                </c:pt>
                <c:pt idx="253">
                  <c:v>1.6959967696862197</c:v>
                </c:pt>
                <c:pt idx="254">
                  <c:v>1.6174784007192649</c:v>
                </c:pt>
                <c:pt idx="255">
                  <c:v>1.6488857483060466</c:v>
                </c:pt>
                <c:pt idx="256">
                  <c:v>1.4792113988331974</c:v>
                </c:pt>
                <c:pt idx="257">
                  <c:v>1.4718153418390314</c:v>
                </c:pt>
                <c:pt idx="258">
                  <c:v>2.0185072213244672</c:v>
                </c:pt>
                <c:pt idx="259">
                  <c:v>5.0253424487760867</c:v>
                </c:pt>
                <c:pt idx="260">
                  <c:v>4.3626208607950101</c:v>
                </c:pt>
                <c:pt idx="261">
                  <c:v>4.7554634975490631</c:v>
                </c:pt>
                <c:pt idx="262">
                  <c:v>4.6520838562979971</c:v>
                </c:pt>
                <c:pt idx="263">
                  <c:v>4.7813084078618298</c:v>
                </c:pt>
                <c:pt idx="264">
                  <c:v>2.7912503137787983</c:v>
                </c:pt>
                <c:pt idx="265">
                  <c:v>0.6212968327037357</c:v>
                </c:pt>
                <c:pt idx="266">
                  <c:v>0.57179110898232255</c:v>
                </c:pt>
                <c:pt idx="267">
                  <c:v>0.75743757293762204</c:v>
                </c:pt>
                <c:pt idx="268">
                  <c:v>1.3500948262209036</c:v>
                </c:pt>
                <c:pt idx="269">
                  <c:v>1.6171465500887745</c:v>
                </c:pt>
                <c:pt idx="270">
                  <c:v>1.7111091936719145</c:v>
                </c:pt>
                <c:pt idx="271">
                  <c:v>1.6625576133066111</c:v>
                </c:pt>
                <c:pt idx="272">
                  <c:v>1.0472079837465467</c:v>
                </c:pt>
                <c:pt idx="273">
                  <c:v>0.97047291597201513</c:v>
                </c:pt>
                <c:pt idx="274">
                  <c:v>1.1013739139403336</c:v>
                </c:pt>
                <c:pt idx="275">
                  <c:v>1.0065835361012065</c:v>
                </c:pt>
                <c:pt idx="276">
                  <c:v>1.0201250186496531</c:v>
                </c:pt>
                <c:pt idx="277">
                  <c:v>0.96144526093971738</c:v>
                </c:pt>
                <c:pt idx="278">
                  <c:v>1.1689757764697053</c:v>
                </c:pt>
                <c:pt idx="279">
                  <c:v>1.1578954373562482</c:v>
                </c:pt>
                <c:pt idx="280">
                  <c:v>1.191136454696619</c:v>
                </c:pt>
                <c:pt idx="281">
                  <c:v>1.2742389980475459</c:v>
                </c:pt>
                <c:pt idx="282">
                  <c:v>2.3374187344994213</c:v>
                </c:pt>
                <c:pt idx="283">
                  <c:v>2.2564294194427328</c:v>
                </c:pt>
                <c:pt idx="284">
                  <c:v>3.1690590870144439</c:v>
                </c:pt>
                <c:pt idx="285">
                  <c:v>3.2400863691835191</c:v>
                </c:pt>
                <c:pt idx="286">
                  <c:v>2.5155557401931659</c:v>
                </c:pt>
                <c:pt idx="287">
                  <c:v>2.7905501268686375</c:v>
                </c:pt>
                <c:pt idx="288">
                  <c:v>1.7488481628634378</c:v>
                </c:pt>
                <c:pt idx="289">
                  <c:v>2.1819140573846854</c:v>
                </c:pt>
                <c:pt idx="290">
                  <c:v>2.8232996802075192</c:v>
                </c:pt>
                <c:pt idx="291">
                  <c:v>2.1687910778895891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DD7-4122-B2AE-06B0DBF2B576}"/>
            </c:ext>
          </c:extLst>
        </c:ser>
        <c:ser>
          <c:idx val="1"/>
          <c:order val="1"/>
          <c:spPr>
            <a:ln w="44450" cap="rnd">
              <a:solidFill>
                <a:srgbClr val="C0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Lit>
              <c:formatCode>General</c:formatCode>
              <c:ptCount val="2"/>
              <c:pt idx="0">
                <c:v>-10</c:v>
              </c:pt>
              <c:pt idx="1">
                <c:v>300</c:v>
              </c:pt>
            </c:numLit>
          </c:xVal>
          <c:yVal>
            <c:numLit>
              <c:formatCode>General</c:formatCode>
              <c:ptCount val="2"/>
              <c:pt idx="0">
                <c:v>1</c:v>
              </c:pt>
              <c:pt idx="1">
                <c:v>1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01-EDD7-4122-B2AE-06B0DBF2B5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19286296"/>
        <c:axId val="669276072"/>
      </c:scatterChart>
      <c:valAx>
        <c:axId val="719286296"/>
        <c:scaling>
          <c:orientation val="minMax"/>
          <c:max val="292"/>
          <c:min val="0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669276072"/>
        <c:crosses val="autoZero"/>
        <c:crossBetween val="midCat"/>
        <c:majorUnit val="25"/>
      </c:valAx>
      <c:valAx>
        <c:axId val="669276072"/>
        <c:scaling>
          <c:orientation val="minMax"/>
          <c:max val="3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Vexp/Vn</a:t>
                </a:r>
              </a:p>
            </c:rich>
          </c:tx>
          <c:layout>
            <c:manualLayout>
              <c:xMode val="edge"/>
              <c:yMode val="edge"/>
              <c:x val="1.2759170653907496E-2"/>
              <c:y val="0.3603388011359858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19286296"/>
        <c:crosses val="autoZero"/>
        <c:crossBetween val="midCat"/>
        <c:majorUnit val="1"/>
      </c:valAx>
      <c:spPr>
        <a:noFill/>
        <a:ln w="6350">
          <a:solidFill>
            <a:schemeClr val="tx1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600" b="1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920" b="1" i="0" u="none" strike="noStrike" kern="1200" spc="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n-CA" dirty="0"/>
              <a:t>CSA S304.14 (2014)</a:t>
            </a:r>
          </a:p>
        </c:rich>
      </c:tx>
      <c:layout>
        <c:manualLayout>
          <c:xMode val="edge"/>
          <c:yMode val="edge"/>
          <c:x val="0.51608501868611223"/>
          <c:y val="0.74275470091214657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920" b="1" i="0" u="none" strike="noStrike" kern="1200" spc="0" baseline="0">
              <a:solidFill>
                <a:sysClr val="windowText" lastClr="000000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0.18312941465376467"/>
          <c:y val="5.2751056604905699E-2"/>
          <c:w val="0.74372087072945314"/>
          <c:h val="0.76875905408017042"/>
        </c:manualLayout>
      </c:layout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6"/>
            <c:spPr>
              <a:solidFill>
                <a:schemeClr val="tx1"/>
              </a:solidFill>
              <a:ln w="9525">
                <a:noFill/>
              </a:ln>
              <a:effectLst/>
            </c:spPr>
          </c:marker>
          <c:xVal>
            <c:numRef>
              <c:f>COMPILED!$CC$9:$CC$300</c:f>
              <c:numCache>
                <c:formatCode>0.00</c:formatCode>
                <c:ptCount val="292"/>
                <c:pt idx="0">
                  <c:v>0.19893654729784518</c:v>
                </c:pt>
                <c:pt idx="1">
                  <c:v>0.37547893480714878</c:v>
                </c:pt>
                <c:pt idx="2">
                  <c:v>0.36393837194616496</c:v>
                </c:pt>
                <c:pt idx="3">
                  <c:v>0.47410823049155576</c:v>
                </c:pt>
                <c:pt idx="4">
                  <c:v>0.40344811435722139</c:v>
                </c:pt>
                <c:pt idx="5">
                  <c:v>0.36754864956499245</c:v>
                </c:pt>
                <c:pt idx="6">
                  <c:v>0.36641232219132447</c:v>
                </c:pt>
                <c:pt idx="7">
                  <c:v>0.39434835864280565</c:v>
                </c:pt>
                <c:pt idx="8">
                  <c:v>0.56316768445595222</c:v>
                </c:pt>
                <c:pt idx="9">
                  <c:v>0.56777910807451215</c:v>
                </c:pt>
                <c:pt idx="10">
                  <c:v>0.56316768445595222</c:v>
                </c:pt>
                <c:pt idx="11">
                  <c:v>0.56777910807451215</c:v>
                </c:pt>
                <c:pt idx="33">
                  <c:v>0.4772500733089875</c:v>
                </c:pt>
                <c:pt idx="34">
                  <c:v>0.4772500733089875</c:v>
                </c:pt>
                <c:pt idx="35">
                  <c:v>0.36913049474294451</c:v>
                </c:pt>
                <c:pt idx="36">
                  <c:v>0.53019355538635937</c:v>
                </c:pt>
                <c:pt idx="37">
                  <c:v>0.34010745236526491</c:v>
                </c:pt>
                <c:pt idx="38">
                  <c:v>0.52024858673522623</c:v>
                </c:pt>
                <c:pt idx="39">
                  <c:v>0.3993538944934496</c:v>
                </c:pt>
                <c:pt idx="40">
                  <c:v>0.26247380497864126</c:v>
                </c:pt>
                <c:pt idx="41">
                  <c:v>0.61758542347915601</c:v>
                </c:pt>
                <c:pt idx="42">
                  <c:v>0.70521906940890666</c:v>
                </c:pt>
                <c:pt idx="43">
                  <c:v>0.90523120520546863</c:v>
                </c:pt>
                <c:pt idx="44">
                  <c:v>0.69800245191999011</c:v>
                </c:pt>
                <c:pt idx="45">
                  <c:v>0.89510405958602435</c:v>
                </c:pt>
                <c:pt idx="46">
                  <c:v>0.68417484980959387</c:v>
                </c:pt>
                <c:pt idx="47">
                  <c:v>0.87749245579519619</c:v>
                </c:pt>
                <c:pt idx="48">
                  <c:v>0.35791612572729781</c:v>
                </c:pt>
                <c:pt idx="49">
                  <c:v>0.35787671378500446</c:v>
                </c:pt>
                <c:pt idx="50">
                  <c:v>0.69866843797499734</c:v>
                </c:pt>
                <c:pt idx="51">
                  <c:v>0.69854446584775554</c:v>
                </c:pt>
                <c:pt idx="52">
                  <c:v>0.69783082616895198</c:v>
                </c:pt>
                <c:pt idx="53">
                  <c:v>0.8958703871653706</c:v>
                </c:pt>
                <c:pt idx="54">
                  <c:v>0.89547979230402308</c:v>
                </c:pt>
                <c:pt idx="55">
                  <c:v>0.89572774823916856</c:v>
                </c:pt>
                <c:pt idx="56">
                  <c:v>0.39385599039559327</c:v>
                </c:pt>
                <c:pt idx="57">
                  <c:v>0.64158143542370316</c:v>
                </c:pt>
                <c:pt idx="58">
                  <c:v>0.64156880124367199</c:v>
                </c:pt>
                <c:pt idx="59">
                  <c:v>0.64188946557197823</c:v>
                </c:pt>
                <c:pt idx="60">
                  <c:v>0.64205898292617447</c:v>
                </c:pt>
                <c:pt idx="61">
                  <c:v>0.58653846331368009</c:v>
                </c:pt>
                <c:pt idx="62">
                  <c:v>0.4532815022517051</c:v>
                </c:pt>
                <c:pt idx="63">
                  <c:v>0.89574538265747872</c:v>
                </c:pt>
                <c:pt idx="64">
                  <c:v>0.89576941318422754</c:v>
                </c:pt>
                <c:pt idx="65">
                  <c:v>0.69091991086197813</c:v>
                </c:pt>
                <c:pt idx="66">
                  <c:v>0.68013062808264546</c:v>
                </c:pt>
                <c:pt idx="67">
                  <c:v>0.68256022246631698</c:v>
                </c:pt>
                <c:pt idx="68">
                  <c:v>0.63442287708629141</c:v>
                </c:pt>
                <c:pt idx="69">
                  <c:v>0.64566623483848518</c:v>
                </c:pt>
                <c:pt idx="70">
                  <c:v>0.64518399138481708</c:v>
                </c:pt>
                <c:pt idx="71">
                  <c:v>0.30890895500841442</c:v>
                </c:pt>
                <c:pt idx="72">
                  <c:v>0.46489533834070823</c:v>
                </c:pt>
                <c:pt idx="73">
                  <c:v>0.46489533834070823</c:v>
                </c:pt>
                <c:pt idx="74">
                  <c:v>0.46489533834070823</c:v>
                </c:pt>
                <c:pt idx="75">
                  <c:v>0.30890895500841442</c:v>
                </c:pt>
                <c:pt idx="76">
                  <c:v>0.29341305105030674</c:v>
                </c:pt>
                <c:pt idx="77">
                  <c:v>0.42615557844543883</c:v>
                </c:pt>
                <c:pt idx="78">
                  <c:v>0.42615557844543883</c:v>
                </c:pt>
                <c:pt idx="79">
                  <c:v>0.42615557844543883</c:v>
                </c:pt>
                <c:pt idx="80">
                  <c:v>0.29341305105030674</c:v>
                </c:pt>
                <c:pt idx="81">
                  <c:v>0.26695930985731764</c:v>
                </c:pt>
                <c:pt idx="82">
                  <c:v>0.26695930985731764</c:v>
                </c:pt>
                <c:pt idx="83">
                  <c:v>0.27288850886248134</c:v>
                </c:pt>
                <c:pt idx="84">
                  <c:v>0.27288850886248134</c:v>
                </c:pt>
                <c:pt idx="85">
                  <c:v>0.27141680910793919</c:v>
                </c:pt>
                <c:pt idx="86">
                  <c:v>0.27141680910793919</c:v>
                </c:pt>
                <c:pt idx="87">
                  <c:v>0.29103592511545051</c:v>
                </c:pt>
                <c:pt idx="88">
                  <c:v>0.29103592511545051</c:v>
                </c:pt>
                <c:pt idx="89">
                  <c:v>0.27303792927740356</c:v>
                </c:pt>
                <c:pt idx="90">
                  <c:v>0.27303792927740356</c:v>
                </c:pt>
                <c:pt idx="91">
                  <c:v>0.28454701200172794</c:v>
                </c:pt>
                <c:pt idx="92">
                  <c:v>0.28454701200172794</c:v>
                </c:pt>
                <c:pt idx="93">
                  <c:v>0.27141680910793919</c:v>
                </c:pt>
                <c:pt idx="94">
                  <c:v>0.27141680910793919</c:v>
                </c:pt>
                <c:pt idx="95">
                  <c:v>0.26856688831737779</c:v>
                </c:pt>
                <c:pt idx="96">
                  <c:v>0.26856688831737779</c:v>
                </c:pt>
                <c:pt idx="107">
                  <c:v>0.61230810553794301</c:v>
                </c:pt>
                <c:pt idx="108">
                  <c:v>0.64407237672285167</c:v>
                </c:pt>
                <c:pt idx="109">
                  <c:v>0.64405448122394382</c:v>
                </c:pt>
                <c:pt idx="110">
                  <c:v>0.64405448122394382</c:v>
                </c:pt>
                <c:pt idx="117">
                  <c:v>0.52182436268164345</c:v>
                </c:pt>
                <c:pt idx="118">
                  <c:v>0.56581835928876156</c:v>
                </c:pt>
                <c:pt idx="119">
                  <c:v>0.58893525884977771</c:v>
                </c:pt>
                <c:pt idx="120">
                  <c:v>0.52182436268164345</c:v>
                </c:pt>
                <c:pt idx="121">
                  <c:v>0.56581835928876156</c:v>
                </c:pt>
                <c:pt idx="122">
                  <c:v>0.59862493388953675</c:v>
                </c:pt>
                <c:pt idx="123">
                  <c:v>0.48407106976566167</c:v>
                </c:pt>
                <c:pt idx="124">
                  <c:v>0.52640684411114813</c:v>
                </c:pt>
                <c:pt idx="125">
                  <c:v>0.55933146956707758</c:v>
                </c:pt>
                <c:pt idx="126">
                  <c:v>0.48407106976566167</c:v>
                </c:pt>
                <c:pt idx="127">
                  <c:v>0.52640684411114813</c:v>
                </c:pt>
                <c:pt idx="128">
                  <c:v>0.55933146956707758</c:v>
                </c:pt>
                <c:pt idx="129">
                  <c:v>0.4526057577517133</c:v>
                </c:pt>
                <c:pt idx="130">
                  <c:v>0.34735402164060214</c:v>
                </c:pt>
                <c:pt idx="131">
                  <c:v>0.3896053526963234</c:v>
                </c:pt>
                <c:pt idx="132">
                  <c:v>0.41011089757507724</c:v>
                </c:pt>
                <c:pt idx="133">
                  <c:v>0.41011089757507724</c:v>
                </c:pt>
                <c:pt idx="134">
                  <c:v>0.41011089757507724</c:v>
                </c:pt>
                <c:pt idx="135">
                  <c:v>0.61624284492987713</c:v>
                </c:pt>
                <c:pt idx="136">
                  <c:v>0.63581252674605215</c:v>
                </c:pt>
                <c:pt idx="137">
                  <c:v>0.58873528369930317</c:v>
                </c:pt>
                <c:pt idx="138">
                  <c:v>0.61624284492987713</c:v>
                </c:pt>
                <c:pt idx="139">
                  <c:v>0.61624284492987713</c:v>
                </c:pt>
                <c:pt idx="140">
                  <c:v>0.77189647625557911</c:v>
                </c:pt>
                <c:pt idx="141">
                  <c:v>0.77189647625557911</c:v>
                </c:pt>
                <c:pt idx="142">
                  <c:v>0.77189647625557911</c:v>
                </c:pt>
                <c:pt idx="143">
                  <c:v>0.77189647625557911</c:v>
                </c:pt>
                <c:pt idx="144">
                  <c:v>0.82215368383859189</c:v>
                </c:pt>
                <c:pt idx="145">
                  <c:v>0.83810449397426967</c:v>
                </c:pt>
                <c:pt idx="146">
                  <c:v>0.35407422097866226</c:v>
                </c:pt>
                <c:pt idx="147">
                  <c:v>0.35407422097866226</c:v>
                </c:pt>
                <c:pt idx="148">
                  <c:v>0.35407422097866226</c:v>
                </c:pt>
                <c:pt idx="149">
                  <c:v>0.35407422097866226</c:v>
                </c:pt>
                <c:pt idx="150">
                  <c:v>0.47326796669542748</c:v>
                </c:pt>
                <c:pt idx="151">
                  <c:v>0.60414196732107761</c:v>
                </c:pt>
                <c:pt idx="152">
                  <c:v>0.60414196732107761</c:v>
                </c:pt>
                <c:pt idx="153">
                  <c:v>0.47078270598434985</c:v>
                </c:pt>
                <c:pt idx="154">
                  <c:v>0.63616543194156272</c:v>
                </c:pt>
                <c:pt idx="155">
                  <c:v>0.52787628361185879</c:v>
                </c:pt>
                <c:pt idx="156">
                  <c:v>0.70883829541977006</c:v>
                </c:pt>
                <c:pt idx="157">
                  <c:v>0.71700610852573132</c:v>
                </c:pt>
                <c:pt idx="158">
                  <c:v>0.50572793145294537</c:v>
                </c:pt>
                <c:pt idx="159">
                  <c:v>0.5990746834805496</c:v>
                </c:pt>
                <c:pt idx="160">
                  <c:v>0.61302548779393062</c:v>
                </c:pt>
                <c:pt idx="161">
                  <c:v>0.53820022838204173</c:v>
                </c:pt>
                <c:pt idx="162">
                  <c:v>0.5513337382038086</c:v>
                </c:pt>
                <c:pt idx="163">
                  <c:v>0.41100893368212205</c:v>
                </c:pt>
                <c:pt idx="164">
                  <c:v>0.41100893368212205</c:v>
                </c:pt>
                <c:pt idx="165">
                  <c:v>0.41100893368212205</c:v>
                </c:pt>
                <c:pt idx="166">
                  <c:v>0.5652083244468129</c:v>
                </c:pt>
                <c:pt idx="167">
                  <c:v>0.5652083244468129</c:v>
                </c:pt>
                <c:pt idx="168">
                  <c:v>0.5652083244468129</c:v>
                </c:pt>
                <c:pt idx="169">
                  <c:v>0.5652083244468129</c:v>
                </c:pt>
                <c:pt idx="170">
                  <c:v>0.5652083244468129</c:v>
                </c:pt>
                <c:pt idx="171">
                  <c:v>0.5652083244468129</c:v>
                </c:pt>
                <c:pt idx="172">
                  <c:v>0.41100893368212205</c:v>
                </c:pt>
                <c:pt idx="173">
                  <c:v>0.41100893368212205</c:v>
                </c:pt>
                <c:pt idx="174">
                  <c:v>0.41100893368212205</c:v>
                </c:pt>
                <c:pt idx="175">
                  <c:v>0.5652083244468129</c:v>
                </c:pt>
                <c:pt idx="176">
                  <c:v>0.5652083244468129</c:v>
                </c:pt>
                <c:pt idx="177">
                  <c:v>0.5652083244468129</c:v>
                </c:pt>
                <c:pt idx="178">
                  <c:v>0.33653028422829878</c:v>
                </c:pt>
                <c:pt idx="179">
                  <c:v>0.33653028422829878</c:v>
                </c:pt>
                <c:pt idx="180">
                  <c:v>0.33653028422829878</c:v>
                </c:pt>
                <c:pt idx="181">
                  <c:v>0.49872823192773608</c:v>
                </c:pt>
                <c:pt idx="182">
                  <c:v>0.49872823192773608</c:v>
                </c:pt>
                <c:pt idx="183">
                  <c:v>0.49872823192773608</c:v>
                </c:pt>
                <c:pt idx="184">
                  <c:v>0.5652083244468129</c:v>
                </c:pt>
                <c:pt idx="185">
                  <c:v>0.5652083244468129</c:v>
                </c:pt>
                <c:pt idx="186">
                  <c:v>0.5652083244468129</c:v>
                </c:pt>
                <c:pt idx="187">
                  <c:v>0.5652083244468129</c:v>
                </c:pt>
                <c:pt idx="188">
                  <c:v>0.5652083244468129</c:v>
                </c:pt>
                <c:pt idx="189">
                  <c:v>0.5652083244468129</c:v>
                </c:pt>
                <c:pt idx="190">
                  <c:v>0.49872823192773608</c:v>
                </c:pt>
                <c:pt idx="191">
                  <c:v>0.49872823192773608</c:v>
                </c:pt>
                <c:pt idx="192">
                  <c:v>0.49872823192773608</c:v>
                </c:pt>
                <c:pt idx="193">
                  <c:v>0.5652083244468129</c:v>
                </c:pt>
                <c:pt idx="194">
                  <c:v>0.5652083244468129</c:v>
                </c:pt>
                <c:pt idx="195">
                  <c:v>0.5652083244468129</c:v>
                </c:pt>
                <c:pt idx="196">
                  <c:v>0.38494140637328389</c:v>
                </c:pt>
                <c:pt idx="197">
                  <c:v>0.38494140637328389</c:v>
                </c:pt>
                <c:pt idx="198">
                  <c:v>0.38494140637328389</c:v>
                </c:pt>
                <c:pt idx="199">
                  <c:v>0.5652083244468129</c:v>
                </c:pt>
                <c:pt idx="200">
                  <c:v>0.5652083244468129</c:v>
                </c:pt>
                <c:pt idx="201">
                  <c:v>0.5652083244468129</c:v>
                </c:pt>
                <c:pt idx="202">
                  <c:v>0.5652083244468129</c:v>
                </c:pt>
                <c:pt idx="203">
                  <c:v>0.5652083244468129</c:v>
                </c:pt>
                <c:pt idx="204">
                  <c:v>0.5652083244468129</c:v>
                </c:pt>
                <c:pt idx="205">
                  <c:v>0.5652083244468129</c:v>
                </c:pt>
                <c:pt idx="206">
                  <c:v>0.5652083244468129</c:v>
                </c:pt>
                <c:pt idx="207">
                  <c:v>0.5652083244468129</c:v>
                </c:pt>
                <c:pt idx="208">
                  <c:v>0.5652083244468129</c:v>
                </c:pt>
                <c:pt idx="209">
                  <c:v>0.5652083244468129</c:v>
                </c:pt>
                <c:pt idx="210">
                  <c:v>0.5652083244468129</c:v>
                </c:pt>
                <c:pt idx="211">
                  <c:v>0.5652083244468129</c:v>
                </c:pt>
                <c:pt idx="212">
                  <c:v>0.5652083244468129</c:v>
                </c:pt>
                <c:pt idx="213">
                  <c:v>0.5652083244468129</c:v>
                </c:pt>
                <c:pt idx="214">
                  <c:v>0.43376629879301248</c:v>
                </c:pt>
                <c:pt idx="215">
                  <c:v>0.43376629879301248</c:v>
                </c:pt>
                <c:pt idx="216">
                  <c:v>0.43376629879301248</c:v>
                </c:pt>
                <c:pt idx="217">
                  <c:v>0.5652083244468129</c:v>
                </c:pt>
                <c:pt idx="218">
                  <c:v>0.5652083244468129</c:v>
                </c:pt>
                <c:pt idx="219">
                  <c:v>0.5652083244468129</c:v>
                </c:pt>
                <c:pt idx="220">
                  <c:v>0.5652083244468129</c:v>
                </c:pt>
                <c:pt idx="221">
                  <c:v>0.5652083244468129</c:v>
                </c:pt>
                <c:pt idx="222">
                  <c:v>0.56876309378295642</c:v>
                </c:pt>
                <c:pt idx="223">
                  <c:v>0.5652083244468129</c:v>
                </c:pt>
                <c:pt idx="224">
                  <c:v>0.5652083244468129</c:v>
                </c:pt>
                <c:pt idx="225">
                  <c:v>0.5652083244468129</c:v>
                </c:pt>
                <c:pt idx="226">
                  <c:v>0.5652083244468129</c:v>
                </c:pt>
                <c:pt idx="227">
                  <c:v>0.5652083244468129</c:v>
                </c:pt>
                <c:pt idx="228">
                  <c:v>0.5652083244468129</c:v>
                </c:pt>
                <c:pt idx="229">
                  <c:v>0.65056283324518327</c:v>
                </c:pt>
                <c:pt idx="230">
                  <c:v>0.65056283324518327</c:v>
                </c:pt>
                <c:pt idx="231">
                  <c:v>0.65056283324518327</c:v>
                </c:pt>
                <c:pt idx="232">
                  <c:v>0.65056283324518327</c:v>
                </c:pt>
                <c:pt idx="233">
                  <c:v>0.65056283324518327</c:v>
                </c:pt>
                <c:pt idx="234">
                  <c:v>0.65056283324518327</c:v>
                </c:pt>
                <c:pt idx="235">
                  <c:v>0.65056283324518327</c:v>
                </c:pt>
                <c:pt idx="236">
                  <c:v>0.65056283324518327</c:v>
                </c:pt>
                <c:pt idx="237">
                  <c:v>0.65056283324518327</c:v>
                </c:pt>
                <c:pt idx="238">
                  <c:v>0.65056283324518327</c:v>
                </c:pt>
                <c:pt idx="239">
                  <c:v>0.65056283324518327</c:v>
                </c:pt>
                <c:pt idx="240">
                  <c:v>0.65056283324518327</c:v>
                </c:pt>
                <c:pt idx="241">
                  <c:v>0.65056283324518327</c:v>
                </c:pt>
                <c:pt idx="242">
                  <c:v>0.65056283324518327</c:v>
                </c:pt>
                <c:pt idx="243">
                  <c:v>0.65056283324518327</c:v>
                </c:pt>
                <c:pt idx="244">
                  <c:v>0.65056283324518327</c:v>
                </c:pt>
                <c:pt idx="245">
                  <c:v>0.65056283324518327</c:v>
                </c:pt>
                <c:pt idx="246">
                  <c:v>0.65056283324518327</c:v>
                </c:pt>
                <c:pt idx="247">
                  <c:v>0.40745517904425477</c:v>
                </c:pt>
                <c:pt idx="248">
                  <c:v>0.40745517904425477</c:v>
                </c:pt>
                <c:pt idx="249">
                  <c:v>0.40745517904425477</c:v>
                </c:pt>
                <c:pt idx="250">
                  <c:v>0.40745517904425477</c:v>
                </c:pt>
                <c:pt idx="251">
                  <c:v>0.40745517904425477</c:v>
                </c:pt>
                <c:pt idx="252">
                  <c:v>0.40745517904425477</c:v>
                </c:pt>
                <c:pt idx="253">
                  <c:v>0.43697730779766569</c:v>
                </c:pt>
                <c:pt idx="254">
                  <c:v>0.43697730779766569</c:v>
                </c:pt>
                <c:pt idx="255">
                  <c:v>0.43697730779766569</c:v>
                </c:pt>
                <c:pt idx="256">
                  <c:v>0.4453496733525934</c:v>
                </c:pt>
                <c:pt idx="257">
                  <c:v>0.4453496733525934</c:v>
                </c:pt>
                <c:pt idx="258">
                  <c:v>0.4453496733525934</c:v>
                </c:pt>
                <c:pt idx="259">
                  <c:v>0.43779917482510872</c:v>
                </c:pt>
                <c:pt idx="260">
                  <c:v>0.43145796008976284</c:v>
                </c:pt>
                <c:pt idx="261">
                  <c:v>0.43145796008976284</c:v>
                </c:pt>
                <c:pt idx="262">
                  <c:v>0.43145796008976284</c:v>
                </c:pt>
                <c:pt idx="263">
                  <c:v>0.43145796008976284</c:v>
                </c:pt>
                <c:pt idx="264">
                  <c:v>0.43145796008976284</c:v>
                </c:pt>
                <c:pt idx="265">
                  <c:v>0.45049305187415828</c:v>
                </c:pt>
                <c:pt idx="266">
                  <c:v>0.45049305187415828</c:v>
                </c:pt>
                <c:pt idx="267">
                  <c:v>0.45049305187415828</c:v>
                </c:pt>
                <c:pt idx="268">
                  <c:v>0.59455459805447408</c:v>
                </c:pt>
                <c:pt idx="269">
                  <c:v>0.59455459805447408</c:v>
                </c:pt>
                <c:pt idx="270">
                  <c:v>0.59455459805447408</c:v>
                </c:pt>
                <c:pt idx="271">
                  <c:v>0.59069477709182916</c:v>
                </c:pt>
                <c:pt idx="272">
                  <c:v>0.65140098121116219</c:v>
                </c:pt>
                <c:pt idx="273">
                  <c:v>0.65140098121116219</c:v>
                </c:pt>
                <c:pt idx="274">
                  <c:v>0.65140098121116219</c:v>
                </c:pt>
                <c:pt idx="275">
                  <c:v>0.65140098121116219</c:v>
                </c:pt>
                <c:pt idx="276">
                  <c:v>0.65140098121116219</c:v>
                </c:pt>
                <c:pt idx="277">
                  <c:v>0.65140098121116219</c:v>
                </c:pt>
                <c:pt idx="278">
                  <c:v>0.53072593589962846</c:v>
                </c:pt>
                <c:pt idx="279">
                  <c:v>0.53072593589962846</c:v>
                </c:pt>
                <c:pt idx="280">
                  <c:v>0.53072593589962846</c:v>
                </c:pt>
                <c:pt idx="281">
                  <c:v>0.53072593589962846</c:v>
                </c:pt>
                <c:pt idx="282">
                  <c:v>0.33226871216667803</c:v>
                </c:pt>
                <c:pt idx="283">
                  <c:v>0.33181883078826074</c:v>
                </c:pt>
                <c:pt idx="284">
                  <c:v>0.33226871216667803</c:v>
                </c:pt>
                <c:pt idx="285">
                  <c:v>0.33226871216667803</c:v>
                </c:pt>
                <c:pt idx="286">
                  <c:v>0.33245426139065443</c:v>
                </c:pt>
                <c:pt idx="287">
                  <c:v>0.33245426139065443</c:v>
                </c:pt>
                <c:pt idx="288">
                  <c:v>0.33245426139065443</c:v>
                </c:pt>
                <c:pt idx="289">
                  <c:v>0.3298796840017883</c:v>
                </c:pt>
                <c:pt idx="290">
                  <c:v>0.3298796840017883</c:v>
                </c:pt>
                <c:pt idx="291">
                  <c:v>0.3298796840017883</c:v>
                </c:pt>
              </c:numCache>
            </c:numRef>
          </c:xVal>
          <c:yVal>
            <c:numRef>
              <c:f>COMPILED!$BM$9:$BM$300</c:f>
              <c:numCache>
                <c:formatCode>0.00</c:formatCode>
                <c:ptCount val="292"/>
                <c:pt idx="0">
                  <c:v>0.42594192200228265</c:v>
                </c:pt>
                <c:pt idx="1">
                  <c:v>1.0344303820055434</c:v>
                </c:pt>
                <c:pt idx="2">
                  <c:v>0.73018615200391301</c:v>
                </c:pt>
                <c:pt idx="3">
                  <c:v>0.91273269000489121</c:v>
                </c:pt>
                <c:pt idx="4">
                  <c:v>0.85188384400456529</c:v>
                </c:pt>
                <c:pt idx="5">
                  <c:v>0.91273269000489121</c:v>
                </c:pt>
                <c:pt idx="6">
                  <c:v>0.98879374750529869</c:v>
                </c:pt>
                <c:pt idx="7">
                  <c:v>1.0648548050057065</c:v>
                </c:pt>
                <c:pt idx="8">
                  <c:v>1.5820699960084781</c:v>
                </c:pt>
                <c:pt idx="9">
                  <c:v>1.7037676880091306</c:v>
                </c:pt>
                <c:pt idx="10">
                  <c:v>1.460372304007826</c:v>
                </c:pt>
                <c:pt idx="11">
                  <c:v>1.7037676880091306</c:v>
                </c:pt>
                <c:pt idx="12">
                  <c:v>0.39370227750000003</c:v>
                </c:pt>
                <c:pt idx="13">
                  <c:v>0.50177741249999996</c:v>
                </c:pt>
                <c:pt idx="14">
                  <c:v>0.66003028875000003</c:v>
                </c:pt>
                <c:pt idx="15">
                  <c:v>0.21229044375000003</c:v>
                </c:pt>
                <c:pt idx="16">
                  <c:v>0.24509896687499999</c:v>
                </c:pt>
                <c:pt idx="17">
                  <c:v>0.52107654375000012</c:v>
                </c:pt>
                <c:pt idx="18">
                  <c:v>0.19106139937500005</c:v>
                </c:pt>
                <c:pt idx="19">
                  <c:v>0.5461654143750001</c:v>
                </c:pt>
                <c:pt idx="20">
                  <c:v>0.50177741249999996</c:v>
                </c:pt>
                <c:pt idx="21">
                  <c:v>0.42458088750000006</c:v>
                </c:pt>
                <c:pt idx="22">
                  <c:v>0.41456406786666666</c:v>
                </c:pt>
                <c:pt idx="23">
                  <c:v>0.38740474079999992</c:v>
                </c:pt>
                <c:pt idx="24">
                  <c:v>0.62005256133333331</c:v>
                </c:pt>
                <c:pt idx="25">
                  <c:v>0.7450879538666666</c:v>
                </c:pt>
                <c:pt idx="26">
                  <c:v>0.34948417093333334</c:v>
                </c:pt>
                <c:pt idx="27">
                  <c:v>0.51346501359999996</c:v>
                </c:pt>
                <c:pt idx="28">
                  <c:v>0.33334230673333332</c:v>
                </c:pt>
                <c:pt idx="29">
                  <c:v>0.80529966953333343</c:v>
                </c:pt>
                <c:pt idx="30">
                  <c:v>0.8798597089333331</c:v>
                </c:pt>
                <c:pt idx="31">
                  <c:v>0.82733459526666653</c:v>
                </c:pt>
                <c:pt idx="32">
                  <c:v>0.48041262499999998</c:v>
                </c:pt>
                <c:pt idx="33">
                  <c:v>0.67568647999999998</c:v>
                </c:pt>
                <c:pt idx="34">
                  <c:v>0.73773931999999998</c:v>
                </c:pt>
                <c:pt idx="35">
                  <c:v>0.4758879664498461</c:v>
                </c:pt>
                <c:pt idx="36">
                  <c:v>0.88379193769257125</c:v>
                </c:pt>
                <c:pt idx="37">
                  <c:v>0.69494750656168003</c:v>
                </c:pt>
                <c:pt idx="38">
                  <c:v>0.91967237960744075</c:v>
                </c:pt>
                <c:pt idx="39">
                  <c:v>0.33950892857142856</c:v>
                </c:pt>
                <c:pt idx="40">
                  <c:v>0.4464285714285714</c:v>
                </c:pt>
                <c:pt idx="41">
                  <c:v>0.6651785714285714</c:v>
                </c:pt>
                <c:pt idx="42">
                  <c:v>0.44</c:v>
                </c:pt>
                <c:pt idx="43">
                  <c:v>0.61</c:v>
                </c:pt>
                <c:pt idx="44">
                  <c:v>0.45500000000000002</c:v>
                </c:pt>
                <c:pt idx="45">
                  <c:v>0.59500000000000008</c:v>
                </c:pt>
                <c:pt idx="46">
                  <c:v>0.56999999999999995</c:v>
                </c:pt>
                <c:pt idx="47">
                  <c:v>0.53</c:v>
                </c:pt>
                <c:pt idx="48">
                  <c:v>0.29499999999999998</c:v>
                </c:pt>
                <c:pt idx="49">
                  <c:v>0.36500000000000005</c:v>
                </c:pt>
                <c:pt idx="50">
                  <c:v>0.41499999999999998</c:v>
                </c:pt>
                <c:pt idx="51">
                  <c:v>0.45</c:v>
                </c:pt>
                <c:pt idx="52">
                  <c:v>0.55999999999999994</c:v>
                </c:pt>
                <c:pt idx="53">
                  <c:v>0.69000000000000006</c:v>
                </c:pt>
                <c:pt idx="54">
                  <c:v>0.72000000000000008</c:v>
                </c:pt>
                <c:pt idx="55">
                  <c:v>0.90500000000000003</c:v>
                </c:pt>
                <c:pt idx="56">
                  <c:v>0.47000000000000003</c:v>
                </c:pt>
                <c:pt idx="57">
                  <c:v>0.74</c:v>
                </c:pt>
                <c:pt idx="58">
                  <c:v>0.84000000000000008</c:v>
                </c:pt>
                <c:pt idx="59">
                  <c:v>0.95</c:v>
                </c:pt>
                <c:pt idx="60">
                  <c:v>0.67500000000000004</c:v>
                </c:pt>
                <c:pt idx="61">
                  <c:v>0.8</c:v>
                </c:pt>
                <c:pt idx="62">
                  <c:v>0.44</c:v>
                </c:pt>
                <c:pt idx="63">
                  <c:v>0.84500000000000008</c:v>
                </c:pt>
                <c:pt idx="64">
                  <c:v>0.93</c:v>
                </c:pt>
                <c:pt idx="65">
                  <c:v>0.88500000000000012</c:v>
                </c:pt>
                <c:pt idx="66">
                  <c:v>0.78500000000000014</c:v>
                </c:pt>
                <c:pt idx="67">
                  <c:v>0.74</c:v>
                </c:pt>
                <c:pt idx="68">
                  <c:v>0.54</c:v>
                </c:pt>
                <c:pt idx="69">
                  <c:v>0.54</c:v>
                </c:pt>
                <c:pt idx="70">
                  <c:v>0.54500000000000004</c:v>
                </c:pt>
                <c:pt idx="71">
                  <c:v>0.50914798360655744</c:v>
                </c:pt>
                <c:pt idx="72">
                  <c:v>0.62973973770491798</c:v>
                </c:pt>
                <c:pt idx="73">
                  <c:v>0.54707478688524602</c:v>
                </c:pt>
                <c:pt idx="74">
                  <c:v>0.62354760655737718</c:v>
                </c:pt>
                <c:pt idx="75">
                  <c:v>0.40264332786885243</c:v>
                </c:pt>
                <c:pt idx="76">
                  <c:v>0.46533865573770489</c:v>
                </c:pt>
                <c:pt idx="77">
                  <c:v>0.54057304918032789</c:v>
                </c:pt>
                <c:pt idx="78">
                  <c:v>0.66905977049180332</c:v>
                </c:pt>
                <c:pt idx="79">
                  <c:v>0.72509855737704931</c:v>
                </c:pt>
                <c:pt idx="80">
                  <c:v>0.44970352459016394</c:v>
                </c:pt>
                <c:pt idx="81">
                  <c:v>0.55842565349409456</c:v>
                </c:pt>
                <c:pt idx="82">
                  <c:v>0.63048057652559064</c:v>
                </c:pt>
                <c:pt idx="83">
                  <c:v>0.6785171918799211</c:v>
                </c:pt>
                <c:pt idx="84">
                  <c:v>1.0808238454724408</c:v>
                </c:pt>
                <c:pt idx="85">
                  <c:v>0.59985723423720472</c:v>
                </c:pt>
                <c:pt idx="86">
                  <c:v>0.61847142268700794</c:v>
                </c:pt>
                <c:pt idx="87">
                  <c:v>0.67251261496063008</c:v>
                </c:pt>
                <c:pt idx="88">
                  <c:v>0.60646226884842525</c:v>
                </c:pt>
                <c:pt idx="89">
                  <c:v>0.66050346112204739</c:v>
                </c:pt>
                <c:pt idx="90">
                  <c:v>0.62447599960629918</c:v>
                </c:pt>
                <c:pt idx="91">
                  <c:v>0.64248973036417334</c:v>
                </c:pt>
                <c:pt idx="92">
                  <c:v>0.63048057652559064</c:v>
                </c:pt>
                <c:pt idx="93">
                  <c:v>0.63048057652559064</c:v>
                </c:pt>
                <c:pt idx="94">
                  <c:v>0.61847142268700794</c:v>
                </c:pt>
                <c:pt idx="95">
                  <c:v>0.60646226884842525</c:v>
                </c:pt>
                <c:pt idx="96">
                  <c:v>0.58724762270669295</c:v>
                </c:pt>
                <c:pt idx="97">
                  <c:v>0.48319797910087636</c:v>
                </c:pt>
                <c:pt idx="98">
                  <c:v>0.60282009088608357</c:v>
                </c:pt>
                <c:pt idx="99">
                  <c:v>0.61506487398220711</c:v>
                </c:pt>
                <c:pt idx="100">
                  <c:v>0.8279357185763554</c:v>
                </c:pt>
                <c:pt idx="101">
                  <c:v>0.63861253378244487</c:v>
                </c:pt>
                <c:pt idx="102">
                  <c:v>0.67817260224684395</c:v>
                </c:pt>
                <c:pt idx="103">
                  <c:v>0.50486182611709496</c:v>
                </c:pt>
                <c:pt idx="104">
                  <c:v>0.71584885792722419</c:v>
                </c:pt>
                <c:pt idx="105">
                  <c:v>0.83170334414439351</c:v>
                </c:pt>
                <c:pt idx="106">
                  <c:v>0.676288789462825</c:v>
                </c:pt>
                <c:pt idx="107">
                  <c:v>0.41949433221373095</c:v>
                </c:pt>
                <c:pt idx="108">
                  <c:v>0.51864753800970376</c:v>
                </c:pt>
                <c:pt idx="109">
                  <c:v>0.44189759709087517</c:v>
                </c:pt>
                <c:pt idx="110">
                  <c:v>0.58665715475857561</c:v>
                </c:pt>
                <c:pt idx="111">
                  <c:v>0.69738877049180326</c:v>
                </c:pt>
                <c:pt idx="112">
                  <c:v>0.70288428688524596</c:v>
                </c:pt>
                <c:pt idx="113">
                  <c:v>0.76209654098360657</c:v>
                </c:pt>
                <c:pt idx="114">
                  <c:v>0.79776321639344261</c:v>
                </c:pt>
                <c:pt idx="115">
                  <c:v>0.83253203278688526</c:v>
                </c:pt>
                <c:pt idx="116">
                  <c:v>0.83858484098360664</c:v>
                </c:pt>
                <c:pt idx="117">
                  <c:v>0.31829858951827317</c:v>
                </c:pt>
                <c:pt idx="118">
                  <c:v>0.58387214819301436</c:v>
                </c:pt>
                <c:pt idx="119">
                  <c:v>0.45292617836921639</c:v>
                </c:pt>
                <c:pt idx="120">
                  <c:v>0.40851155874002976</c:v>
                </c:pt>
                <c:pt idx="121">
                  <c:v>0.45756511205330103</c:v>
                </c:pt>
                <c:pt idx="122">
                  <c:v>0.52444083811172415</c:v>
                </c:pt>
                <c:pt idx="123">
                  <c:v>0.44476695957820739</c:v>
                </c:pt>
                <c:pt idx="124">
                  <c:v>0.60412893700787407</c:v>
                </c:pt>
                <c:pt idx="125">
                  <c:v>0.59902041184319677</c:v>
                </c:pt>
                <c:pt idx="126">
                  <c:v>0.41429880582218021</c:v>
                </c:pt>
                <c:pt idx="127">
                  <c:v>0.64416588431253785</c:v>
                </c:pt>
                <c:pt idx="128">
                  <c:v>0.71957369540913851</c:v>
                </c:pt>
                <c:pt idx="129">
                  <c:v>0.53585277777777784</c:v>
                </c:pt>
                <c:pt idx="130">
                  <c:v>0.3484916666666667</c:v>
                </c:pt>
                <c:pt idx="131">
                  <c:v>0.44166666666666665</c:v>
                </c:pt>
                <c:pt idx="132">
                  <c:v>0.52916666666666667</c:v>
                </c:pt>
                <c:pt idx="133">
                  <c:v>0.77500000000000002</c:v>
                </c:pt>
                <c:pt idx="134">
                  <c:v>0.77916666666666656</c:v>
                </c:pt>
                <c:pt idx="135">
                  <c:v>0.5805555555555556</c:v>
                </c:pt>
                <c:pt idx="136">
                  <c:v>0.60771604938271606</c:v>
                </c:pt>
                <c:pt idx="137">
                  <c:v>0.55895061728395079</c:v>
                </c:pt>
                <c:pt idx="138">
                  <c:v>0.73179012345679018</c:v>
                </c:pt>
                <c:pt idx="139">
                  <c:v>0.50432098765432087</c:v>
                </c:pt>
                <c:pt idx="140">
                  <c:v>0.44036497423608012</c:v>
                </c:pt>
                <c:pt idx="141">
                  <c:v>0.46626879624996714</c:v>
                </c:pt>
                <c:pt idx="142">
                  <c:v>0.45516715824401555</c:v>
                </c:pt>
                <c:pt idx="143">
                  <c:v>0.52917807828369279</c:v>
                </c:pt>
                <c:pt idx="144">
                  <c:v>0.63649391234122499</c:v>
                </c:pt>
                <c:pt idx="145">
                  <c:v>0.7401092003967733</c:v>
                </c:pt>
                <c:pt idx="146">
                  <c:v>0.38897331606217611</c:v>
                </c:pt>
                <c:pt idx="147">
                  <c:v>0.23240544041450778</c:v>
                </c:pt>
                <c:pt idx="148">
                  <c:v>0.29478795336787567</c:v>
                </c:pt>
                <c:pt idx="149">
                  <c:v>0.2813329015544041</c:v>
                </c:pt>
                <c:pt idx="150">
                  <c:v>0.3784686773929643</c:v>
                </c:pt>
                <c:pt idx="151">
                  <c:v>0.36552957731115354</c:v>
                </c:pt>
                <c:pt idx="152">
                  <c:v>0.59196382874284159</c:v>
                </c:pt>
                <c:pt idx="153">
                  <c:v>0.4528685028633761</c:v>
                </c:pt>
                <c:pt idx="154">
                  <c:v>0.48359886555767662</c:v>
                </c:pt>
                <c:pt idx="155">
                  <c:v>0.4226324471247771</c:v>
                </c:pt>
                <c:pt idx="156">
                  <c:v>0.52302789433449415</c:v>
                </c:pt>
                <c:pt idx="157">
                  <c:v>0.49226154760893565</c:v>
                </c:pt>
                <c:pt idx="158">
                  <c:v>0.43592064480989939</c:v>
                </c:pt>
                <c:pt idx="159">
                  <c:v>0.44767580826544728</c:v>
                </c:pt>
                <c:pt idx="160">
                  <c:v>0.39967555748862688</c:v>
                </c:pt>
                <c:pt idx="161">
                  <c:v>0.5093904164070735</c:v>
                </c:pt>
                <c:pt idx="162">
                  <c:v>0.58579897886813448</c:v>
                </c:pt>
                <c:pt idx="163">
                  <c:v>0.75568381132075479</c:v>
                </c:pt>
                <c:pt idx="164">
                  <c:v>0.70759484150943408</c:v>
                </c:pt>
                <c:pt idx="165">
                  <c:v>0.70199718364779884</c:v>
                </c:pt>
                <c:pt idx="166">
                  <c:v>0.68723972201257855</c:v>
                </c:pt>
                <c:pt idx="167">
                  <c:v>0.66434021257861642</c:v>
                </c:pt>
                <c:pt idx="168">
                  <c:v>0.6925829408805031</c:v>
                </c:pt>
                <c:pt idx="169">
                  <c:v>0.65492596981132067</c:v>
                </c:pt>
                <c:pt idx="170">
                  <c:v>0.67655328427672945</c:v>
                </c:pt>
                <c:pt idx="171">
                  <c:v>0.66001474968553442</c:v>
                </c:pt>
                <c:pt idx="172">
                  <c:v>0.6999616716981133</c:v>
                </c:pt>
                <c:pt idx="173">
                  <c:v>0.71624576729559741</c:v>
                </c:pt>
                <c:pt idx="174">
                  <c:v>0.70835815849056605</c:v>
                </c:pt>
                <c:pt idx="175">
                  <c:v>0.70912147547169802</c:v>
                </c:pt>
                <c:pt idx="176">
                  <c:v>0.73176654591194978</c:v>
                </c:pt>
                <c:pt idx="177">
                  <c:v>0.70963035345911951</c:v>
                </c:pt>
                <c:pt idx="178">
                  <c:v>0.38038629559748427</c:v>
                </c:pt>
                <c:pt idx="179">
                  <c:v>0.37377088176100626</c:v>
                </c:pt>
                <c:pt idx="180">
                  <c:v>0.3999780981132075</c:v>
                </c:pt>
                <c:pt idx="181">
                  <c:v>0.97806349182389929</c:v>
                </c:pt>
                <c:pt idx="182">
                  <c:v>0.88188555220125797</c:v>
                </c:pt>
                <c:pt idx="183">
                  <c:v>1.0676260176100631</c:v>
                </c:pt>
                <c:pt idx="184">
                  <c:v>0.88519325911949687</c:v>
                </c:pt>
                <c:pt idx="185">
                  <c:v>0.85771384779874194</c:v>
                </c:pt>
                <c:pt idx="186">
                  <c:v>0.99256651446540867</c:v>
                </c:pt>
                <c:pt idx="187">
                  <c:v>0.97755461383647779</c:v>
                </c:pt>
                <c:pt idx="188">
                  <c:v>0.92183247421383641</c:v>
                </c:pt>
                <c:pt idx="189">
                  <c:v>0.82692672955974855</c:v>
                </c:pt>
                <c:pt idx="190">
                  <c:v>0.86102155471698094</c:v>
                </c:pt>
                <c:pt idx="191">
                  <c:v>0.90580281761006287</c:v>
                </c:pt>
                <c:pt idx="192">
                  <c:v>0.95134739748427666</c:v>
                </c:pt>
                <c:pt idx="193">
                  <c:v>0.91699813333333324</c:v>
                </c:pt>
                <c:pt idx="194">
                  <c:v>0.88977316100628923</c:v>
                </c:pt>
                <c:pt idx="195">
                  <c:v>0.96127051823899379</c:v>
                </c:pt>
                <c:pt idx="196">
                  <c:v>0.47427428427672963</c:v>
                </c:pt>
                <c:pt idx="197">
                  <c:v>0.5083691094339623</c:v>
                </c:pt>
                <c:pt idx="198">
                  <c:v>0.54831603144654084</c:v>
                </c:pt>
                <c:pt idx="199">
                  <c:v>1.1691471761006289</c:v>
                </c:pt>
                <c:pt idx="200">
                  <c:v>1.0266613396226416</c:v>
                </c:pt>
                <c:pt idx="201">
                  <c:v>1.1032474767295599</c:v>
                </c:pt>
                <c:pt idx="202">
                  <c:v>1.0549040679245283</c:v>
                </c:pt>
                <c:pt idx="203">
                  <c:v>1.0019807572327044</c:v>
                </c:pt>
                <c:pt idx="204">
                  <c:v>1.0228447547169812</c:v>
                </c:pt>
                <c:pt idx="205">
                  <c:v>1.1118984025157232</c:v>
                </c:pt>
                <c:pt idx="206">
                  <c:v>1.0007085622641509</c:v>
                </c:pt>
                <c:pt idx="207">
                  <c:v>1.083146796226415</c:v>
                </c:pt>
                <c:pt idx="208">
                  <c:v>1.0778035773584906</c:v>
                </c:pt>
                <c:pt idx="209">
                  <c:v>1.0200459257861634</c:v>
                </c:pt>
                <c:pt idx="210">
                  <c:v>1.032767875471698</c:v>
                </c:pt>
                <c:pt idx="211">
                  <c:v>1.0439631911949685</c:v>
                </c:pt>
                <c:pt idx="212">
                  <c:v>1.1113895245283021</c:v>
                </c:pt>
                <c:pt idx="213">
                  <c:v>1.1281824981132074</c:v>
                </c:pt>
                <c:pt idx="214">
                  <c:v>0.5880085144654088</c:v>
                </c:pt>
                <c:pt idx="215">
                  <c:v>0.63813299622641506</c:v>
                </c:pt>
                <c:pt idx="216">
                  <c:v>0.60352929308176095</c:v>
                </c:pt>
                <c:pt idx="217">
                  <c:v>0.47427428427672963</c:v>
                </c:pt>
                <c:pt idx="218">
                  <c:v>0.55289593333333331</c:v>
                </c:pt>
                <c:pt idx="219">
                  <c:v>0.52923310691823899</c:v>
                </c:pt>
                <c:pt idx="220">
                  <c:v>0.53457632578616354</c:v>
                </c:pt>
                <c:pt idx="221">
                  <c:v>0.52592539999999999</c:v>
                </c:pt>
                <c:pt idx="222">
                  <c:v>0.53941066666666659</c:v>
                </c:pt>
                <c:pt idx="223">
                  <c:v>0.89231755094339615</c:v>
                </c:pt>
                <c:pt idx="224">
                  <c:v>0.82209238867924528</c:v>
                </c:pt>
                <c:pt idx="225">
                  <c:v>0.86305706666666659</c:v>
                </c:pt>
                <c:pt idx="226">
                  <c:v>0.81522253584905657</c:v>
                </c:pt>
                <c:pt idx="227">
                  <c:v>0.85135287295597473</c:v>
                </c:pt>
                <c:pt idx="228">
                  <c:v>0.84779072704402514</c:v>
                </c:pt>
                <c:pt idx="229">
                  <c:v>0.67134502923976602</c:v>
                </c:pt>
                <c:pt idx="230">
                  <c:v>0.6640350877192982</c:v>
                </c:pt>
                <c:pt idx="231">
                  <c:v>0.74298245614035086</c:v>
                </c:pt>
                <c:pt idx="232">
                  <c:v>0.67953216374268999</c:v>
                </c:pt>
                <c:pt idx="233">
                  <c:v>0.73508771929824557</c:v>
                </c:pt>
                <c:pt idx="234">
                  <c:v>0.72017543859649125</c:v>
                </c:pt>
                <c:pt idx="235">
                  <c:v>0.49298245614035086</c:v>
                </c:pt>
                <c:pt idx="236">
                  <c:v>0.69239766081871357</c:v>
                </c:pt>
                <c:pt idx="237">
                  <c:v>0.73245614035087725</c:v>
                </c:pt>
                <c:pt idx="238">
                  <c:v>0.5690058479532164</c:v>
                </c:pt>
                <c:pt idx="239">
                  <c:v>0.60847953216374262</c:v>
                </c:pt>
                <c:pt idx="240">
                  <c:v>0.63888888888888895</c:v>
                </c:pt>
                <c:pt idx="241">
                  <c:v>0.59912280701754383</c:v>
                </c:pt>
                <c:pt idx="242">
                  <c:v>0.62368421052631573</c:v>
                </c:pt>
                <c:pt idx="243">
                  <c:v>0.51959064327485371</c:v>
                </c:pt>
                <c:pt idx="244">
                  <c:v>0.55555555555555558</c:v>
                </c:pt>
                <c:pt idx="245">
                  <c:v>0.51760948555555553</c:v>
                </c:pt>
                <c:pt idx="246">
                  <c:v>0.52997098000000009</c:v>
                </c:pt>
                <c:pt idx="247">
                  <c:v>0.37535955559324913</c:v>
                </c:pt>
                <c:pt idx="248">
                  <c:v>0.35408689339326604</c:v>
                </c:pt>
                <c:pt idx="249">
                  <c:v>0.26213409549656519</c:v>
                </c:pt>
                <c:pt idx="250">
                  <c:v>0.31565885845136116</c:v>
                </c:pt>
                <c:pt idx="251">
                  <c:v>0.29287652345008902</c:v>
                </c:pt>
                <c:pt idx="252">
                  <c:v>0.30193456025782378</c:v>
                </c:pt>
                <c:pt idx="253">
                  <c:v>0.74111210245102199</c:v>
                </c:pt>
                <c:pt idx="254">
                  <c:v>0.70680135696717816</c:v>
                </c:pt>
                <c:pt idx="255">
                  <c:v>0.72052565516071565</c:v>
                </c:pt>
                <c:pt idx="256">
                  <c:v>0.65876631328979729</c:v>
                </c:pt>
                <c:pt idx="257">
                  <c:v>0.65547248172334827</c:v>
                </c:pt>
                <c:pt idx="258">
                  <c:v>0.89894153167670243</c:v>
                </c:pt>
                <c:pt idx="259">
                  <c:v>2.2000907772877616</c:v>
                </c:pt>
                <c:pt idx="260">
                  <c:v>1.8822874972436601</c:v>
                </c:pt>
                <c:pt idx="261">
                  <c:v>2.0517825799338478</c:v>
                </c:pt>
                <c:pt idx="262">
                  <c:v>2.0071786108048513</c:v>
                </c:pt>
                <c:pt idx="263">
                  <c:v>2.0629335722160969</c:v>
                </c:pt>
                <c:pt idx="264">
                  <c:v>1.2043071664829108</c:v>
                </c:pt>
                <c:pt idx="265">
                  <c:v>0.27988990628445426</c:v>
                </c:pt>
                <c:pt idx="266">
                  <c:v>0.25758792171995587</c:v>
                </c:pt>
                <c:pt idx="267">
                  <c:v>0.34122036383682475</c:v>
                </c:pt>
                <c:pt idx="268">
                  <c:v>0.80270508673919438</c:v>
                </c:pt>
                <c:pt idx="269">
                  <c:v>0.96148191708321085</c:v>
                </c:pt>
                <c:pt idx="270">
                  <c:v>1.0173478388709203</c:v>
                </c:pt>
                <c:pt idx="271">
                  <c:v>0.9820640987944721</c:v>
                </c:pt>
                <c:pt idx="272">
                  <c:v>0.68215230814466332</c:v>
                </c:pt>
                <c:pt idx="273">
                  <c:v>0.63216700970302853</c:v>
                </c:pt>
                <c:pt idx="274">
                  <c:v>0.71743604822111151</c:v>
                </c:pt>
                <c:pt idx="275">
                  <c:v>0.65568950308732721</c:v>
                </c:pt>
                <c:pt idx="276">
                  <c:v>0.66451043810643928</c:v>
                </c:pt>
                <c:pt idx="277">
                  <c:v>0.62628638635695377</c:v>
                </c:pt>
                <c:pt idx="278">
                  <c:v>0.62040576301087913</c:v>
                </c:pt>
                <c:pt idx="279">
                  <c:v>0.61452513966480449</c:v>
                </c:pt>
                <c:pt idx="280">
                  <c:v>0.63216700970302853</c:v>
                </c:pt>
                <c:pt idx="281">
                  <c:v>0.67627168479858868</c:v>
                </c:pt>
                <c:pt idx="282">
                  <c:v>0.77665111270638909</c:v>
                </c:pt>
                <c:pt idx="283">
                  <c:v>0.74872577171572152</c:v>
                </c:pt>
                <c:pt idx="284">
                  <c:v>1.0529791816223979</c:v>
                </c:pt>
                <c:pt idx="285">
                  <c:v>1.0765793251974156</c:v>
                </c:pt>
                <c:pt idx="286">
                  <c:v>0.8363072255929398</c:v>
                </c:pt>
                <c:pt idx="287">
                  <c:v>0.92773028130170976</c:v>
                </c:pt>
                <c:pt idx="288">
                  <c:v>0.58141202426916705</c:v>
                </c:pt>
                <c:pt idx="289">
                  <c:v>0.71976911976911973</c:v>
                </c:pt>
                <c:pt idx="290">
                  <c:v>0.93134920634920648</c:v>
                </c:pt>
                <c:pt idx="291">
                  <c:v>0.71544011544011543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8B7-4143-B652-6573FCDE0E85}"/>
            </c:ext>
          </c:extLst>
        </c:ser>
        <c:ser>
          <c:idx val="1"/>
          <c:order val="1"/>
          <c:spPr>
            <a:ln w="44450" cap="rnd">
              <a:solidFill>
                <a:srgbClr val="C0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Lit>
              <c:formatCode>General</c:formatCode>
              <c:ptCount val="2"/>
              <c:pt idx="0">
                <c:v>-1</c:v>
              </c:pt>
              <c:pt idx="1">
                <c:v>8</c:v>
              </c:pt>
            </c:numLit>
          </c:xVal>
          <c:yVal>
            <c:numLit>
              <c:formatCode>General</c:formatCode>
              <c:ptCount val="2"/>
              <c:pt idx="0">
                <c:v>-1</c:v>
              </c:pt>
              <c:pt idx="1">
                <c:v>8</c:v>
              </c:pt>
            </c:numLit>
          </c:yVal>
          <c:smooth val="0"/>
          <c:extLst>
            <c:ext xmlns:c16="http://schemas.microsoft.com/office/drawing/2014/chart" uri="{C3380CC4-5D6E-409C-BE32-E72D297353CC}">
              <c16:uniqueId val="{00000001-F8B7-4143-B652-6573FCDE0E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19286296"/>
        <c:axId val="669276072"/>
      </c:scatterChart>
      <c:valAx>
        <c:axId val="719286296"/>
        <c:scaling>
          <c:orientation val="minMax"/>
          <c:max val="2"/>
          <c:min val="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/>
                  <a:t>Experimental</a:t>
                </a:r>
                <a:r>
                  <a:rPr lang="en-US" baseline="0"/>
                  <a:t> Strength (MPa)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0.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669276072"/>
        <c:crosses val="autoZero"/>
        <c:crossBetween val="midCat"/>
        <c:majorUnit val="0.5"/>
      </c:valAx>
      <c:valAx>
        <c:axId val="669276072"/>
        <c:scaling>
          <c:orientation val="minMax"/>
          <c:max val="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600" b="1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/>
                  <a:t>Predicted STrength (MPa)</a:t>
                </a:r>
              </a:p>
            </c:rich>
          </c:tx>
          <c:layout>
            <c:manualLayout>
              <c:xMode val="edge"/>
              <c:yMode val="edge"/>
              <c:x val="3.0196103083521005E-2"/>
              <c:y val="0.1801757593333917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600" b="1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0.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19286296"/>
        <c:crosses val="autoZero"/>
        <c:crossBetween val="midCat"/>
      </c:valAx>
      <c:spPr>
        <a:noFill/>
        <a:ln w="6350">
          <a:solidFill>
            <a:schemeClr val="tx1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600" b="1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75000"/>
              </a:schemeClr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Histograms!$D$2:$D$3</c:f>
              <c:strCache>
                <c:ptCount val="2"/>
                <c:pt idx="0">
                  <c:v>Monotonic</c:v>
                </c:pt>
                <c:pt idx="1">
                  <c:v>Reverse Cyclic</c:v>
                </c:pt>
              </c:strCache>
            </c:strRef>
          </c:cat>
          <c:val>
            <c:numRef>
              <c:f>Histograms!$E$2:$E$3</c:f>
              <c:numCache>
                <c:formatCode>General</c:formatCode>
                <c:ptCount val="2"/>
                <c:pt idx="0">
                  <c:v>93</c:v>
                </c:pt>
                <c:pt idx="1">
                  <c:v>130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92B-485E-BF7B-8CA2A65E09B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Loading Type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Histograms!$D$9:$D$11</c:f>
              <c:strCache>
                <c:ptCount val="3"/>
                <c:pt idx="0">
                  <c:v>Dynamic</c:v>
                </c:pt>
                <c:pt idx="1">
                  <c:v>Phased-Seq.</c:v>
                </c:pt>
                <c:pt idx="2">
                  <c:v>Quasi-Static</c:v>
                </c:pt>
              </c:strCache>
            </c:strRef>
          </c:cat>
          <c:val>
            <c:numRef>
              <c:f>Histograms!$E$9:$E$11</c:f>
              <c:numCache>
                <c:formatCode>General</c:formatCode>
                <c:ptCount val="3"/>
                <c:pt idx="0">
                  <c:v>7</c:v>
                </c:pt>
                <c:pt idx="1">
                  <c:v>10</c:v>
                </c:pt>
                <c:pt idx="2">
                  <c:v>222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31C-41FB-8E8F-FD6B94FE4B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Loading Rate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Histograms!$D$15:$D$16</c:f>
              <c:strCache>
                <c:ptCount val="2"/>
                <c:pt idx="0">
                  <c:v>Cantilever</c:v>
                </c:pt>
                <c:pt idx="1">
                  <c:v>Double Curvature</c:v>
                </c:pt>
              </c:strCache>
            </c:strRef>
          </c:cat>
          <c:val>
            <c:numRef>
              <c:f>Histograms!$E$15:$E$16</c:f>
              <c:numCache>
                <c:formatCode>General</c:formatCode>
                <c:ptCount val="2"/>
                <c:pt idx="0">
                  <c:v>150</c:v>
                </c:pt>
                <c:pt idx="1">
                  <c:v>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147-4BF7-A016-81EC310662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Support Type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Histograms!$D$20:$D$25</c:f>
              <c:strCache>
                <c:ptCount val="6"/>
                <c:pt idx="0">
                  <c:v>0.6-1.0</c:v>
                </c:pt>
                <c:pt idx="1">
                  <c:v>1.0-1.4</c:v>
                </c:pt>
                <c:pt idx="2">
                  <c:v>1.4-1.8</c:v>
                </c:pt>
                <c:pt idx="3">
                  <c:v>1.8-2.2</c:v>
                </c:pt>
                <c:pt idx="4">
                  <c:v>2.2-2.6</c:v>
                </c:pt>
                <c:pt idx="5">
                  <c:v>2.6-3.0</c:v>
                </c:pt>
              </c:strCache>
            </c:strRef>
          </c:cat>
          <c:val>
            <c:numRef>
              <c:f>Histograms!$E$20:$E$25</c:f>
              <c:numCache>
                <c:formatCode>General</c:formatCode>
                <c:ptCount val="6"/>
                <c:pt idx="0">
                  <c:v>39</c:v>
                </c:pt>
                <c:pt idx="1">
                  <c:v>69</c:v>
                </c:pt>
                <c:pt idx="2">
                  <c:v>36</c:v>
                </c:pt>
                <c:pt idx="3">
                  <c:v>52</c:v>
                </c:pt>
                <c:pt idx="4">
                  <c:v>8</c:v>
                </c:pt>
                <c:pt idx="5">
                  <c:v>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353-48BD-8D89-120A788534B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Height of Wall (m)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Histograms!$D$33:$D$42</c:f>
              <c:strCache>
                <c:ptCount val="10"/>
                <c:pt idx="0">
                  <c:v>0.6-1.0</c:v>
                </c:pt>
                <c:pt idx="1">
                  <c:v>1.0-1.4</c:v>
                </c:pt>
                <c:pt idx="2">
                  <c:v>1.4-1.8</c:v>
                </c:pt>
                <c:pt idx="3">
                  <c:v>1.8-2.2</c:v>
                </c:pt>
                <c:pt idx="4">
                  <c:v>2.2-2.6</c:v>
                </c:pt>
                <c:pt idx="5">
                  <c:v>2.6-3.0</c:v>
                </c:pt>
                <c:pt idx="6">
                  <c:v>3.0-3.4</c:v>
                </c:pt>
                <c:pt idx="7">
                  <c:v>3.4-3.8</c:v>
                </c:pt>
                <c:pt idx="8">
                  <c:v>3.8-4.2</c:v>
                </c:pt>
                <c:pt idx="9">
                  <c:v>4.2-4.6</c:v>
                </c:pt>
              </c:strCache>
            </c:strRef>
          </c:cat>
          <c:val>
            <c:numRef>
              <c:f>Histograms!$E$33:$E$42</c:f>
              <c:numCache>
                <c:formatCode>General</c:formatCode>
                <c:ptCount val="10"/>
                <c:pt idx="0">
                  <c:v>39</c:v>
                </c:pt>
                <c:pt idx="1">
                  <c:v>38</c:v>
                </c:pt>
                <c:pt idx="2">
                  <c:v>76</c:v>
                </c:pt>
                <c:pt idx="3">
                  <c:v>34</c:v>
                </c:pt>
                <c:pt idx="4">
                  <c:v>15</c:v>
                </c:pt>
                <c:pt idx="5">
                  <c:v>20</c:v>
                </c:pt>
                <c:pt idx="6">
                  <c:v>10</c:v>
                </c:pt>
                <c:pt idx="7">
                  <c:v>0</c:v>
                </c:pt>
                <c:pt idx="8">
                  <c:v>4</c:v>
                </c:pt>
                <c:pt idx="9">
                  <c:v>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D80-4B17-AC08-D3F17116E63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Length of Wall (m)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Histograms!$D$58:$D$61</c:f>
              <c:strCache>
                <c:ptCount val="4"/>
                <c:pt idx="0">
                  <c:v>&lt;60</c:v>
                </c:pt>
                <c:pt idx="1">
                  <c:v>60-110</c:v>
                </c:pt>
                <c:pt idx="2">
                  <c:v>110-160</c:v>
                </c:pt>
                <c:pt idx="3">
                  <c:v>160-210</c:v>
                </c:pt>
              </c:strCache>
            </c:strRef>
          </c:cat>
          <c:val>
            <c:numRef>
              <c:f>Histograms!$E$58:$E$61</c:f>
              <c:numCache>
                <c:formatCode>General</c:formatCode>
                <c:ptCount val="4"/>
                <c:pt idx="0">
                  <c:v>4</c:v>
                </c:pt>
                <c:pt idx="1">
                  <c:v>25</c:v>
                </c:pt>
                <c:pt idx="2">
                  <c:v>79</c:v>
                </c:pt>
                <c:pt idx="3">
                  <c:v>131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4D1-4A3E-B9AE-394D2859D32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Thickness of Wall (mm)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Histograms!$D$46:$D$54</c:f>
              <c:strCache>
                <c:ptCount val="9"/>
                <c:pt idx="0">
                  <c:v>&lt;0.5</c:v>
                </c:pt>
                <c:pt idx="1">
                  <c:v>0.5-2</c:v>
                </c:pt>
                <c:pt idx="2">
                  <c:v>2-3.5</c:v>
                </c:pt>
                <c:pt idx="3">
                  <c:v>3.5-5</c:v>
                </c:pt>
                <c:pt idx="4">
                  <c:v>5-6.5</c:v>
                </c:pt>
                <c:pt idx="5">
                  <c:v>6.5-8</c:v>
                </c:pt>
                <c:pt idx="6">
                  <c:v>8-9.5</c:v>
                </c:pt>
                <c:pt idx="7">
                  <c:v>9.5-11</c:v>
                </c:pt>
                <c:pt idx="8">
                  <c:v>11-12.5</c:v>
                </c:pt>
              </c:strCache>
            </c:strRef>
          </c:cat>
          <c:val>
            <c:numRef>
              <c:f>Histograms!$E$46:$E$54</c:f>
              <c:numCache>
                <c:formatCode>General</c:formatCode>
                <c:ptCount val="9"/>
                <c:pt idx="0">
                  <c:v>8</c:v>
                </c:pt>
                <c:pt idx="1">
                  <c:v>122</c:v>
                </c:pt>
                <c:pt idx="2">
                  <c:v>39</c:v>
                </c:pt>
                <c:pt idx="3">
                  <c:v>31</c:v>
                </c:pt>
                <c:pt idx="4">
                  <c:v>17</c:v>
                </c:pt>
                <c:pt idx="5">
                  <c:v>5</c:v>
                </c:pt>
                <c:pt idx="6">
                  <c:v>10</c:v>
                </c:pt>
                <c:pt idx="7">
                  <c:v>4</c:v>
                </c:pt>
                <c:pt idx="8">
                  <c:v>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61-4A5A-B229-A3CDA3B55E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Area of Wall (m</a:t>
                </a:r>
                <a:r>
                  <a:rPr lang="en-CA" baseline="30000"/>
                  <a:t>2</a:t>
                </a:r>
                <a:r>
                  <a:rPr lang="en-CA"/>
                  <a:t>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Histograms!$D$65:$D$74</c:f>
              <c:strCache>
                <c:ptCount val="10"/>
                <c:pt idx="0">
                  <c:v>0.3-0.5</c:v>
                </c:pt>
                <c:pt idx="1">
                  <c:v>0.5-0.7</c:v>
                </c:pt>
                <c:pt idx="2">
                  <c:v>0.7-0.9</c:v>
                </c:pt>
                <c:pt idx="3">
                  <c:v>0.9-1.1</c:v>
                </c:pt>
                <c:pt idx="4">
                  <c:v>1.1-1.3</c:v>
                </c:pt>
                <c:pt idx="5">
                  <c:v>1.3-1.5</c:v>
                </c:pt>
                <c:pt idx="6">
                  <c:v>1.5-1.7</c:v>
                </c:pt>
                <c:pt idx="7">
                  <c:v>1.7-1.9</c:v>
                </c:pt>
                <c:pt idx="8">
                  <c:v>1.9-2.1</c:v>
                </c:pt>
                <c:pt idx="9">
                  <c:v>2.1-2.3</c:v>
                </c:pt>
              </c:strCache>
            </c:strRef>
          </c:cat>
          <c:val>
            <c:numRef>
              <c:f>Histograms!$E$65:$E$74</c:f>
              <c:numCache>
                <c:formatCode>General</c:formatCode>
                <c:ptCount val="10"/>
                <c:pt idx="0">
                  <c:v>13</c:v>
                </c:pt>
                <c:pt idx="1">
                  <c:v>22</c:v>
                </c:pt>
                <c:pt idx="2">
                  <c:v>81</c:v>
                </c:pt>
                <c:pt idx="3">
                  <c:v>66</c:v>
                </c:pt>
                <c:pt idx="4">
                  <c:v>22</c:v>
                </c:pt>
                <c:pt idx="5">
                  <c:v>21</c:v>
                </c:pt>
                <c:pt idx="6">
                  <c:v>3</c:v>
                </c:pt>
                <c:pt idx="7">
                  <c:v>2</c:v>
                </c:pt>
                <c:pt idx="8">
                  <c:v>7</c:v>
                </c:pt>
                <c:pt idx="9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AA6-44E0-B652-65234E23D8F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H/L ratio of wall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Histograms!$D$78:$D$83</c:f>
              <c:strCache>
                <c:ptCount val="6"/>
                <c:pt idx="0">
                  <c:v>0.3-0.4</c:v>
                </c:pt>
                <c:pt idx="1">
                  <c:v>0.4-0.5</c:v>
                </c:pt>
                <c:pt idx="2">
                  <c:v>0.5-0.6</c:v>
                </c:pt>
                <c:pt idx="3">
                  <c:v>0.6-0.7</c:v>
                </c:pt>
                <c:pt idx="4">
                  <c:v>0.7-0.8</c:v>
                </c:pt>
                <c:pt idx="5">
                  <c:v>0.8-0.9</c:v>
                </c:pt>
              </c:strCache>
            </c:strRef>
          </c:cat>
          <c:val>
            <c:numRef>
              <c:f>Histograms!$E$78:$E$83</c:f>
              <c:numCache>
                <c:formatCode>General</c:formatCode>
                <c:ptCount val="6"/>
                <c:pt idx="0">
                  <c:v>2</c:v>
                </c:pt>
                <c:pt idx="1">
                  <c:v>40</c:v>
                </c:pt>
                <c:pt idx="2">
                  <c:v>35</c:v>
                </c:pt>
                <c:pt idx="3">
                  <c:v>115</c:v>
                </c:pt>
                <c:pt idx="4">
                  <c:v>46</c:v>
                </c:pt>
                <c:pt idx="5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F61-4045-A9CA-6A0BEF9F5D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Anet/Agross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Histograms!$D$87:$D$91</c:f>
              <c:strCache>
                <c:ptCount val="5"/>
                <c:pt idx="0">
                  <c:v>1-6</c:v>
                </c:pt>
                <c:pt idx="1">
                  <c:v>6-11</c:v>
                </c:pt>
                <c:pt idx="2">
                  <c:v>11-16</c:v>
                </c:pt>
                <c:pt idx="3">
                  <c:v>16-21</c:v>
                </c:pt>
                <c:pt idx="4">
                  <c:v>21-26</c:v>
                </c:pt>
              </c:strCache>
            </c:strRef>
          </c:cat>
          <c:val>
            <c:numRef>
              <c:f>Histograms!$E$87:$E$91</c:f>
              <c:numCache>
                <c:formatCode>General</c:formatCode>
                <c:ptCount val="5"/>
                <c:pt idx="0">
                  <c:v>11</c:v>
                </c:pt>
                <c:pt idx="1">
                  <c:v>65</c:v>
                </c:pt>
                <c:pt idx="2">
                  <c:v>33</c:v>
                </c:pt>
                <c:pt idx="3">
                  <c:v>39</c:v>
                </c:pt>
                <c:pt idx="4">
                  <c:v>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631-430B-B1C0-70BBBFF9CC9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Compressive</a:t>
                </a:r>
                <a:r>
                  <a:rPr lang="en-CA" baseline="0"/>
                  <a:t> strength of mortar (MPa)</a:t>
                </a:r>
                <a:endParaRPr lang="en-CA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Histograms!$D$95:$D$99</c:f>
              <c:strCache>
                <c:ptCount val="5"/>
                <c:pt idx="0">
                  <c:v>5-15</c:v>
                </c:pt>
                <c:pt idx="1">
                  <c:v>15-25</c:v>
                </c:pt>
                <c:pt idx="2">
                  <c:v>25-35</c:v>
                </c:pt>
                <c:pt idx="3">
                  <c:v>35-45</c:v>
                </c:pt>
                <c:pt idx="4">
                  <c:v>45-55</c:v>
                </c:pt>
              </c:strCache>
            </c:strRef>
          </c:cat>
          <c:val>
            <c:numRef>
              <c:f>Histograms!$E$95:$E$99</c:f>
              <c:numCache>
                <c:formatCode>General</c:formatCode>
                <c:ptCount val="5"/>
                <c:pt idx="0">
                  <c:v>32</c:v>
                </c:pt>
                <c:pt idx="1">
                  <c:v>87</c:v>
                </c:pt>
                <c:pt idx="2">
                  <c:v>64</c:v>
                </c:pt>
                <c:pt idx="3">
                  <c:v>17</c:v>
                </c:pt>
                <c:pt idx="4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543-4653-95CB-75FCE21C22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Compressive</a:t>
                </a:r>
                <a:r>
                  <a:rPr lang="en-CA" baseline="0"/>
                  <a:t> strength of grout (MPa)</a:t>
                </a:r>
                <a:endParaRPr lang="en-CA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Histograms!$D$103:$D$107</c:f>
              <c:strCache>
                <c:ptCount val="5"/>
                <c:pt idx="0">
                  <c:v>4-9</c:v>
                </c:pt>
                <c:pt idx="1">
                  <c:v>9-14</c:v>
                </c:pt>
                <c:pt idx="2">
                  <c:v>14-19</c:v>
                </c:pt>
                <c:pt idx="3">
                  <c:v>19-24</c:v>
                </c:pt>
                <c:pt idx="4">
                  <c:v>24-29</c:v>
                </c:pt>
              </c:strCache>
            </c:strRef>
          </c:cat>
          <c:val>
            <c:numRef>
              <c:f>Histograms!$E$103:$E$107</c:f>
              <c:numCache>
                <c:formatCode>General</c:formatCode>
                <c:ptCount val="5"/>
                <c:pt idx="0">
                  <c:v>52</c:v>
                </c:pt>
                <c:pt idx="1">
                  <c:v>128</c:v>
                </c:pt>
                <c:pt idx="2">
                  <c:v>48</c:v>
                </c:pt>
                <c:pt idx="3">
                  <c:v>6</c:v>
                </c:pt>
                <c:pt idx="4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8D6-4D07-B8AB-23933BF16F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Compressive</a:t>
                </a:r>
                <a:r>
                  <a:rPr lang="en-CA" baseline="0"/>
                  <a:t> strength of masonry (MPa)</a:t>
                </a:r>
                <a:endParaRPr lang="en-CA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Histograms!$D$111:$D$118</c:f>
              <c:strCache>
                <c:ptCount val="8"/>
                <c:pt idx="0">
                  <c:v>0-1%</c:v>
                </c:pt>
                <c:pt idx="1">
                  <c:v>1-2%</c:v>
                </c:pt>
                <c:pt idx="2">
                  <c:v>2-3%</c:v>
                </c:pt>
                <c:pt idx="3">
                  <c:v>3-4%</c:v>
                </c:pt>
                <c:pt idx="4">
                  <c:v>4-5%</c:v>
                </c:pt>
                <c:pt idx="5">
                  <c:v>5-6%</c:v>
                </c:pt>
                <c:pt idx="6">
                  <c:v>6-7%</c:v>
                </c:pt>
                <c:pt idx="7">
                  <c:v>7-8%</c:v>
                </c:pt>
              </c:strCache>
            </c:strRef>
          </c:cat>
          <c:val>
            <c:numRef>
              <c:f>Histograms!$E$111:$E$118</c:f>
              <c:numCache>
                <c:formatCode>General</c:formatCode>
                <c:ptCount val="8"/>
                <c:pt idx="0">
                  <c:v>62</c:v>
                </c:pt>
                <c:pt idx="1">
                  <c:v>43</c:v>
                </c:pt>
                <c:pt idx="2">
                  <c:v>25</c:v>
                </c:pt>
                <c:pt idx="3">
                  <c:v>66</c:v>
                </c:pt>
                <c:pt idx="4">
                  <c:v>24</c:v>
                </c:pt>
                <c:pt idx="5">
                  <c:v>6</c:v>
                </c:pt>
                <c:pt idx="6">
                  <c:v>8</c:v>
                </c:pt>
                <c:pt idx="7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5FF-4499-BEFE-8F2BD08277A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Vertical reinforcement ratio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Histograms!$D$122:$D$125</c:f>
              <c:strCache>
                <c:ptCount val="4"/>
                <c:pt idx="0">
                  <c:v>0-1%</c:v>
                </c:pt>
                <c:pt idx="1">
                  <c:v>1-2%</c:v>
                </c:pt>
                <c:pt idx="2">
                  <c:v>2-3%</c:v>
                </c:pt>
                <c:pt idx="3">
                  <c:v>3-4%</c:v>
                </c:pt>
              </c:strCache>
            </c:strRef>
          </c:cat>
          <c:val>
            <c:numRef>
              <c:f>Histograms!$E$122:$E$125</c:f>
              <c:numCache>
                <c:formatCode>General</c:formatCode>
                <c:ptCount val="4"/>
                <c:pt idx="0">
                  <c:v>186</c:v>
                </c:pt>
                <c:pt idx="1">
                  <c:v>42</c:v>
                </c:pt>
                <c:pt idx="2">
                  <c:v>10</c:v>
                </c:pt>
                <c:pt idx="3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89B-476F-92ED-E489147934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Horizontal reinforcement ratio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Histograms!$D$129:$D$134</c:f>
              <c:strCache>
                <c:ptCount val="6"/>
                <c:pt idx="0">
                  <c:v>0-0.5</c:v>
                </c:pt>
                <c:pt idx="1">
                  <c:v>0.5-1</c:v>
                </c:pt>
                <c:pt idx="2">
                  <c:v>1-1.5</c:v>
                </c:pt>
                <c:pt idx="3">
                  <c:v>1.5-2</c:v>
                </c:pt>
                <c:pt idx="4">
                  <c:v>2-2.5</c:v>
                </c:pt>
                <c:pt idx="5">
                  <c:v>2.5-3</c:v>
                </c:pt>
              </c:strCache>
            </c:strRef>
          </c:cat>
          <c:val>
            <c:numRef>
              <c:f>Histograms!$E$129:$E$134</c:f>
              <c:numCache>
                <c:formatCode>General</c:formatCode>
                <c:ptCount val="6"/>
                <c:pt idx="0">
                  <c:v>96</c:v>
                </c:pt>
                <c:pt idx="1">
                  <c:v>62</c:v>
                </c:pt>
                <c:pt idx="2">
                  <c:v>35</c:v>
                </c:pt>
                <c:pt idx="3">
                  <c:v>6</c:v>
                </c:pt>
                <c:pt idx="4">
                  <c:v>25</c:v>
                </c:pt>
                <c:pt idx="5">
                  <c:v>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3F-42EB-A78D-BEBA7AC3FD0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CA"/>
                  <a:t>Axial stress based on gross area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strRef>
              <c:f>Histograms!$D$148:$D$153</c:f>
              <c:strCache>
                <c:ptCount val="6"/>
                <c:pt idx="0">
                  <c:v>0-0.05</c:v>
                </c:pt>
                <c:pt idx="1">
                  <c:v>0.05-0.1</c:v>
                </c:pt>
                <c:pt idx="2">
                  <c:v>0.1-0.15</c:v>
                </c:pt>
                <c:pt idx="3">
                  <c:v>0.15-0.2</c:v>
                </c:pt>
                <c:pt idx="4">
                  <c:v>0.2-0.25</c:v>
                </c:pt>
                <c:pt idx="5">
                  <c:v>0.25-0.3</c:v>
                </c:pt>
              </c:strCache>
            </c:strRef>
          </c:cat>
          <c:val>
            <c:numRef>
              <c:f>Histograms!$E$148:$E$153</c:f>
              <c:numCache>
                <c:formatCode>General</c:formatCode>
                <c:ptCount val="6"/>
                <c:pt idx="0">
                  <c:v>104</c:v>
                </c:pt>
                <c:pt idx="1">
                  <c:v>54</c:v>
                </c:pt>
                <c:pt idx="2">
                  <c:v>39</c:v>
                </c:pt>
                <c:pt idx="3">
                  <c:v>26</c:v>
                </c:pt>
                <c:pt idx="4">
                  <c:v>2</c:v>
                </c:pt>
                <c:pt idx="5">
                  <c:v>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D21-426E-AC78-AD57407C055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-27"/>
        <c:axId val="587843104"/>
        <c:axId val="589848728"/>
      </c:barChart>
      <c:catAx>
        <c:axId val="587843104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800" b="0" i="0" u="none" strike="noStrike" kern="1200" baseline="0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l-GR"/>
                  <a:t>σ/</a:t>
                </a:r>
                <a:r>
                  <a:rPr lang="en-CA"/>
                  <a:t>f'm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800" b="0" i="0" u="none" strike="noStrike" kern="1200" baseline="0">
                  <a:solidFill>
                    <a:sysClr val="windowText" lastClr="00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9848728"/>
        <c:crosses val="autoZero"/>
        <c:auto val="1"/>
        <c:lblAlgn val="ctr"/>
        <c:lblOffset val="100"/>
        <c:noMultiLvlLbl val="0"/>
      </c:catAx>
      <c:valAx>
        <c:axId val="589848728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baseline="0">
                <a:solidFill>
                  <a:sysClr val="windowText" lastClr="00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87843104"/>
        <c:crosses val="autoZero"/>
        <c:crossBetween val="between"/>
      </c:valAx>
      <c:spPr>
        <a:noFill/>
        <a:ln>
          <a:solidFill>
            <a:sysClr val="windowText" lastClr="000000"/>
          </a:solidFill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800">
          <a:solidFill>
            <a:sysClr val="windowText" lastClr="000000"/>
          </a:solidFill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13" Type="http://schemas.openxmlformats.org/officeDocument/2006/relationships/image" Target="../media/image29.pn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12" Type="http://schemas.openxmlformats.org/officeDocument/2006/relationships/image" Target="../media/image28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11" Type="http://schemas.openxmlformats.org/officeDocument/2006/relationships/image" Target="../media/image27.png"/><Relationship Id="rId5" Type="http://schemas.openxmlformats.org/officeDocument/2006/relationships/image" Target="../media/image21.png"/><Relationship Id="rId15" Type="http://schemas.openxmlformats.org/officeDocument/2006/relationships/chart" Target="../charts/chart2.xml"/><Relationship Id="rId10" Type="http://schemas.openxmlformats.org/officeDocument/2006/relationships/image" Target="../media/image26.png"/><Relationship Id="rId4" Type="http://schemas.openxmlformats.org/officeDocument/2006/relationships/image" Target="../media/image20.png"/><Relationship Id="rId9" Type="http://schemas.openxmlformats.org/officeDocument/2006/relationships/image" Target="../media/image25.png"/><Relationship Id="rId14" Type="http://schemas.openxmlformats.org/officeDocument/2006/relationships/chart" Target="../charts/chart1.xml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chart" Target="../charts/chart10.xml"/><Relationship Id="rId13" Type="http://schemas.openxmlformats.org/officeDocument/2006/relationships/chart" Target="../charts/chart15.xml"/><Relationship Id="rId3" Type="http://schemas.openxmlformats.org/officeDocument/2006/relationships/chart" Target="../charts/chart5.xml"/><Relationship Id="rId7" Type="http://schemas.openxmlformats.org/officeDocument/2006/relationships/chart" Target="../charts/chart9.xml"/><Relationship Id="rId12" Type="http://schemas.openxmlformats.org/officeDocument/2006/relationships/chart" Target="../charts/chart14.xml"/><Relationship Id="rId2" Type="http://schemas.openxmlformats.org/officeDocument/2006/relationships/chart" Target="../charts/chart4.xml"/><Relationship Id="rId16" Type="http://schemas.openxmlformats.org/officeDocument/2006/relationships/chart" Target="../charts/chart18.xml"/><Relationship Id="rId1" Type="http://schemas.openxmlformats.org/officeDocument/2006/relationships/chart" Target="../charts/chart3.xml"/><Relationship Id="rId6" Type="http://schemas.openxmlformats.org/officeDocument/2006/relationships/chart" Target="../charts/chart8.xml"/><Relationship Id="rId11" Type="http://schemas.openxmlformats.org/officeDocument/2006/relationships/chart" Target="../charts/chart13.xml"/><Relationship Id="rId5" Type="http://schemas.openxmlformats.org/officeDocument/2006/relationships/chart" Target="../charts/chart7.xml"/><Relationship Id="rId15" Type="http://schemas.openxmlformats.org/officeDocument/2006/relationships/chart" Target="../charts/chart17.xml"/><Relationship Id="rId10" Type="http://schemas.openxmlformats.org/officeDocument/2006/relationships/chart" Target="../charts/chart12.xml"/><Relationship Id="rId4" Type="http://schemas.openxmlformats.org/officeDocument/2006/relationships/chart" Target="../charts/chart6.xml"/><Relationship Id="rId9" Type="http://schemas.openxmlformats.org/officeDocument/2006/relationships/chart" Target="../charts/chart11.xml"/><Relationship Id="rId14" Type="http://schemas.openxmlformats.org/officeDocument/2006/relationships/chart" Target="../charts/chart16.xml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png"/><Relationship Id="rId3" Type="http://schemas.openxmlformats.org/officeDocument/2006/relationships/image" Target="../media/image32.png"/><Relationship Id="rId7" Type="http://schemas.openxmlformats.org/officeDocument/2006/relationships/image" Target="../media/image36.png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6" Type="http://schemas.openxmlformats.org/officeDocument/2006/relationships/image" Target="../media/image35.png"/><Relationship Id="rId5" Type="http://schemas.openxmlformats.org/officeDocument/2006/relationships/image" Target="../media/image34.png"/><Relationship Id="rId10" Type="http://schemas.openxmlformats.org/officeDocument/2006/relationships/image" Target="../media/image39.png"/><Relationship Id="rId4" Type="http://schemas.openxmlformats.org/officeDocument/2006/relationships/image" Target="../media/image33.png"/><Relationship Id="rId9" Type="http://schemas.openxmlformats.org/officeDocument/2006/relationships/image" Target="../media/image3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6" Type="http://schemas.openxmlformats.org/officeDocument/2006/relationships/image" Target="../media/image45.png"/><Relationship Id="rId5" Type="http://schemas.openxmlformats.org/officeDocument/2006/relationships/image" Target="../media/image44.png"/><Relationship Id="rId4" Type="http://schemas.openxmlformats.org/officeDocument/2006/relationships/image" Target="../media/image43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Relationship Id="rId5" Type="http://schemas.openxmlformats.org/officeDocument/2006/relationships/image" Target="../media/image50.png"/><Relationship Id="rId4" Type="http://schemas.openxmlformats.org/officeDocument/2006/relationships/image" Target="../media/image4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8.png"/><Relationship Id="rId3" Type="http://schemas.openxmlformats.org/officeDocument/2006/relationships/image" Target="../media/image53.png"/><Relationship Id="rId7" Type="http://schemas.openxmlformats.org/officeDocument/2006/relationships/image" Target="../media/image57.png"/><Relationship Id="rId2" Type="http://schemas.openxmlformats.org/officeDocument/2006/relationships/image" Target="../media/image52.png"/><Relationship Id="rId1" Type="http://schemas.openxmlformats.org/officeDocument/2006/relationships/image" Target="../media/image51.png"/><Relationship Id="rId6" Type="http://schemas.openxmlformats.org/officeDocument/2006/relationships/image" Target="../media/image56.png"/><Relationship Id="rId11" Type="http://schemas.openxmlformats.org/officeDocument/2006/relationships/image" Target="../media/image61.png"/><Relationship Id="rId5" Type="http://schemas.openxmlformats.org/officeDocument/2006/relationships/image" Target="../media/image55.png"/><Relationship Id="rId10" Type="http://schemas.openxmlformats.org/officeDocument/2006/relationships/image" Target="../media/image60.png"/><Relationship Id="rId4" Type="http://schemas.openxmlformats.org/officeDocument/2006/relationships/image" Target="../media/image54.png"/><Relationship Id="rId9" Type="http://schemas.openxmlformats.org/officeDocument/2006/relationships/image" Target="../media/image59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png"/><Relationship Id="rId13" Type="http://schemas.openxmlformats.org/officeDocument/2006/relationships/image" Target="../media/image74.png"/><Relationship Id="rId3" Type="http://schemas.openxmlformats.org/officeDocument/2006/relationships/image" Target="../media/image64.png"/><Relationship Id="rId7" Type="http://schemas.openxmlformats.org/officeDocument/2006/relationships/image" Target="../media/image68.png"/><Relationship Id="rId12" Type="http://schemas.openxmlformats.org/officeDocument/2006/relationships/image" Target="../media/image73.png"/><Relationship Id="rId2" Type="http://schemas.openxmlformats.org/officeDocument/2006/relationships/image" Target="../media/image63.png"/><Relationship Id="rId16" Type="http://schemas.openxmlformats.org/officeDocument/2006/relationships/image" Target="../media/image77.png"/><Relationship Id="rId1" Type="http://schemas.openxmlformats.org/officeDocument/2006/relationships/image" Target="../media/image62.png"/><Relationship Id="rId6" Type="http://schemas.openxmlformats.org/officeDocument/2006/relationships/image" Target="../media/image67.png"/><Relationship Id="rId11" Type="http://schemas.openxmlformats.org/officeDocument/2006/relationships/image" Target="../media/image72.png"/><Relationship Id="rId5" Type="http://schemas.openxmlformats.org/officeDocument/2006/relationships/image" Target="../media/image66.png"/><Relationship Id="rId15" Type="http://schemas.openxmlformats.org/officeDocument/2006/relationships/image" Target="../media/image76.png"/><Relationship Id="rId10" Type="http://schemas.openxmlformats.org/officeDocument/2006/relationships/image" Target="../media/image71.png"/><Relationship Id="rId4" Type="http://schemas.openxmlformats.org/officeDocument/2006/relationships/image" Target="../media/image65.png"/><Relationship Id="rId9" Type="http://schemas.openxmlformats.org/officeDocument/2006/relationships/image" Target="../media/image70.png"/><Relationship Id="rId14" Type="http://schemas.openxmlformats.org/officeDocument/2006/relationships/image" Target="../media/image75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.png"/><Relationship Id="rId13" Type="http://schemas.openxmlformats.org/officeDocument/2006/relationships/image" Target="../media/image90.png"/><Relationship Id="rId3" Type="http://schemas.openxmlformats.org/officeDocument/2006/relationships/image" Target="../media/image80.png"/><Relationship Id="rId7" Type="http://schemas.openxmlformats.org/officeDocument/2006/relationships/image" Target="../media/image84.png"/><Relationship Id="rId12" Type="http://schemas.openxmlformats.org/officeDocument/2006/relationships/image" Target="../media/image89.png"/><Relationship Id="rId17" Type="http://schemas.openxmlformats.org/officeDocument/2006/relationships/image" Target="../media/image94.png"/><Relationship Id="rId2" Type="http://schemas.openxmlformats.org/officeDocument/2006/relationships/image" Target="../media/image79.png"/><Relationship Id="rId16" Type="http://schemas.openxmlformats.org/officeDocument/2006/relationships/image" Target="../media/image93.png"/><Relationship Id="rId1" Type="http://schemas.openxmlformats.org/officeDocument/2006/relationships/image" Target="../media/image78.png"/><Relationship Id="rId6" Type="http://schemas.openxmlformats.org/officeDocument/2006/relationships/image" Target="../media/image83.png"/><Relationship Id="rId11" Type="http://schemas.openxmlformats.org/officeDocument/2006/relationships/image" Target="../media/image88.png"/><Relationship Id="rId5" Type="http://schemas.openxmlformats.org/officeDocument/2006/relationships/image" Target="../media/image82.png"/><Relationship Id="rId15" Type="http://schemas.openxmlformats.org/officeDocument/2006/relationships/image" Target="../media/image92.png"/><Relationship Id="rId10" Type="http://schemas.openxmlformats.org/officeDocument/2006/relationships/image" Target="../media/image87.png"/><Relationship Id="rId4" Type="http://schemas.openxmlformats.org/officeDocument/2006/relationships/image" Target="../media/image81.png"/><Relationship Id="rId9" Type="http://schemas.openxmlformats.org/officeDocument/2006/relationships/image" Target="../media/image86.png"/><Relationship Id="rId14" Type="http://schemas.openxmlformats.org/officeDocument/2006/relationships/image" Target="../media/image91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2.png"/><Relationship Id="rId3" Type="http://schemas.openxmlformats.org/officeDocument/2006/relationships/image" Target="../media/image97.png"/><Relationship Id="rId7" Type="http://schemas.openxmlformats.org/officeDocument/2006/relationships/image" Target="../media/image101.png"/><Relationship Id="rId2" Type="http://schemas.openxmlformats.org/officeDocument/2006/relationships/image" Target="../media/image96.png"/><Relationship Id="rId1" Type="http://schemas.openxmlformats.org/officeDocument/2006/relationships/image" Target="../media/image95.png"/><Relationship Id="rId6" Type="http://schemas.openxmlformats.org/officeDocument/2006/relationships/image" Target="../media/image100.png"/><Relationship Id="rId11" Type="http://schemas.openxmlformats.org/officeDocument/2006/relationships/image" Target="../media/image105.png"/><Relationship Id="rId5" Type="http://schemas.openxmlformats.org/officeDocument/2006/relationships/image" Target="../media/image99.png"/><Relationship Id="rId10" Type="http://schemas.openxmlformats.org/officeDocument/2006/relationships/image" Target="../media/image104.png"/><Relationship Id="rId4" Type="http://schemas.openxmlformats.org/officeDocument/2006/relationships/image" Target="../media/image98.png"/><Relationship Id="rId9" Type="http://schemas.openxmlformats.org/officeDocument/2006/relationships/image" Target="../media/image103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3.png"/><Relationship Id="rId3" Type="http://schemas.openxmlformats.org/officeDocument/2006/relationships/image" Target="../media/image108.png"/><Relationship Id="rId7" Type="http://schemas.openxmlformats.org/officeDocument/2006/relationships/image" Target="../media/image112.png"/><Relationship Id="rId2" Type="http://schemas.openxmlformats.org/officeDocument/2006/relationships/image" Target="../media/image107.png"/><Relationship Id="rId1" Type="http://schemas.openxmlformats.org/officeDocument/2006/relationships/image" Target="../media/image106.png"/><Relationship Id="rId6" Type="http://schemas.openxmlformats.org/officeDocument/2006/relationships/image" Target="../media/image111.png"/><Relationship Id="rId5" Type="http://schemas.openxmlformats.org/officeDocument/2006/relationships/image" Target="../media/image110.png"/><Relationship Id="rId4" Type="http://schemas.openxmlformats.org/officeDocument/2006/relationships/image" Target="../media/image109.png"/><Relationship Id="rId9" Type="http://schemas.openxmlformats.org/officeDocument/2006/relationships/image" Target="../media/image114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2.png"/><Relationship Id="rId3" Type="http://schemas.openxmlformats.org/officeDocument/2006/relationships/image" Target="../media/image117.png"/><Relationship Id="rId7" Type="http://schemas.openxmlformats.org/officeDocument/2006/relationships/image" Target="../media/image121.png"/><Relationship Id="rId2" Type="http://schemas.openxmlformats.org/officeDocument/2006/relationships/image" Target="../media/image116.png"/><Relationship Id="rId1" Type="http://schemas.openxmlformats.org/officeDocument/2006/relationships/image" Target="../media/image115.png"/><Relationship Id="rId6" Type="http://schemas.openxmlformats.org/officeDocument/2006/relationships/image" Target="../media/image120.png"/><Relationship Id="rId5" Type="http://schemas.openxmlformats.org/officeDocument/2006/relationships/image" Target="../media/image119.png"/><Relationship Id="rId4" Type="http://schemas.openxmlformats.org/officeDocument/2006/relationships/image" Target="../media/image118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png"/><Relationship Id="rId13" Type="http://schemas.openxmlformats.org/officeDocument/2006/relationships/image" Target="../media/image135.png"/><Relationship Id="rId3" Type="http://schemas.openxmlformats.org/officeDocument/2006/relationships/image" Target="../media/image125.png"/><Relationship Id="rId7" Type="http://schemas.openxmlformats.org/officeDocument/2006/relationships/image" Target="../media/image129.png"/><Relationship Id="rId12" Type="http://schemas.openxmlformats.org/officeDocument/2006/relationships/image" Target="../media/image134.png"/><Relationship Id="rId2" Type="http://schemas.openxmlformats.org/officeDocument/2006/relationships/image" Target="../media/image124.png"/><Relationship Id="rId1" Type="http://schemas.openxmlformats.org/officeDocument/2006/relationships/image" Target="../media/image123.png"/><Relationship Id="rId6" Type="http://schemas.openxmlformats.org/officeDocument/2006/relationships/image" Target="../media/image128.png"/><Relationship Id="rId11" Type="http://schemas.openxmlformats.org/officeDocument/2006/relationships/image" Target="../media/image133.png"/><Relationship Id="rId5" Type="http://schemas.openxmlformats.org/officeDocument/2006/relationships/image" Target="../media/image127.png"/><Relationship Id="rId15" Type="http://schemas.openxmlformats.org/officeDocument/2006/relationships/image" Target="../media/image137.png"/><Relationship Id="rId10" Type="http://schemas.openxmlformats.org/officeDocument/2006/relationships/image" Target="../media/image132.png"/><Relationship Id="rId4" Type="http://schemas.openxmlformats.org/officeDocument/2006/relationships/image" Target="../media/image126.png"/><Relationship Id="rId9" Type="http://schemas.openxmlformats.org/officeDocument/2006/relationships/image" Target="../media/image131.png"/><Relationship Id="rId14" Type="http://schemas.openxmlformats.org/officeDocument/2006/relationships/image" Target="../media/image136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5.png"/><Relationship Id="rId3" Type="http://schemas.openxmlformats.org/officeDocument/2006/relationships/image" Target="../media/image140.png"/><Relationship Id="rId7" Type="http://schemas.openxmlformats.org/officeDocument/2006/relationships/image" Target="../media/image144.png"/><Relationship Id="rId2" Type="http://schemas.openxmlformats.org/officeDocument/2006/relationships/image" Target="../media/image139.png"/><Relationship Id="rId1" Type="http://schemas.openxmlformats.org/officeDocument/2006/relationships/image" Target="../media/image138.png"/><Relationship Id="rId6" Type="http://schemas.openxmlformats.org/officeDocument/2006/relationships/image" Target="../media/image143.png"/><Relationship Id="rId5" Type="http://schemas.openxmlformats.org/officeDocument/2006/relationships/image" Target="../media/image142.png"/><Relationship Id="rId4" Type="http://schemas.openxmlformats.org/officeDocument/2006/relationships/image" Target="../media/image141.png"/><Relationship Id="rId9" Type="http://schemas.openxmlformats.org/officeDocument/2006/relationships/image" Target="../media/image146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9.png"/><Relationship Id="rId7" Type="http://schemas.openxmlformats.org/officeDocument/2006/relationships/image" Target="../media/image153.png"/><Relationship Id="rId2" Type="http://schemas.openxmlformats.org/officeDocument/2006/relationships/image" Target="../media/image148.png"/><Relationship Id="rId1" Type="http://schemas.openxmlformats.org/officeDocument/2006/relationships/image" Target="../media/image147.png"/><Relationship Id="rId6" Type="http://schemas.openxmlformats.org/officeDocument/2006/relationships/image" Target="../media/image152.png"/><Relationship Id="rId5" Type="http://schemas.openxmlformats.org/officeDocument/2006/relationships/image" Target="../media/image151.png"/><Relationship Id="rId4" Type="http://schemas.openxmlformats.org/officeDocument/2006/relationships/image" Target="../media/image150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6.png"/><Relationship Id="rId2" Type="http://schemas.openxmlformats.org/officeDocument/2006/relationships/image" Target="../media/image155.png"/><Relationship Id="rId1" Type="http://schemas.openxmlformats.org/officeDocument/2006/relationships/image" Target="../media/image154.png"/><Relationship Id="rId5" Type="http://schemas.openxmlformats.org/officeDocument/2006/relationships/image" Target="../media/image158.png"/><Relationship Id="rId4" Type="http://schemas.openxmlformats.org/officeDocument/2006/relationships/image" Target="../media/image157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1.png"/><Relationship Id="rId7" Type="http://schemas.openxmlformats.org/officeDocument/2006/relationships/image" Target="../media/image165.png"/><Relationship Id="rId2" Type="http://schemas.openxmlformats.org/officeDocument/2006/relationships/image" Target="../media/image160.png"/><Relationship Id="rId1" Type="http://schemas.openxmlformats.org/officeDocument/2006/relationships/image" Target="../media/image159.png"/><Relationship Id="rId6" Type="http://schemas.openxmlformats.org/officeDocument/2006/relationships/image" Target="../media/image164.png"/><Relationship Id="rId5" Type="http://schemas.openxmlformats.org/officeDocument/2006/relationships/image" Target="../media/image163.png"/><Relationship Id="rId4" Type="http://schemas.openxmlformats.org/officeDocument/2006/relationships/image" Target="../media/image162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8.png"/><Relationship Id="rId2" Type="http://schemas.openxmlformats.org/officeDocument/2006/relationships/image" Target="../media/image167.png"/><Relationship Id="rId1" Type="http://schemas.openxmlformats.org/officeDocument/2006/relationships/image" Target="../media/image166.png"/><Relationship Id="rId6" Type="http://schemas.openxmlformats.org/officeDocument/2006/relationships/image" Target="../media/image171.png"/><Relationship Id="rId5" Type="http://schemas.openxmlformats.org/officeDocument/2006/relationships/image" Target="../media/image170.png"/><Relationship Id="rId4" Type="http://schemas.openxmlformats.org/officeDocument/2006/relationships/image" Target="../media/image169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.png"/><Relationship Id="rId3" Type="http://schemas.openxmlformats.org/officeDocument/2006/relationships/image" Target="../media/image174.png"/><Relationship Id="rId7" Type="http://schemas.openxmlformats.org/officeDocument/2006/relationships/image" Target="../media/image178.png"/><Relationship Id="rId2" Type="http://schemas.openxmlformats.org/officeDocument/2006/relationships/image" Target="../media/image173.png"/><Relationship Id="rId1" Type="http://schemas.openxmlformats.org/officeDocument/2006/relationships/image" Target="../media/image172.png"/><Relationship Id="rId6" Type="http://schemas.openxmlformats.org/officeDocument/2006/relationships/image" Target="../media/image177.png"/><Relationship Id="rId11" Type="http://schemas.openxmlformats.org/officeDocument/2006/relationships/image" Target="../media/image182.png"/><Relationship Id="rId5" Type="http://schemas.openxmlformats.org/officeDocument/2006/relationships/image" Target="../media/image176.png"/><Relationship Id="rId10" Type="http://schemas.openxmlformats.org/officeDocument/2006/relationships/image" Target="../media/image181.png"/><Relationship Id="rId4" Type="http://schemas.openxmlformats.org/officeDocument/2006/relationships/image" Target="../media/image175.png"/><Relationship Id="rId9" Type="http://schemas.openxmlformats.org/officeDocument/2006/relationships/image" Target="../media/image180.pn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0.png"/><Relationship Id="rId13" Type="http://schemas.openxmlformats.org/officeDocument/2006/relationships/image" Target="../media/image195.png"/><Relationship Id="rId3" Type="http://schemas.openxmlformats.org/officeDocument/2006/relationships/image" Target="../media/image185.png"/><Relationship Id="rId7" Type="http://schemas.openxmlformats.org/officeDocument/2006/relationships/image" Target="../media/image189.png"/><Relationship Id="rId12" Type="http://schemas.openxmlformats.org/officeDocument/2006/relationships/image" Target="../media/image194.png"/><Relationship Id="rId2" Type="http://schemas.openxmlformats.org/officeDocument/2006/relationships/image" Target="../media/image184.png"/><Relationship Id="rId1" Type="http://schemas.openxmlformats.org/officeDocument/2006/relationships/image" Target="../media/image183.png"/><Relationship Id="rId6" Type="http://schemas.openxmlformats.org/officeDocument/2006/relationships/image" Target="../media/image188.png"/><Relationship Id="rId11" Type="http://schemas.openxmlformats.org/officeDocument/2006/relationships/image" Target="../media/image193.png"/><Relationship Id="rId5" Type="http://schemas.openxmlformats.org/officeDocument/2006/relationships/image" Target="../media/image187.png"/><Relationship Id="rId15" Type="http://schemas.openxmlformats.org/officeDocument/2006/relationships/image" Target="../media/image197.png"/><Relationship Id="rId10" Type="http://schemas.openxmlformats.org/officeDocument/2006/relationships/image" Target="../media/image192.png"/><Relationship Id="rId4" Type="http://schemas.openxmlformats.org/officeDocument/2006/relationships/image" Target="../media/image186.png"/><Relationship Id="rId9" Type="http://schemas.openxmlformats.org/officeDocument/2006/relationships/image" Target="../media/image191.png"/><Relationship Id="rId14" Type="http://schemas.openxmlformats.org/officeDocument/2006/relationships/image" Target="../media/image196.pn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5.png"/><Relationship Id="rId3" Type="http://schemas.openxmlformats.org/officeDocument/2006/relationships/image" Target="../media/image200.png"/><Relationship Id="rId7" Type="http://schemas.openxmlformats.org/officeDocument/2006/relationships/image" Target="../media/image204.png"/><Relationship Id="rId12" Type="http://schemas.openxmlformats.org/officeDocument/2006/relationships/image" Target="../media/image209.png"/><Relationship Id="rId2" Type="http://schemas.openxmlformats.org/officeDocument/2006/relationships/image" Target="../media/image199.png"/><Relationship Id="rId1" Type="http://schemas.openxmlformats.org/officeDocument/2006/relationships/image" Target="../media/image198.png"/><Relationship Id="rId6" Type="http://schemas.openxmlformats.org/officeDocument/2006/relationships/image" Target="../media/image203.png"/><Relationship Id="rId11" Type="http://schemas.openxmlformats.org/officeDocument/2006/relationships/image" Target="../media/image208.png"/><Relationship Id="rId5" Type="http://schemas.openxmlformats.org/officeDocument/2006/relationships/image" Target="../media/image202.png"/><Relationship Id="rId10" Type="http://schemas.openxmlformats.org/officeDocument/2006/relationships/image" Target="../media/image207.png"/><Relationship Id="rId4" Type="http://schemas.openxmlformats.org/officeDocument/2006/relationships/image" Target="../media/image201.png"/><Relationship Id="rId9" Type="http://schemas.openxmlformats.org/officeDocument/2006/relationships/image" Target="../media/image206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7.png"/><Relationship Id="rId3" Type="http://schemas.openxmlformats.org/officeDocument/2006/relationships/image" Target="../media/image212.png"/><Relationship Id="rId7" Type="http://schemas.openxmlformats.org/officeDocument/2006/relationships/image" Target="../media/image216.png"/><Relationship Id="rId2" Type="http://schemas.openxmlformats.org/officeDocument/2006/relationships/image" Target="../media/image211.png"/><Relationship Id="rId1" Type="http://schemas.openxmlformats.org/officeDocument/2006/relationships/image" Target="../media/image210.png"/><Relationship Id="rId6" Type="http://schemas.openxmlformats.org/officeDocument/2006/relationships/image" Target="../media/image215.png"/><Relationship Id="rId5" Type="http://schemas.openxmlformats.org/officeDocument/2006/relationships/image" Target="../media/image214.png"/><Relationship Id="rId10" Type="http://schemas.openxmlformats.org/officeDocument/2006/relationships/image" Target="../media/image219.png"/><Relationship Id="rId4" Type="http://schemas.openxmlformats.org/officeDocument/2006/relationships/image" Target="../media/image213.png"/><Relationship Id="rId9" Type="http://schemas.openxmlformats.org/officeDocument/2006/relationships/image" Target="../media/image218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7.png"/><Relationship Id="rId3" Type="http://schemas.openxmlformats.org/officeDocument/2006/relationships/image" Target="../media/image222.png"/><Relationship Id="rId7" Type="http://schemas.openxmlformats.org/officeDocument/2006/relationships/image" Target="../media/image226.png"/><Relationship Id="rId12" Type="http://schemas.openxmlformats.org/officeDocument/2006/relationships/image" Target="../media/image231.png"/><Relationship Id="rId2" Type="http://schemas.openxmlformats.org/officeDocument/2006/relationships/image" Target="../media/image221.png"/><Relationship Id="rId1" Type="http://schemas.openxmlformats.org/officeDocument/2006/relationships/image" Target="../media/image220.png"/><Relationship Id="rId6" Type="http://schemas.openxmlformats.org/officeDocument/2006/relationships/image" Target="../media/image225.png"/><Relationship Id="rId11" Type="http://schemas.openxmlformats.org/officeDocument/2006/relationships/image" Target="../media/image230.png"/><Relationship Id="rId5" Type="http://schemas.openxmlformats.org/officeDocument/2006/relationships/image" Target="../media/image224.png"/><Relationship Id="rId10" Type="http://schemas.openxmlformats.org/officeDocument/2006/relationships/image" Target="../media/image229.png"/><Relationship Id="rId4" Type="http://schemas.openxmlformats.org/officeDocument/2006/relationships/image" Target="../media/image223.png"/><Relationship Id="rId9" Type="http://schemas.openxmlformats.org/officeDocument/2006/relationships/image" Target="../media/image228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9.png"/><Relationship Id="rId13" Type="http://schemas.openxmlformats.org/officeDocument/2006/relationships/image" Target="../media/image244.png"/><Relationship Id="rId3" Type="http://schemas.openxmlformats.org/officeDocument/2006/relationships/image" Target="../media/image234.png"/><Relationship Id="rId7" Type="http://schemas.openxmlformats.org/officeDocument/2006/relationships/image" Target="../media/image238.png"/><Relationship Id="rId12" Type="http://schemas.openxmlformats.org/officeDocument/2006/relationships/image" Target="../media/image243.png"/><Relationship Id="rId2" Type="http://schemas.openxmlformats.org/officeDocument/2006/relationships/image" Target="../media/image233.png"/><Relationship Id="rId1" Type="http://schemas.openxmlformats.org/officeDocument/2006/relationships/image" Target="../media/image232.png"/><Relationship Id="rId6" Type="http://schemas.openxmlformats.org/officeDocument/2006/relationships/image" Target="../media/image237.png"/><Relationship Id="rId11" Type="http://schemas.openxmlformats.org/officeDocument/2006/relationships/image" Target="../media/image242.png"/><Relationship Id="rId5" Type="http://schemas.openxmlformats.org/officeDocument/2006/relationships/image" Target="../media/image236.png"/><Relationship Id="rId15" Type="http://schemas.openxmlformats.org/officeDocument/2006/relationships/image" Target="../media/image246.png"/><Relationship Id="rId10" Type="http://schemas.openxmlformats.org/officeDocument/2006/relationships/image" Target="../media/image241.png"/><Relationship Id="rId4" Type="http://schemas.openxmlformats.org/officeDocument/2006/relationships/image" Target="../media/image235.png"/><Relationship Id="rId9" Type="http://schemas.openxmlformats.org/officeDocument/2006/relationships/image" Target="../media/image240.png"/><Relationship Id="rId14" Type="http://schemas.openxmlformats.org/officeDocument/2006/relationships/image" Target="../media/image245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4.png"/><Relationship Id="rId13" Type="http://schemas.openxmlformats.org/officeDocument/2006/relationships/image" Target="../media/image259.png"/><Relationship Id="rId18" Type="http://schemas.openxmlformats.org/officeDocument/2006/relationships/image" Target="../media/image264.png"/><Relationship Id="rId26" Type="http://schemas.openxmlformats.org/officeDocument/2006/relationships/image" Target="../media/image271.png"/><Relationship Id="rId3" Type="http://schemas.openxmlformats.org/officeDocument/2006/relationships/image" Target="../media/image249.png"/><Relationship Id="rId21" Type="http://schemas.openxmlformats.org/officeDocument/2006/relationships/image" Target="../media/image266.png"/><Relationship Id="rId7" Type="http://schemas.openxmlformats.org/officeDocument/2006/relationships/image" Target="../media/image253.png"/><Relationship Id="rId12" Type="http://schemas.openxmlformats.org/officeDocument/2006/relationships/image" Target="../media/image258.png"/><Relationship Id="rId17" Type="http://schemas.openxmlformats.org/officeDocument/2006/relationships/image" Target="../media/image263.png"/><Relationship Id="rId25" Type="http://schemas.openxmlformats.org/officeDocument/2006/relationships/image" Target="../media/image270.png"/><Relationship Id="rId2" Type="http://schemas.openxmlformats.org/officeDocument/2006/relationships/image" Target="../media/image248.png"/><Relationship Id="rId16" Type="http://schemas.openxmlformats.org/officeDocument/2006/relationships/image" Target="../media/image262.png"/><Relationship Id="rId20" Type="http://schemas.openxmlformats.org/officeDocument/2006/relationships/image" Target="../media/image5.png"/><Relationship Id="rId1" Type="http://schemas.openxmlformats.org/officeDocument/2006/relationships/image" Target="../media/image247.png"/><Relationship Id="rId6" Type="http://schemas.openxmlformats.org/officeDocument/2006/relationships/image" Target="../media/image252.png"/><Relationship Id="rId11" Type="http://schemas.openxmlformats.org/officeDocument/2006/relationships/image" Target="../media/image257.png"/><Relationship Id="rId24" Type="http://schemas.openxmlformats.org/officeDocument/2006/relationships/image" Target="../media/image269.png"/><Relationship Id="rId5" Type="http://schemas.openxmlformats.org/officeDocument/2006/relationships/image" Target="../media/image251.png"/><Relationship Id="rId15" Type="http://schemas.openxmlformats.org/officeDocument/2006/relationships/image" Target="../media/image261.png"/><Relationship Id="rId23" Type="http://schemas.openxmlformats.org/officeDocument/2006/relationships/image" Target="../media/image268.png"/><Relationship Id="rId10" Type="http://schemas.openxmlformats.org/officeDocument/2006/relationships/image" Target="../media/image256.png"/><Relationship Id="rId19" Type="http://schemas.openxmlformats.org/officeDocument/2006/relationships/image" Target="../media/image265.png"/><Relationship Id="rId4" Type="http://schemas.openxmlformats.org/officeDocument/2006/relationships/image" Target="../media/image250.png"/><Relationship Id="rId9" Type="http://schemas.openxmlformats.org/officeDocument/2006/relationships/image" Target="../media/image255.png"/><Relationship Id="rId14" Type="http://schemas.openxmlformats.org/officeDocument/2006/relationships/image" Target="../media/image260.png"/><Relationship Id="rId22" Type="http://schemas.openxmlformats.org/officeDocument/2006/relationships/image" Target="../media/image267.png"/><Relationship Id="rId27" Type="http://schemas.openxmlformats.org/officeDocument/2006/relationships/image" Target="../media/image272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png"/><Relationship Id="rId13" Type="http://schemas.openxmlformats.org/officeDocument/2006/relationships/image" Target="../media/image285.png"/><Relationship Id="rId3" Type="http://schemas.openxmlformats.org/officeDocument/2006/relationships/image" Target="../media/image275.png"/><Relationship Id="rId7" Type="http://schemas.openxmlformats.org/officeDocument/2006/relationships/image" Target="../media/image279.png"/><Relationship Id="rId12" Type="http://schemas.openxmlformats.org/officeDocument/2006/relationships/image" Target="../media/image284.png"/><Relationship Id="rId2" Type="http://schemas.openxmlformats.org/officeDocument/2006/relationships/image" Target="../media/image274.png"/><Relationship Id="rId1" Type="http://schemas.openxmlformats.org/officeDocument/2006/relationships/image" Target="../media/image273.png"/><Relationship Id="rId6" Type="http://schemas.openxmlformats.org/officeDocument/2006/relationships/image" Target="../media/image278.png"/><Relationship Id="rId11" Type="http://schemas.openxmlformats.org/officeDocument/2006/relationships/image" Target="../media/image283.png"/><Relationship Id="rId5" Type="http://schemas.openxmlformats.org/officeDocument/2006/relationships/image" Target="../media/image277.png"/><Relationship Id="rId15" Type="http://schemas.openxmlformats.org/officeDocument/2006/relationships/image" Target="../media/image287.png"/><Relationship Id="rId10" Type="http://schemas.openxmlformats.org/officeDocument/2006/relationships/image" Target="../media/image282.png"/><Relationship Id="rId4" Type="http://schemas.openxmlformats.org/officeDocument/2006/relationships/image" Target="../media/image276.png"/><Relationship Id="rId9" Type="http://schemas.openxmlformats.org/officeDocument/2006/relationships/image" Target="../media/image281.png"/><Relationship Id="rId14" Type="http://schemas.openxmlformats.org/officeDocument/2006/relationships/image" Target="../media/image286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5.png"/><Relationship Id="rId13" Type="http://schemas.openxmlformats.org/officeDocument/2006/relationships/image" Target="../media/image300.png"/><Relationship Id="rId3" Type="http://schemas.openxmlformats.org/officeDocument/2006/relationships/image" Target="../media/image290.png"/><Relationship Id="rId7" Type="http://schemas.openxmlformats.org/officeDocument/2006/relationships/image" Target="../media/image294.png"/><Relationship Id="rId12" Type="http://schemas.openxmlformats.org/officeDocument/2006/relationships/image" Target="../media/image299.png"/><Relationship Id="rId2" Type="http://schemas.openxmlformats.org/officeDocument/2006/relationships/image" Target="../media/image289.png"/><Relationship Id="rId1" Type="http://schemas.openxmlformats.org/officeDocument/2006/relationships/image" Target="../media/image288.png"/><Relationship Id="rId6" Type="http://schemas.openxmlformats.org/officeDocument/2006/relationships/image" Target="../media/image293.png"/><Relationship Id="rId11" Type="http://schemas.openxmlformats.org/officeDocument/2006/relationships/image" Target="../media/image298.png"/><Relationship Id="rId5" Type="http://schemas.openxmlformats.org/officeDocument/2006/relationships/image" Target="../media/image292.png"/><Relationship Id="rId10" Type="http://schemas.openxmlformats.org/officeDocument/2006/relationships/image" Target="../media/image297.png"/><Relationship Id="rId4" Type="http://schemas.openxmlformats.org/officeDocument/2006/relationships/image" Target="../media/image291.png"/><Relationship Id="rId9" Type="http://schemas.openxmlformats.org/officeDocument/2006/relationships/image" Target="../media/image296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8.png"/><Relationship Id="rId3" Type="http://schemas.openxmlformats.org/officeDocument/2006/relationships/image" Target="../media/image303.png"/><Relationship Id="rId7" Type="http://schemas.openxmlformats.org/officeDocument/2006/relationships/image" Target="../media/image307.png"/><Relationship Id="rId2" Type="http://schemas.openxmlformats.org/officeDocument/2006/relationships/image" Target="../media/image302.png"/><Relationship Id="rId1" Type="http://schemas.openxmlformats.org/officeDocument/2006/relationships/image" Target="../media/image301.png"/><Relationship Id="rId6" Type="http://schemas.openxmlformats.org/officeDocument/2006/relationships/image" Target="../media/image306.png"/><Relationship Id="rId5" Type="http://schemas.openxmlformats.org/officeDocument/2006/relationships/image" Target="../media/image305.png"/><Relationship Id="rId4" Type="http://schemas.openxmlformats.org/officeDocument/2006/relationships/image" Target="../media/image304.png"/><Relationship Id="rId9" Type="http://schemas.openxmlformats.org/officeDocument/2006/relationships/image" Target="../media/image309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7.png"/><Relationship Id="rId13" Type="http://schemas.openxmlformats.org/officeDocument/2006/relationships/image" Target="../media/image322.png"/><Relationship Id="rId3" Type="http://schemas.openxmlformats.org/officeDocument/2006/relationships/image" Target="../media/image312.png"/><Relationship Id="rId7" Type="http://schemas.openxmlformats.org/officeDocument/2006/relationships/image" Target="../media/image316.png"/><Relationship Id="rId12" Type="http://schemas.openxmlformats.org/officeDocument/2006/relationships/image" Target="../media/image321.png"/><Relationship Id="rId2" Type="http://schemas.openxmlformats.org/officeDocument/2006/relationships/image" Target="../media/image311.png"/><Relationship Id="rId1" Type="http://schemas.openxmlformats.org/officeDocument/2006/relationships/image" Target="../media/image310.png"/><Relationship Id="rId6" Type="http://schemas.openxmlformats.org/officeDocument/2006/relationships/image" Target="../media/image315.png"/><Relationship Id="rId11" Type="http://schemas.openxmlformats.org/officeDocument/2006/relationships/image" Target="../media/image320.png"/><Relationship Id="rId5" Type="http://schemas.openxmlformats.org/officeDocument/2006/relationships/image" Target="../media/image314.png"/><Relationship Id="rId10" Type="http://schemas.openxmlformats.org/officeDocument/2006/relationships/image" Target="../media/image319.png"/><Relationship Id="rId4" Type="http://schemas.openxmlformats.org/officeDocument/2006/relationships/image" Target="../media/image313.png"/><Relationship Id="rId9" Type="http://schemas.openxmlformats.org/officeDocument/2006/relationships/image" Target="../media/image318.png"/><Relationship Id="rId14" Type="http://schemas.openxmlformats.org/officeDocument/2006/relationships/image" Target="../media/image3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409575</xdr:colOff>
      <xdr:row>22</xdr:row>
      <xdr:rowOff>38100</xdr:rowOff>
    </xdr:from>
    <xdr:to>
      <xdr:col>11</xdr:col>
      <xdr:colOff>589765</xdr:colOff>
      <xdr:row>36</xdr:row>
      <xdr:rowOff>133005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75" y="4229100"/>
          <a:ext cx="6276190" cy="2761905"/>
        </a:xfrm>
        <a:prstGeom prst="rect">
          <a:avLst/>
        </a:prstGeom>
      </xdr:spPr>
    </xdr:pic>
    <xdr:clientData/>
  </xdr:twoCellAnchor>
  <xdr:twoCellAnchor editAs="oneCell">
    <xdr:from>
      <xdr:col>12</xdr:col>
      <xdr:colOff>76200</xdr:colOff>
      <xdr:row>22</xdr:row>
      <xdr:rowOff>57150</xdr:rowOff>
    </xdr:from>
    <xdr:to>
      <xdr:col>22</xdr:col>
      <xdr:colOff>65914</xdr:colOff>
      <xdr:row>32</xdr:row>
      <xdr:rowOff>37864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91400" y="4248150"/>
          <a:ext cx="6085714" cy="1885714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</xdr:colOff>
      <xdr:row>32</xdr:row>
      <xdr:rowOff>19050</xdr:rowOff>
    </xdr:from>
    <xdr:to>
      <xdr:col>22</xdr:col>
      <xdr:colOff>113529</xdr:colOff>
      <xdr:row>45</xdr:row>
      <xdr:rowOff>113979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53300" y="6115050"/>
          <a:ext cx="6171429" cy="2571429"/>
        </a:xfrm>
        <a:prstGeom prst="rect">
          <a:avLst/>
        </a:prstGeom>
      </xdr:spPr>
    </xdr:pic>
    <xdr:clientData/>
  </xdr:twoCellAnchor>
  <xdr:twoCellAnchor editAs="oneCell">
    <xdr:from>
      <xdr:col>23</xdr:col>
      <xdr:colOff>66675</xdr:colOff>
      <xdr:row>22</xdr:row>
      <xdr:rowOff>66675</xdr:rowOff>
    </xdr:from>
    <xdr:to>
      <xdr:col>27</xdr:col>
      <xdr:colOff>504465</xdr:colOff>
      <xdr:row>47</xdr:row>
      <xdr:rowOff>18461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087475" y="4257675"/>
          <a:ext cx="2876190" cy="4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38</xdr:row>
      <xdr:rowOff>152400</xdr:rowOff>
    </xdr:from>
    <xdr:to>
      <xdr:col>11</xdr:col>
      <xdr:colOff>367312</xdr:colOff>
      <xdr:row>46</xdr:row>
      <xdr:rowOff>97971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0125" y="7391400"/>
          <a:ext cx="6072787" cy="1469571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46</xdr:row>
      <xdr:rowOff>38100</xdr:rowOff>
    </xdr:from>
    <xdr:to>
      <xdr:col>22</xdr:col>
      <xdr:colOff>342901</xdr:colOff>
      <xdr:row>51</xdr:row>
      <xdr:rowOff>31023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15201" y="8801100"/>
          <a:ext cx="6438900" cy="94542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3</xdr:row>
      <xdr:rowOff>9525</xdr:rowOff>
    </xdr:from>
    <xdr:to>
      <xdr:col>12</xdr:col>
      <xdr:colOff>37337</xdr:colOff>
      <xdr:row>11</xdr:row>
      <xdr:rowOff>123620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872193D-A596-48BB-AFBA-931A71C80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7775" y="581025"/>
          <a:ext cx="6104762" cy="1638095"/>
        </a:xfrm>
        <a:prstGeom prst="rect">
          <a:avLst/>
        </a:prstGeom>
      </xdr:spPr>
    </xdr:pic>
    <xdr:clientData/>
  </xdr:twoCellAnchor>
  <xdr:twoCellAnchor editAs="oneCell">
    <xdr:from>
      <xdr:col>18</xdr:col>
      <xdr:colOff>535642</xdr:colOff>
      <xdr:row>4</xdr:row>
      <xdr:rowOff>28575</xdr:rowOff>
    </xdr:from>
    <xdr:to>
      <xdr:col>23</xdr:col>
      <xdr:colOff>384244</xdr:colOff>
      <xdr:row>7</xdr:row>
      <xdr:rowOff>156401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359D24F-80A6-48A8-8D6C-48C4A8648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508442" y="790575"/>
          <a:ext cx="2896602" cy="699326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</xdr:row>
      <xdr:rowOff>189621</xdr:rowOff>
    </xdr:from>
    <xdr:to>
      <xdr:col>18</xdr:col>
      <xdr:colOff>277168</xdr:colOff>
      <xdr:row>16</xdr:row>
      <xdr:rowOff>71999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14DB077-FCED-418C-8EF7-14812165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24800" y="761121"/>
          <a:ext cx="3325168" cy="235887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291512</xdr:colOff>
      <xdr:row>150</xdr:row>
      <xdr:rowOff>136871</xdr:rowOff>
    </xdr:from>
    <xdr:to>
      <xdr:col>23</xdr:col>
      <xdr:colOff>441190</xdr:colOff>
      <xdr:row>161</xdr:row>
      <xdr:rowOff>33618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5420" t="33430" r="27794" b="19733"/>
        <a:stretch/>
      </xdr:blipFill>
      <xdr:spPr>
        <a:xfrm>
          <a:off x="6936600" y="5112283"/>
          <a:ext cx="6066384" cy="322489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2339803</xdr:colOff>
      <xdr:row>47</xdr:row>
      <xdr:rowOff>62120</xdr:rowOff>
    </xdr:from>
    <xdr:to>
      <xdr:col>1</xdr:col>
      <xdr:colOff>4280294</xdr:colOff>
      <xdr:row>50</xdr:row>
      <xdr:rowOff>141313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91332" y="4992708"/>
          <a:ext cx="1940491" cy="650693"/>
        </a:xfrm>
        <a:prstGeom prst="rect">
          <a:avLst/>
        </a:prstGeom>
      </xdr:spPr>
    </xdr:pic>
    <xdr:clientData/>
  </xdr:twoCellAnchor>
  <xdr:twoCellAnchor editAs="oneCell">
    <xdr:from>
      <xdr:col>2</xdr:col>
      <xdr:colOff>336107</xdr:colOff>
      <xdr:row>47</xdr:row>
      <xdr:rowOff>52446</xdr:rowOff>
    </xdr:from>
    <xdr:to>
      <xdr:col>9</xdr:col>
      <xdr:colOff>439000</xdr:colOff>
      <xdr:row>57</xdr:row>
      <xdr:rowOff>165066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75725" y="4983034"/>
          <a:ext cx="4338716" cy="2017620"/>
        </a:xfrm>
        <a:prstGeom prst="rect">
          <a:avLst/>
        </a:prstGeom>
      </xdr:spPr>
    </xdr:pic>
    <xdr:clientData/>
  </xdr:twoCellAnchor>
  <xdr:twoCellAnchor editAs="oneCell">
    <xdr:from>
      <xdr:col>2</xdr:col>
      <xdr:colOff>360955</xdr:colOff>
      <xdr:row>58</xdr:row>
      <xdr:rowOff>18724</xdr:rowOff>
    </xdr:from>
    <xdr:to>
      <xdr:col>12</xdr:col>
      <xdr:colOff>361598</xdr:colOff>
      <xdr:row>67</xdr:row>
      <xdr:rowOff>3360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00573" y="7044812"/>
          <a:ext cx="6051819" cy="169913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336108</xdr:colOff>
      <xdr:row>67</xdr:row>
      <xdr:rowOff>40023</xdr:rowOff>
    </xdr:from>
    <xdr:to>
      <xdr:col>8</xdr:col>
      <xdr:colOff>578043</xdr:colOff>
      <xdr:row>76</xdr:row>
      <xdr:rowOff>10934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5726" y="8780611"/>
          <a:ext cx="3872641" cy="1685411"/>
        </a:xfrm>
        <a:prstGeom prst="rect">
          <a:avLst/>
        </a:prstGeom>
      </xdr:spPr>
    </xdr:pic>
    <xdr:clientData/>
  </xdr:twoCellAnchor>
  <xdr:twoCellAnchor editAs="oneCell">
    <xdr:from>
      <xdr:col>2</xdr:col>
      <xdr:colOff>148478</xdr:colOff>
      <xdr:row>2</xdr:row>
      <xdr:rowOff>30815</xdr:rowOff>
    </xdr:from>
    <xdr:to>
      <xdr:col>13</xdr:col>
      <xdr:colOff>487143</xdr:colOff>
      <xdr:row>17</xdr:row>
      <xdr:rowOff>182817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92578" y="440390"/>
          <a:ext cx="7044265" cy="31809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152400</xdr:colOff>
      <xdr:row>36</xdr:row>
      <xdr:rowOff>123825</xdr:rowOff>
    </xdr:from>
    <xdr:to>
      <xdr:col>7</xdr:col>
      <xdr:colOff>3094761</xdr:colOff>
      <xdr:row>61</xdr:row>
      <xdr:rowOff>161355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42CF451-48F1-4815-A24A-2303AEA60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5025" y="6457950"/>
          <a:ext cx="6914286" cy="456190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40</xdr:col>
      <xdr:colOff>276409</xdr:colOff>
      <xdr:row>0</xdr:row>
      <xdr:rowOff>45758</xdr:rowOff>
    </xdr:from>
    <xdr:to>
      <xdr:col>48</xdr:col>
      <xdr:colOff>585079</xdr:colOff>
      <xdr:row>4</xdr:row>
      <xdr:rowOff>48458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44759" y="45758"/>
          <a:ext cx="6080819" cy="726600"/>
        </a:xfrm>
        <a:prstGeom prst="rect">
          <a:avLst/>
        </a:prstGeom>
      </xdr:spPr>
    </xdr:pic>
    <xdr:clientData/>
  </xdr:twoCellAnchor>
  <xdr:twoCellAnchor editAs="oneCell">
    <xdr:from>
      <xdr:col>42</xdr:col>
      <xdr:colOff>0</xdr:colOff>
      <xdr:row>0</xdr:row>
      <xdr:rowOff>134470</xdr:rowOff>
    </xdr:from>
    <xdr:to>
      <xdr:col>49</xdr:col>
      <xdr:colOff>493997</xdr:colOff>
      <xdr:row>1</xdr:row>
      <xdr:rowOff>113716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012146" y="134470"/>
          <a:ext cx="5616204" cy="158540"/>
        </a:xfrm>
        <a:prstGeom prst="rect">
          <a:avLst/>
        </a:prstGeom>
      </xdr:spPr>
    </xdr:pic>
    <xdr:clientData/>
  </xdr:twoCellAnchor>
  <xdr:twoCellAnchor editAs="oneCell">
    <xdr:from>
      <xdr:col>42</xdr:col>
      <xdr:colOff>0</xdr:colOff>
      <xdr:row>2</xdr:row>
      <xdr:rowOff>26147</xdr:rowOff>
    </xdr:from>
    <xdr:to>
      <xdr:col>45</xdr:col>
      <xdr:colOff>562180</xdr:colOff>
      <xdr:row>3</xdr:row>
      <xdr:rowOff>43489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985999" y="384735"/>
          <a:ext cx="2888683" cy="196636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1</xdr:row>
      <xdr:rowOff>95250</xdr:rowOff>
    </xdr:from>
    <xdr:to>
      <xdr:col>27</xdr:col>
      <xdr:colOff>321482</xdr:colOff>
      <xdr:row>2</xdr:row>
      <xdr:rowOff>123799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534650" y="276225"/>
          <a:ext cx="3371429" cy="209524"/>
        </a:xfrm>
        <a:prstGeom prst="rect">
          <a:avLst/>
        </a:prstGeom>
      </xdr:spPr>
    </xdr:pic>
    <xdr:clientData/>
  </xdr:twoCellAnchor>
  <xdr:twoCellAnchor editAs="oneCell">
    <xdr:from>
      <xdr:col>47</xdr:col>
      <xdr:colOff>318266</xdr:colOff>
      <xdr:row>2</xdr:row>
      <xdr:rowOff>78171</xdr:rowOff>
    </xdr:from>
    <xdr:to>
      <xdr:col>48</xdr:col>
      <xdr:colOff>398962</xdr:colOff>
      <xdr:row>4</xdr:row>
      <xdr:rowOff>106111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803318" y="446033"/>
          <a:ext cx="676956" cy="395802"/>
        </a:xfrm>
        <a:prstGeom prst="rect">
          <a:avLst/>
        </a:prstGeom>
      </xdr:spPr>
    </xdr:pic>
    <xdr:clientData/>
  </xdr:twoCellAnchor>
  <xdr:twoCellAnchor editAs="oneCell">
    <xdr:from>
      <xdr:col>67</xdr:col>
      <xdr:colOff>43296</xdr:colOff>
      <xdr:row>7</xdr:row>
      <xdr:rowOff>229467</xdr:rowOff>
    </xdr:from>
    <xdr:to>
      <xdr:col>67</xdr:col>
      <xdr:colOff>971936</xdr:colOff>
      <xdr:row>7</xdr:row>
      <xdr:rowOff>471920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3185388-C7B3-4F8E-AC26-6DE155DD4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008225" y="1481324"/>
          <a:ext cx="928640" cy="242453"/>
        </a:xfrm>
        <a:prstGeom prst="rect">
          <a:avLst/>
        </a:prstGeom>
      </xdr:spPr>
    </xdr:pic>
    <xdr:clientData/>
  </xdr:twoCellAnchor>
  <xdr:twoCellAnchor editAs="oneCell">
    <xdr:from>
      <xdr:col>68</xdr:col>
      <xdr:colOff>68905</xdr:colOff>
      <xdr:row>7</xdr:row>
      <xdr:rowOff>226978</xdr:rowOff>
    </xdr:from>
    <xdr:to>
      <xdr:col>68</xdr:col>
      <xdr:colOff>502794</xdr:colOff>
      <xdr:row>7</xdr:row>
      <xdr:rowOff>458010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E7C9C3F-B707-4B46-874A-1ADE361F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1431724" y="1511840"/>
          <a:ext cx="433889" cy="231032"/>
        </a:xfrm>
        <a:prstGeom prst="rect">
          <a:avLst/>
        </a:prstGeom>
      </xdr:spPr>
    </xdr:pic>
    <xdr:clientData/>
  </xdr:twoCellAnchor>
  <xdr:twoCellAnchor editAs="oneCell">
    <xdr:from>
      <xdr:col>69</xdr:col>
      <xdr:colOff>4056</xdr:colOff>
      <xdr:row>7</xdr:row>
      <xdr:rowOff>242693</xdr:rowOff>
    </xdr:from>
    <xdr:to>
      <xdr:col>69</xdr:col>
      <xdr:colOff>551234</xdr:colOff>
      <xdr:row>7</xdr:row>
      <xdr:rowOff>441667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7D46138D-0EEC-4145-866E-D1E5BEF6C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1946482" y="1527555"/>
          <a:ext cx="547178" cy="198974"/>
        </a:xfrm>
        <a:prstGeom prst="rect">
          <a:avLst/>
        </a:prstGeom>
      </xdr:spPr>
    </xdr:pic>
    <xdr:clientData/>
  </xdr:twoCellAnchor>
  <xdr:twoCellAnchor editAs="oneCell">
    <xdr:from>
      <xdr:col>71</xdr:col>
      <xdr:colOff>154022</xdr:colOff>
      <xdr:row>7</xdr:row>
      <xdr:rowOff>277275</xdr:rowOff>
    </xdr:from>
    <xdr:to>
      <xdr:col>71</xdr:col>
      <xdr:colOff>409373</xdr:colOff>
      <xdr:row>7</xdr:row>
      <xdr:rowOff>471342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6F82F8E4-61F8-4400-B513-D86869191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255660" y="1562137"/>
          <a:ext cx="255351" cy="194067"/>
        </a:xfrm>
        <a:prstGeom prst="rect">
          <a:avLst/>
        </a:prstGeom>
      </xdr:spPr>
    </xdr:pic>
    <xdr:clientData/>
  </xdr:twoCellAnchor>
  <xdr:twoCellAnchor editAs="oneCell">
    <xdr:from>
      <xdr:col>70</xdr:col>
      <xdr:colOff>64851</xdr:colOff>
      <xdr:row>7</xdr:row>
      <xdr:rowOff>221442</xdr:rowOff>
    </xdr:from>
    <xdr:to>
      <xdr:col>70</xdr:col>
      <xdr:colOff>961307</xdr:colOff>
      <xdr:row>7</xdr:row>
      <xdr:rowOff>470170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9D2C0F1-3EF6-472B-9F46-E2F347CEE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2586883" y="1506304"/>
          <a:ext cx="896456" cy="248728"/>
        </a:xfrm>
        <a:prstGeom prst="rect">
          <a:avLst/>
        </a:prstGeom>
      </xdr:spPr>
    </xdr:pic>
    <xdr:clientData/>
  </xdr:twoCellAnchor>
  <xdr:twoCellAnchor editAs="oneCell">
    <xdr:from>
      <xdr:col>76</xdr:col>
      <xdr:colOff>37489</xdr:colOff>
      <xdr:row>7</xdr:row>
      <xdr:rowOff>122494</xdr:rowOff>
    </xdr:from>
    <xdr:to>
      <xdr:col>76</xdr:col>
      <xdr:colOff>853768</xdr:colOff>
      <xdr:row>7</xdr:row>
      <xdr:rowOff>285750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C271083-2D93-4E3A-AD77-04837052C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156160" y="1395836"/>
          <a:ext cx="816279" cy="163256"/>
        </a:xfrm>
        <a:prstGeom prst="rect">
          <a:avLst/>
        </a:prstGeom>
      </xdr:spPr>
    </xdr:pic>
    <xdr:clientData/>
  </xdr:twoCellAnchor>
  <xdr:twoCellAnchor editAs="oneCell">
    <xdr:from>
      <xdr:col>78</xdr:col>
      <xdr:colOff>52966</xdr:colOff>
      <xdr:row>7</xdr:row>
      <xdr:rowOff>107674</xdr:rowOff>
    </xdr:from>
    <xdr:to>
      <xdr:col>78</xdr:col>
      <xdr:colOff>626307</xdr:colOff>
      <xdr:row>7</xdr:row>
      <xdr:rowOff>281609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838E1E8-FE66-4E95-8602-B6040FEE1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8068992" y="1381016"/>
          <a:ext cx="573341" cy="173935"/>
        </a:xfrm>
        <a:prstGeom prst="rect">
          <a:avLst/>
        </a:prstGeom>
      </xdr:spPr>
    </xdr:pic>
    <xdr:clientData/>
  </xdr:twoCellAnchor>
  <xdr:twoCellAnchor editAs="oneCell">
    <xdr:from>
      <xdr:col>77</xdr:col>
      <xdr:colOff>165436</xdr:colOff>
      <xdr:row>7</xdr:row>
      <xdr:rowOff>90237</xdr:rowOff>
    </xdr:from>
    <xdr:to>
      <xdr:col>77</xdr:col>
      <xdr:colOff>807120</xdr:colOff>
      <xdr:row>7</xdr:row>
      <xdr:rowOff>368796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311C71E-D219-4EF1-9536-6750556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8181462" y="1363579"/>
          <a:ext cx="641684" cy="278559"/>
        </a:xfrm>
        <a:prstGeom prst="rect">
          <a:avLst/>
        </a:prstGeom>
      </xdr:spPr>
    </xdr:pic>
    <xdr:clientData/>
  </xdr:twoCellAnchor>
  <xdr:twoCellAnchor>
    <xdr:from>
      <xdr:col>82</xdr:col>
      <xdr:colOff>373368</xdr:colOff>
      <xdr:row>8</xdr:row>
      <xdr:rowOff>60286</xdr:rowOff>
    </xdr:from>
    <xdr:to>
      <xdr:col>91</xdr:col>
      <xdr:colOff>514408</xdr:colOff>
      <xdr:row>30</xdr:row>
      <xdr:rowOff>128203</xdr:rowOff>
    </xdr:to>
    <xdr:graphicFrame macro="">
      <xdr:nvGraphicFramePr>
        <xdr:cNvPr id="18" name="Chart 17">
          <a:extLst>
            <a:ext uri="{FF2B5EF4-FFF2-40B4-BE49-F238E27FC236}">
              <a16:creationId xmlns:a16="http://schemas.microsoft.com/office/drawing/2014/main" id="{B944A64A-5819-4F64-8E9B-79A1590E806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82</xdr:col>
      <xdr:colOff>366155</xdr:colOff>
      <xdr:row>30</xdr:row>
      <xdr:rowOff>168232</xdr:rowOff>
    </xdr:from>
    <xdr:to>
      <xdr:col>91</xdr:col>
      <xdr:colOff>507195</xdr:colOff>
      <xdr:row>55</xdr:row>
      <xdr:rowOff>138544</xdr:rowOff>
    </xdr:to>
    <xdr:graphicFrame macro="">
      <xdr:nvGraphicFramePr>
        <xdr:cNvPr id="16" name="Chart 15">
          <a:extLst>
            <a:ext uri="{FF2B5EF4-FFF2-40B4-BE49-F238E27FC236}">
              <a16:creationId xmlns:a16="http://schemas.microsoft.com/office/drawing/2014/main" id="{081559D7-629A-4072-90DC-C758FB6119E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258990</xdr:colOff>
      <xdr:row>0</xdr:row>
      <xdr:rowOff>83272</xdr:rowOff>
    </xdr:from>
    <xdr:to>
      <xdr:col>15</xdr:col>
      <xdr:colOff>245339</xdr:colOff>
      <xdr:row>9</xdr:row>
      <xdr:rowOff>24772</xdr:rowOff>
    </xdr:to>
    <xdr:graphicFrame macro="">
      <xdr:nvGraphicFramePr>
        <xdr:cNvPr id="8" name="Chart 7">
          <a:extLst>
            <a:ext uri="{FF2B5EF4-FFF2-40B4-BE49-F238E27FC236}">
              <a16:creationId xmlns:a16="http://schemas.microsoft.com/office/drawing/2014/main" id="{C05636E6-413B-4EE2-AFB6-99B3FD9D0E8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29307</xdr:colOff>
      <xdr:row>9</xdr:row>
      <xdr:rowOff>36635</xdr:rowOff>
    </xdr:from>
    <xdr:to>
      <xdr:col>16</xdr:col>
      <xdr:colOff>15657</xdr:colOff>
      <xdr:row>17</xdr:row>
      <xdr:rowOff>168635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DFBC85C8-8F60-4BC0-9CF6-5CBFB641638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0</xdr:colOff>
      <xdr:row>17</xdr:row>
      <xdr:rowOff>175846</xdr:rowOff>
    </xdr:from>
    <xdr:to>
      <xdr:col>15</xdr:col>
      <xdr:colOff>250119</xdr:colOff>
      <xdr:row>26</xdr:row>
      <xdr:rowOff>117346</xdr:rowOff>
    </xdr:to>
    <xdr:graphicFrame macro="">
      <xdr:nvGraphicFramePr>
        <xdr:cNvPr id="29" name="Chart 28">
          <a:extLst>
            <a:ext uri="{FF2B5EF4-FFF2-40B4-BE49-F238E27FC236}">
              <a16:creationId xmlns:a16="http://schemas.microsoft.com/office/drawing/2014/main" id="{9E5C9920-24CE-4CE1-9F34-2ED642EF731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14653</xdr:colOff>
      <xdr:row>26</xdr:row>
      <xdr:rowOff>43962</xdr:rowOff>
    </xdr:from>
    <xdr:to>
      <xdr:col>16</xdr:col>
      <xdr:colOff>1003</xdr:colOff>
      <xdr:row>34</xdr:row>
      <xdr:rowOff>175962</xdr:rowOff>
    </xdr:to>
    <xdr:graphicFrame macro="">
      <xdr:nvGraphicFramePr>
        <xdr:cNvPr id="30" name="Chart 29">
          <a:extLst>
            <a:ext uri="{FF2B5EF4-FFF2-40B4-BE49-F238E27FC236}">
              <a16:creationId xmlns:a16="http://schemas.microsoft.com/office/drawing/2014/main" id="{1E497C26-9D90-4BF1-87A9-080CCC6A570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80596</xdr:colOff>
      <xdr:row>34</xdr:row>
      <xdr:rowOff>146538</xdr:rowOff>
    </xdr:from>
    <xdr:to>
      <xdr:col>16</xdr:col>
      <xdr:colOff>66946</xdr:colOff>
      <xdr:row>43</xdr:row>
      <xdr:rowOff>88038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B1EB062C-2144-4F4D-B763-05AF4A99C28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6</xdr:col>
      <xdr:colOff>87924</xdr:colOff>
      <xdr:row>55</xdr:row>
      <xdr:rowOff>7327</xdr:rowOff>
    </xdr:from>
    <xdr:to>
      <xdr:col>16</xdr:col>
      <xdr:colOff>74274</xdr:colOff>
      <xdr:row>63</xdr:row>
      <xdr:rowOff>139327</xdr:rowOff>
    </xdr:to>
    <xdr:graphicFrame macro="">
      <xdr:nvGraphicFramePr>
        <xdr:cNvPr id="32" name="Chart 31">
          <a:extLst>
            <a:ext uri="{FF2B5EF4-FFF2-40B4-BE49-F238E27FC236}">
              <a16:creationId xmlns:a16="http://schemas.microsoft.com/office/drawing/2014/main" id="{36AF6F46-DFBD-4148-BAB8-286DCEA67BA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6</xdr:col>
      <xdr:colOff>95250</xdr:colOff>
      <xdr:row>45</xdr:row>
      <xdr:rowOff>47626</xdr:rowOff>
    </xdr:from>
    <xdr:to>
      <xdr:col>16</xdr:col>
      <xdr:colOff>81600</xdr:colOff>
      <xdr:row>53</xdr:row>
      <xdr:rowOff>179626</xdr:rowOff>
    </xdr:to>
    <xdr:graphicFrame macro="">
      <xdr:nvGraphicFramePr>
        <xdr:cNvPr id="33" name="Chart 32">
          <a:extLst>
            <a:ext uri="{FF2B5EF4-FFF2-40B4-BE49-F238E27FC236}">
              <a16:creationId xmlns:a16="http://schemas.microsoft.com/office/drawing/2014/main" id="{BC6D68CC-E134-47C3-B1C6-96F4A15B2B9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6</xdr:col>
      <xdr:colOff>119062</xdr:colOff>
      <xdr:row>63</xdr:row>
      <xdr:rowOff>172640</xdr:rowOff>
    </xdr:from>
    <xdr:to>
      <xdr:col>16</xdr:col>
      <xdr:colOff>105412</xdr:colOff>
      <xdr:row>72</xdr:row>
      <xdr:rowOff>114140</xdr:rowOff>
    </xdr:to>
    <xdr:graphicFrame macro="">
      <xdr:nvGraphicFramePr>
        <xdr:cNvPr id="34" name="Chart 33">
          <a:extLst>
            <a:ext uri="{FF2B5EF4-FFF2-40B4-BE49-F238E27FC236}">
              <a16:creationId xmlns:a16="http://schemas.microsoft.com/office/drawing/2014/main" id="{93F687D6-8BC4-43AF-868F-5AFEF7FC12D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6</xdr:col>
      <xdr:colOff>196453</xdr:colOff>
      <xdr:row>72</xdr:row>
      <xdr:rowOff>148829</xdr:rowOff>
    </xdr:from>
    <xdr:to>
      <xdr:col>16</xdr:col>
      <xdr:colOff>182803</xdr:colOff>
      <xdr:row>81</xdr:row>
      <xdr:rowOff>90329</xdr:rowOff>
    </xdr:to>
    <xdr:graphicFrame macro="">
      <xdr:nvGraphicFramePr>
        <xdr:cNvPr id="35" name="Chart 34">
          <a:extLst>
            <a:ext uri="{FF2B5EF4-FFF2-40B4-BE49-F238E27FC236}">
              <a16:creationId xmlns:a16="http://schemas.microsoft.com/office/drawing/2014/main" id="{C06C3545-0C47-40DE-9025-3D885F1E79F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6</xdr:col>
      <xdr:colOff>261938</xdr:colOff>
      <xdr:row>81</xdr:row>
      <xdr:rowOff>47625</xdr:rowOff>
    </xdr:from>
    <xdr:to>
      <xdr:col>16</xdr:col>
      <xdr:colOff>248288</xdr:colOff>
      <xdr:row>89</xdr:row>
      <xdr:rowOff>179625</xdr:rowOff>
    </xdr:to>
    <xdr:graphicFrame macro="">
      <xdr:nvGraphicFramePr>
        <xdr:cNvPr id="36" name="Chart 35">
          <a:extLst>
            <a:ext uri="{FF2B5EF4-FFF2-40B4-BE49-F238E27FC236}">
              <a16:creationId xmlns:a16="http://schemas.microsoft.com/office/drawing/2014/main" id="{B5F05053-BDE8-4D94-A853-90DBBEAD4BA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6</xdr:col>
      <xdr:colOff>250032</xdr:colOff>
      <xdr:row>89</xdr:row>
      <xdr:rowOff>178594</xdr:rowOff>
    </xdr:from>
    <xdr:to>
      <xdr:col>16</xdr:col>
      <xdr:colOff>236382</xdr:colOff>
      <xdr:row>98</xdr:row>
      <xdr:rowOff>120094</xdr:rowOff>
    </xdr:to>
    <xdr:graphicFrame macro="">
      <xdr:nvGraphicFramePr>
        <xdr:cNvPr id="37" name="Chart 36">
          <a:extLst>
            <a:ext uri="{FF2B5EF4-FFF2-40B4-BE49-F238E27FC236}">
              <a16:creationId xmlns:a16="http://schemas.microsoft.com/office/drawing/2014/main" id="{55F48C87-0CDD-4974-8335-C76083EC131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6</xdr:col>
      <xdr:colOff>232171</xdr:colOff>
      <xdr:row>98</xdr:row>
      <xdr:rowOff>184547</xdr:rowOff>
    </xdr:from>
    <xdr:to>
      <xdr:col>16</xdr:col>
      <xdr:colOff>218521</xdr:colOff>
      <xdr:row>107</xdr:row>
      <xdr:rowOff>126047</xdr:rowOff>
    </xdr:to>
    <xdr:graphicFrame macro="">
      <xdr:nvGraphicFramePr>
        <xdr:cNvPr id="38" name="Chart 37">
          <a:extLst>
            <a:ext uri="{FF2B5EF4-FFF2-40B4-BE49-F238E27FC236}">
              <a16:creationId xmlns:a16="http://schemas.microsoft.com/office/drawing/2014/main" id="{901D3918-AE4D-41C1-B667-06117A4EAE4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6</xdr:col>
      <xdr:colOff>160734</xdr:colOff>
      <xdr:row>107</xdr:row>
      <xdr:rowOff>136922</xdr:rowOff>
    </xdr:from>
    <xdr:to>
      <xdr:col>16</xdr:col>
      <xdr:colOff>147084</xdr:colOff>
      <xdr:row>116</xdr:row>
      <xdr:rowOff>78422</xdr:rowOff>
    </xdr:to>
    <xdr:graphicFrame macro="">
      <xdr:nvGraphicFramePr>
        <xdr:cNvPr id="39" name="Chart 38">
          <a:extLst>
            <a:ext uri="{FF2B5EF4-FFF2-40B4-BE49-F238E27FC236}">
              <a16:creationId xmlns:a16="http://schemas.microsoft.com/office/drawing/2014/main" id="{B104A666-6408-409E-96AF-CAFB9B1C5A7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6</xdr:col>
      <xdr:colOff>136922</xdr:colOff>
      <xdr:row>116</xdr:row>
      <xdr:rowOff>125016</xdr:rowOff>
    </xdr:from>
    <xdr:to>
      <xdr:col>16</xdr:col>
      <xdr:colOff>123272</xdr:colOff>
      <xdr:row>125</xdr:row>
      <xdr:rowOff>66516</xdr:rowOff>
    </xdr:to>
    <xdr:graphicFrame macro="">
      <xdr:nvGraphicFramePr>
        <xdr:cNvPr id="40" name="Chart 39">
          <a:extLst>
            <a:ext uri="{FF2B5EF4-FFF2-40B4-BE49-F238E27FC236}">
              <a16:creationId xmlns:a16="http://schemas.microsoft.com/office/drawing/2014/main" id="{BAE01D27-8A97-4E31-BFB7-8AD9131D5F3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6</xdr:col>
      <xdr:colOff>190500</xdr:colOff>
      <xdr:row>125</xdr:row>
      <xdr:rowOff>17860</xdr:rowOff>
    </xdr:from>
    <xdr:to>
      <xdr:col>16</xdr:col>
      <xdr:colOff>176850</xdr:colOff>
      <xdr:row>133</xdr:row>
      <xdr:rowOff>149860</xdr:rowOff>
    </xdr:to>
    <xdr:graphicFrame macro="">
      <xdr:nvGraphicFramePr>
        <xdr:cNvPr id="41" name="Chart 40">
          <a:extLst>
            <a:ext uri="{FF2B5EF4-FFF2-40B4-BE49-F238E27FC236}">
              <a16:creationId xmlns:a16="http://schemas.microsoft.com/office/drawing/2014/main" id="{8A3BA2A3-2395-4864-913E-CFE5AE601BB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6</xdr:col>
      <xdr:colOff>117232</xdr:colOff>
      <xdr:row>135</xdr:row>
      <xdr:rowOff>146539</xdr:rowOff>
    </xdr:from>
    <xdr:to>
      <xdr:col>16</xdr:col>
      <xdr:colOff>103582</xdr:colOff>
      <xdr:row>144</xdr:row>
      <xdr:rowOff>88039</xdr:rowOff>
    </xdr:to>
    <xdr:graphicFrame macro="">
      <xdr:nvGraphicFramePr>
        <xdr:cNvPr id="42" name="Chart 41">
          <a:extLst>
            <a:ext uri="{FF2B5EF4-FFF2-40B4-BE49-F238E27FC236}">
              <a16:creationId xmlns:a16="http://schemas.microsoft.com/office/drawing/2014/main" id="{FD53394A-47E0-42AA-895B-CB9D17C5B17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57977</xdr:colOff>
      <xdr:row>0</xdr:row>
      <xdr:rowOff>91108</xdr:rowOff>
    </xdr:from>
    <xdr:to>
      <xdr:col>11</xdr:col>
      <xdr:colOff>239743</xdr:colOff>
      <xdr:row>29</xdr:row>
      <xdr:rowOff>17950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77" y="91108"/>
          <a:ext cx="6887366" cy="5479917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571501</xdr:colOff>
      <xdr:row>6</xdr:row>
      <xdr:rowOff>107674</xdr:rowOff>
    </xdr:from>
    <xdr:to>
      <xdr:col>15</xdr:col>
      <xdr:colOff>470869</xdr:colOff>
      <xdr:row>8</xdr:row>
      <xdr:rowOff>12388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13544" y="1250674"/>
          <a:ext cx="3295238" cy="285714"/>
        </a:xfrm>
        <a:prstGeom prst="rect">
          <a:avLst/>
        </a:prstGeom>
      </xdr:spPr>
    </xdr:pic>
    <xdr:clientData/>
  </xdr:twoCellAnchor>
  <xdr:twoCellAnchor editAs="oneCell">
    <xdr:from>
      <xdr:col>11</xdr:col>
      <xdr:colOff>538370</xdr:colOff>
      <xdr:row>3</xdr:row>
      <xdr:rowOff>49696</xdr:rowOff>
    </xdr:from>
    <xdr:to>
      <xdr:col>15</xdr:col>
      <xdr:colOff>561548</xdr:colOff>
      <xdr:row>4</xdr:row>
      <xdr:rowOff>144910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0413" y="621196"/>
          <a:ext cx="3419048" cy="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43</xdr:row>
      <xdr:rowOff>63776</xdr:rowOff>
    </xdr:from>
    <xdr:to>
      <xdr:col>5</xdr:col>
      <xdr:colOff>402109</xdr:colOff>
      <xdr:row>63</xdr:row>
      <xdr:rowOff>6157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150" y="8283851"/>
          <a:ext cx="3392959" cy="3752381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347871</xdr:colOff>
      <xdr:row>21</xdr:row>
      <xdr:rowOff>124239</xdr:rowOff>
    </xdr:from>
    <xdr:to>
      <xdr:col>16</xdr:col>
      <xdr:colOff>552264</xdr:colOff>
      <xdr:row>40</xdr:row>
      <xdr:rowOff>161882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89914" y="4124739"/>
          <a:ext cx="4809524" cy="3657143"/>
        </a:xfrm>
        <a:prstGeom prst="rect">
          <a:avLst/>
        </a:prstGeom>
      </xdr:spPr>
    </xdr:pic>
    <xdr:clientData/>
  </xdr:twoCellAnchor>
  <xdr:twoCellAnchor editAs="oneCell">
    <xdr:from>
      <xdr:col>12</xdr:col>
      <xdr:colOff>33132</xdr:colOff>
      <xdr:row>8</xdr:row>
      <xdr:rowOff>132521</xdr:rowOff>
    </xdr:from>
    <xdr:to>
      <xdr:col>15</xdr:col>
      <xdr:colOff>535890</xdr:colOff>
      <xdr:row>12</xdr:row>
      <xdr:rowOff>113378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88089" y="1656521"/>
          <a:ext cx="3285714" cy="7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16565</xdr:colOff>
      <xdr:row>1</xdr:row>
      <xdr:rowOff>57979</xdr:rowOff>
    </xdr:from>
    <xdr:to>
      <xdr:col>23</xdr:col>
      <xdr:colOff>237714</xdr:colOff>
      <xdr:row>3</xdr:row>
      <xdr:rowOff>124598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49000" y="248479"/>
          <a:ext cx="3285714" cy="4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11</xdr:col>
      <xdr:colOff>303924</xdr:colOff>
      <xdr:row>42</xdr:row>
      <xdr:rowOff>152167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6315075"/>
          <a:ext cx="7009524" cy="1866667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</xdr:colOff>
      <xdr:row>42</xdr:row>
      <xdr:rowOff>38100</xdr:rowOff>
    </xdr:from>
    <xdr:to>
      <xdr:col>18</xdr:col>
      <xdr:colOff>456038</xdr:colOff>
      <xdr:row>79</xdr:row>
      <xdr:rowOff>94362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676650" y="8067675"/>
          <a:ext cx="9295238" cy="7104762"/>
        </a:xfrm>
        <a:prstGeom prst="rect">
          <a:avLst/>
        </a:prstGeom>
      </xdr:spPr>
    </xdr:pic>
    <xdr:clientData/>
  </xdr:twoCellAnchor>
  <xdr:twoCellAnchor editAs="oneCell">
    <xdr:from>
      <xdr:col>19</xdr:col>
      <xdr:colOff>200025</xdr:colOff>
      <xdr:row>14</xdr:row>
      <xdr:rowOff>95250</xdr:rowOff>
    </xdr:from>
    <xdr:to>
      <xdr:col>24</xdr:col>
      <xdr:colOff>456787</xdr:colOff>
      <xdr:row>20</xdr:row>
      <xdr:rowOff>9389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325475" y="2762250"/>
          <a:ext cx="3304762" cy="108571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1</xdr:row>
      <xdr:rowOff>142875</xdr:rowOff>
    </xdr:from>
    <xdr:to>
      <xdr:col>5</xdr:col>
      <xdr:colOff>247257</xdr:colOff>
      <xdr:row>18</xdr:row>
      <xdr:rowOff>190089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8F1E013-96D2-41EF-BB80-3FA7B23D5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333375"/>
          <a:ext cx="3142857" cy="3285714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1</xdr:row>
      <xdr:rowOff>104775</xdr:rowOff>
    </xdr:from>
    <xdr:to>
      <xdr:col>10</xdr:col>
      <xdr:colOff>323456</xdr:colOff>
      <xdr:row>24</xdr:row>
      <xdr:rowOff>180418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391841F-5AF6-4EC0-9B71-23C6AF764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67075" y="295275"/>
          <a:ext cx="3152381" cy="4457143"/>
        </a:xfrm>
        <a:prstGeom prst="rect">
          <a:avLst/>
        </a:prstGeom>
      </xdr:spPr>
    </xdr:pic>
    <xdr:clientData/>
  </xdr:twoCellAnchor>
  <xdr:twoCellAnchor editAs="oneCell">
    <xdr:from>
      <xdr:col>10</xdr:col>
      <xdr:colOff>600075</xdr:colOff>
      <xdr:row>1</xdr:row>
      <xdr:rowOff>171450</xdr:rowOff>
    </xdr:from>
    <xdr:to>
      <xdr:col>21</xdr:col>
      <xdr:colOff>46856</xdr:colOff>
      <xdr:row>22</xdr:row>
      <xdr:rowOff>66188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00C342A-3C2C-44DF-AB5D-6DAF7153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696075" y="361950"/>
          <a:ext cx="6152381" cy="38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25</xdr:row>
      <xdr:rowOff>123825</xdr:rowOff>
    </xdr:from>
    <xdr:to>
      <xdr:col>6</xdr:col>
      <xdr:colOff>237740</xdr:colOff>
      <xdr:row>32</xdr:row>
      <xdr:rowOff>66515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40BD7FE-F2A2-46B8-81F4-DEF232E3D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9150" y="4886325"/>
          <a:ext cx="3076190" cy="1276190"/>
        </a:xfrm>
        <a:prstGeom prst="rect">
          <a:avLst/>
        </a:prstGeom>
      </xdr:spPr>
    </xdr:pic>
    <xdr:clientData/>
  </xdr:twoCellAnchor>
  <xdr:twoCellAnchor editAs="oneCell">
    <xdr:from>
      <xdr:col>6</xdr:col>
      <xdr:colOff>345908</xdr:colOff>
      <xdr:row>26</xdr:row>
      <xdr:rowOff>70185</xdr:rowOff>
    </xdr:from>
    <xdr:to>
      <xdr:col>11</xdr:col>
      <xdr:colOff>335501</xdr:colOff>
      <xdr:row>30</xdr:row>
      <xdr:rowOff>70090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7852601-BA80-4E4C-BA18-1B32EDBFB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015540" y="5023185"/>
          <a:ext cx="3047619" cy="761905"/>
        </a:xfrm>
        <a:prstGeom prst="rect">
          <a:avLst/>
        </a:prstGeom>
      </xdr:spPr>
    </xdr:pic>
    <xdr:clientData/>
  </xdr:twoCellAnchor>
  <xdr:twoCellAnchor editAs="oneCell">
    <xdr:from>
      <xdr:col>11</xdr:col>
      <xdr:colOff>498231</xdr:colOff>
      <xdr:row>23</xdr:row>
      <xdr:rowOff>102577</xdr:rowOff>
    </xdr:from>
    <xdr:to>
      <xdr:col>22</xdr:col>
      <xdr:colOff>275417</xdr:colOff>
      <xdr:row>43</xdr:row>
      <xdr:rowOff>168767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D2D49B6-630C-4819-A9D5-D217C634B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87712" y="4484077"/>
          <a:ext cx="6466667" cy="387619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468922</xdr:colOff>
      <xdr:row>1</xdr:row>
      <xdr:rowOff>51288</xdr:rowOff>
    </xdr:from>
    <xdr:to>
      <xdr:col>11</xdr:col>
      <xdr:colOff>188965</xdr:colOff>
      <xdr:row>21</xdr:row>
      <xdr:rowOff>69859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8533081-17CD-49FC-901E-C30B2A8CD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8922" y="241788"/>
          <a:ext cx="6409524" cy="3828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109903</xdr:colOff>
      <xdr:row>1</xdr:row>
      <xdr:rowOff>139212</xdr:rowOff>
    </xdr:from>
    <xdr:to>
      <xdr:col>21</xdr:col>
      <xdr:colOff>333319</xdr:colOff>
      <xdr:row>21</xdr:row>
      <xdr:rowOff>148260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2B9B4D1-3F17-41AD-8EC7-0865E0861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99384" y="329712"/>
          <a:ext cx="6304762" cy="38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22</xdr:row>
      <xdr:rowOff>95250</xdr:rowOff>
    </xdr:from>
    <xdr:to>
      <xdr:col>10</xdr:col>
      <xdr:colOff>336288</xdr:colOff>
      <xdr:row>65</xdr:row>
      <xdr:rowOff>37083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DBB67CA-EC42-4910-AB67-52CEBD5F7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19100" y="4286250"/>
          <a:ext cx="6013188" cy="8133333"/>
        </a:xfrm>
        <a:prstGeom prst="rect">
          <a:avLst/>
        </a:prstGeom>
      </xdr:spPr>
    </xdr:pic>
    <xdr:clientData/>
  </xdr:twoCellAnchor>
  <xdr:twoCellAnchor editAs="oneCell">
    <xdr:from>
      <xdr:col>10</xdr:col>
      <xdr:colOff>457200</xdr:colOff>
      <xdr:row>22</xdr:row>
      <xdr:rowOff>152400</xdr:rowOff>
    </xdr:from>
    <xdr:to>
      <xdr:col>19</xdr:col>
      <xdr:colOff>408895</xdr:colOff>
      <xdr:row>58</xdr:row>
      <xdr:rowOff>122971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1B19DF5-8E3E-46CE-8F03-D0589FE7B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553200" y="4343400"/>
          <a:ext cx="5438095" cy="6828571"/>
        </a:xfrm>
        <a:prstGeom prst="rect">
          <a:avLst/>
        </a:prstGeom>
      </xdr:spPr>
    </xdr:pic>
    <xdr:clientData/>
  </xdr:twoCellAnchor>
  <xdr:twoCellAnchor editAs="oneCell">
    <xdr:from>
      <xdr:col>19</xdr:col>
      <xdr:colOff>409575</xdr:colOff>
      <xdr:row>24</xdr:row>
      <xdr:rowOff>133350</xdr:rowOff>
    </xdr:from>
    <xdr:to>
      <xdr:col>29</xdr:col>
      <xdr:colOff>227861</xdr:colOff>
      <xdr:row>33</xdr:row>
      <xdr:rowOff>37898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26F8DF3-6995-4D0D-B297-58039ABF4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991975" y="4705350"/>
          <a:ext cx="5914286" cy="161904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171450</xdr:colOff>
      <xdr:row>2</xdr:row>
      <xdr:rowOff>104775</xdr:rowOff>
    </xdr:from>
    <xdr:to>
      <xdr:col>15</xdr:col>
      <xdr:colOff>189431</xdr:colOff>
      <xdr:row>34</xdr:row>
      <xdr:rowOff>56394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AD29D6D-4BDE-489A-9BDC-79CD01AB2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1050" y="485775"/>
          <a:ext cx="8552381" cy="6047619"/>
        </a:xfrm>
        <a:prstGeom prst="rect">
          <a:avLst/>
        </a:prstGeom>
      </xdr:spPr>
    </xdr:pic>
    <xdr:clientData/>
  </xdr:twoCellAnchor>
  <xdr:twoCellAnchor editAs="oneCell">
    <xdr:from>
      <xdr:col>16</xdr:col>
      <xdr:colOff>57150</xdr:colOff>
      <xdr:row>2</xdr:row>
      <xdr:rowOff>142875</xdr:rowOff>
    </xdr:from>
    <xdr:to>
      <xdr:col>28</xdr:col>
      <xdr:colOff>56236</xdr:colOff>
      <xdr:row>27</xdr:row>
      <xdr:rowOff>161327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8EB1CFF-6061-46E8-9A76-6904FF1B6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10750" y="523875"/>
          <a:ext cx="7314286" cy="4780952"/>
        </a:xfrm>
        <a:prstGeom prst="rect">
          <a:avLst/>
        </a:prstGeom>
      </xdr:spPr>
    </xdr:pic>
    <xdr:clientData/>
  </xdr:twoCellAnchor>
  <xdr:twoCellAnchor editAs="oneCell">
    <xdr:from>
      <xdr:col>14</xdr:col>
      <xdr:colOff>447675</xdr:colOff>
      <xdr:row>32</xdr:row>
      <xdr:rowOff>66675</xdr:rowOff>
    </xdr:from>
    <xdr:to>
      <xdr:col>23</xdr:col>
      <xdr:colOff>446989</xdr:colOff>
      <xdr:row>49</xdr:row>
      <xdr:rowOff>66270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302FBB3-2B8B-45F7-A3A3-B087BC650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82075" y="6162675"/>
          <a:ext cx="5485714" cy="32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303440</xdr:colOff>
      <xdr:row>36</xdr:row>
      <xdr:rowOff>31297</xdr:rowOff>
    </xdr:from>
    <xdr:to>
      <xdr:col>11</xdr:col>
      <xdr:colOff>188391</xdr:colOff>
      <xdr:row>53</xdr:row>
      <xdr:rowOff>116606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D72FF2B-2216-49C1-BD6F-64A412961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5761" y="6889297"/>
          <a:ext cx="6008166" cy="3323809"/>
        </a:xfrm>
        <a:prstGeom prst="rect">
          <a:avLst/>
        </a:prstGeom>
      </xdr:spPr>
    </xdr:pic>
    <xdr:clientData/>
  </xdr:twoCellAnchor>
  <xdr:twoCellAnchor editAs="oneCell">
    <xdr:from>
      <xdr:col>12</xdr:col>
      <xdr:colOff>219075</xdr:colOff>
      <xdr:row>55</xdr:row>
      <xdr:rowOff>47625</xdr:rowOff>
    </xdr:from>
    <xdr:to>
      <xdr:col>28</xdr:col>
      <xdr:colOff>141665</xdr:colOff>
      <xdr:row>88</xdr:row>
      <xdr:rowOff>132554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7E48836-34E9-4E15-93D7-27564D988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534275" y="10525125"/>
          <a:ext cx="9676190" cy="6371429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55</xdr:row>
      <xdr:rowOff>0</xdr:rowOff>
    </xdr:from>
    <xdr:to>
      <xdr:col>10</xdr:col>
      <xdr:colOff>219075</xdr:colOff>
      <xdr:row>92</xdr:row>
      <xdr:rowOff>94357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C1291061-B8A1-4E86-8DFD-54DE398FBAE8}"/>
            </a:ext>
          </a:extLst>
        </xdr:cNvPr>
        <xdr:cNvGrpSpPr/>
      </xdr:nvGrpSpPr>
      <xdr:grpSpPr>
        <a:xfrm>
          <a:off x="647700" y="10477500"/>
          <a:ext cx="5667375" cy="7142857"/>
          <a:chOff x="647700" y="10477500"/>
          <a:chExt cx="5667375" cy="7142857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2EB8CB0A-D772-428D-8920-D328CF1E7C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647700" y="10477500"/>
            <a:ext cx="5590476" cy="7142857"/>
          </a:xfrm>
          <a:prstGeom prst="rect">
            <a:avLst/>
          </a:prstGeom>
        </xdr:spPr>
      </xdr:pic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39DE85EA-E8AD-480C-9770-F90CC4D8D195}"/>
              </a:ext>
            </a:extLst>
          </xdr:cNvPr>
          <xdr:cNvSpPr/>
        </xdr:nvSpPr>
        <xdr:spPr>
          <a:xfrm>
            <a:off x="676275" y="14220825"/>
            <a:ext cx="5638800" cy="695325"/>
          </a:xfrm>
          <a:prstGeom prst="rect">
            <a:avLst/>
          </a:prstGeom>
          <a:noFill/>
          <a:ln w="38100">
            <a:solidFill>
              <a:schemeClr val="accent6"/>
            </a:solidFill>
            <a:prstDash val="sys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CA" sz="1100"/>
          </a:p>
        </xdr:txBody>
      </xdr:sp>
    </xdr:grpSp>
    <xdr:clientData/>
  </xdr:twoCellAnchor>
  <xdr:twoCellAnchor editAs="oneCell">
    <xdr:from>
      <xdr:col>24</xdr:col>
      <xdr:colOff>190500</xdr:colOff>
      <xdr:row>32</xdr:row>
      <xdr:rowOff>133350</xdr:rowOff>
    </xdr:from>
    <xdr:to>
      <xdr:col>27</xdr:col>
      <xdr:colOff>590271</xdr:colOff>
      <xdr:row>52</xdr:row>
      <xdr:rowOff>85255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93AB96B-2D7F-402B-89E5-828BDB17D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820900" y="6229350"/>
          <a:ext cx="2228571" cy="3761905"/>
        </a:xfrm>
        <a:prstGeom prst="rect">
          <a:avLst/>
        </a:prstGeom>
      </xdr:spPr>
    </xdr:pic>
    <xdr:clientData/>
  </xdr:twoCellAnchor>
  <xdr:twoCellAnchor editAs="oneCell">
    <xdr:from>
      <xdr:col>14</xdr:col>
      <xdr:colOff>371475</xdr:colOff>
      <xdr:row>50</xdr:row>
      <xdr:rowOff>76200</xdr:rowOff>
    </xdr:from>
    <xdr:to>
      <xdr:col>24</xdr:col>
      <xdr:colOff>227856</xdr:colOff>
      <xdr:row>55</xdr:row>
      <xdr:rowOff>47510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BC08791-6610-42C3-8F89-E3D729774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905875" y="9601200"/>
          <a:ext cx="5952381" cy="923810"/>
        </a:xfrm>
        <a:prstGeom prst="rect">
          <a:avLst/>
        </a:prstGeom>
      </xdr:spPr>
    </xdr:pic>
    <xdr:clientData/>
  </xdr:twoCellAnchor>
  <xdr:twoCellAnchor editAs="oneCell">
    <xdr:from>
      <xdr:col>12</xdr:col>
      <xdr:colOff>89647</xdr:colOff>
      <xdr:row>88</xdr:row>
      <xdr:rowOff>100853</xdr:rowOff>
    </xdr:from>
    <xdr:to>
      <xdr:col>26</xdr:col>
      <xdr:colOff>494190</xdr:colOff>
      <xdr:row>109</xdr:row>
      <xdr:rowOff>176543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7844840-5541-476D-825E-0B341FF76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51059" y="16864853"/>
          <a:ext cx="8876190" cy="40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93</xdr:row>
      <xdr:rowOff>38100</xdr:rowOff>
    </xdr:from>
    <xdr:to>
      <xdr:col>22</xdr:col>
      <xdr:colOff>455527</xdr:colOff>
      <xdr:row>126</xdr:row>
      <xdr:rowOff>103981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BAC1F69-6B93-4261-9375-6D2A2AF0F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5775" y="17754600"/>
          <a:ext cx="13380952" cy="63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127</xdr:row>
      <xdr:rowOff>133350</xdr:rowOff>
    </xdr:from>
    <xdr:to>
      <xdr:col>11</xdr:col>
      <xdr:colOff>180227</xdr:colOff>
      <xdr:row>166</xdr:row>
      <xdr:rowOff>141945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D89923D-1F9E-4CB3-98C0-DB7FDA8EF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4875" y="24326850"/>
          <a:ext cx="5980952" cy="743809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7711</xdr:colOff>
      <xdr:row>0</xdr:row>
      <xdr:rowOff>117098</xdr:rowOff>
    </xdr:from>
    <xdr:to>
      <xdr:col>19</xdr:col>
      <xdr:colOff>488062</xdr:colOff>
      <xdr:row>27</xdr:row>
      <xdr:rowOff>59312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11" y="117098"/>
          <a:ext cx="12125699" cy="50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157370</xdr:colOff>
      <xdr:row>27</xdr:row>
      <xdr:rowOff>149087</xdr:rowOff>
    </xdr:from>
    <xdr:to>
      <xdr:col>18</xdr:col>
      <xdr:colOff>286840</xdr:colOff>
      <xdr:row>54</xdr:row>
      <xdr:rowOff>177016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370" y="5292587"/>
          <a:ext cx="11161905" cy="5171429"/>
        </a:xfrm>
        <a:prstGeom prst="rect">
          <a:avLst/>
        </a:prstGeom>
      </xdr:spPr>
    </xdr:pic>
    <xdr:clientData/>
  </xdr:twoCellAnchor>
  <xdr:twoCellAnchor editAs="oneCell">
    <xdr:from>
      <xdr:col>20</xdr:col>
      <xdr:colOff>307068</xdr:colOff>
      <xdr:row>1</xdr:row>
      <xdr:rowOff>185133</xdr:rowOff>
    </xdr:from>
    <xdr:to>
      <xdr:col>29</xdr:col>
      <xdr:colOff>428947</xdr:colOff>
      <xdr:row>16</xdr:row>
      <xdr:rowOff>89538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553497" y="375633"/>
          <a:ext cx="5632771" cy="2761905"/>
        </a:xfrm>
        <a:prstGeom prst="rect">
          <a:avLst/>
        </a:prstGeom>
      </xdr:spPr>
    </xdr:pic>
    <xdr:clientData/>
  </xdr:twoCellAnchor>
  <xdr:twoCellAnchor editAs="oneCell">
    <xdr:from>
      <xdr:col>20</xdr:col>
      <xdr:colOff>312964</xdr:colOff>
      <xdr:row>17</xdr:row>
      <xdr:rowOff>122464</xdr:rowOff>
    </xdr:from>
    <xdr:to>
      <xdr:col>30</xdr:col>
      <xdr:colOff>446893</xdr:colOff>
      <xdr:row>53</xdr:row>
      <xdr:rowOff>188273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559393" y="3360964"/>
          <a:ext cx="6257143" cy="6923809"/>
        </a:xfrm>
        <a:prstGeom prst="rect">
          <a:avLst/>
        </a:prstGeom>
      </xdr:spPr>
    </xdr:pic>
    <xdr:clientData/>
  </xdr:twoCellAnchor>
  <xdr:twoCellAnchor editAs="oneCell">
    <xdr:from>
      <xdr:col>19</xdr:col>
      <xdr:colOff>340178</xdr:colOff>
      <xdr:row>52</xdr:row>
      <xdr:rowOff>149678</xdr:rowOff>
    </xdr:from>
    <xdr:to>
      <xdr:col>28</xdr:col>
      <xdr:colOff>219761</xdr:colOff>
      <xdr:row>75</xdr:row>
      <xdr:rowOff>187226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974285" y="10055678"/>
          <a:ext cx="5390476" cy="44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530679</xdr:colOff>
      <xdr:row>56</xdr:row>
      <xdr:rowOff>108857</xdr:rowOff>
    </xdr:from>
    <xdr:to>
      <xdr:col>15</xdr:col>
      <xdr:colOff>22048</xdr:colOff>
      <xdr:row>85</xdr:row>
      <xdr:rowOff>79595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0679" y="10776857"/>
          <a:ext cx="8676190" cy="54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258535</xdr:colOff>
      <xdr:row>88</xdr:row>
      <xdr:rowOff>68035</xdr:rowOff>
    </xdr:from>
    <xdr:to>
      <xdr:col>9</xdr:col>
      <xdr:colOff>595261</xdr:colOff>
      <xdr:row>93</xdr:row>
      <xdr:rowOff>58392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8535" y="16832035"/>
          <a:ext cx="5847619" cy="942857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89</xdr:row>
      <xdr:rowOff>0</xdr:rowOff>
    </xdr:from>
    <xdr:to>
      <xdr:col>22</xdr:col>
      <xdr:colOff>460537</xdr:colOff>
      <xdr:row>107</xdr:row>
      <xdr:rowOff>151952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960179" y="16954500"/>
          <a:ext cx="5971429" cy="35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394607</xdr:colOff>
      <xdr:row>96</xdr:row>
      <xdr:rowOff>0</xdr:rowOff>
    </xdr:from>
    <xdr:to>
      <xdr:col>9</xdr:col>
      <xdr:colOff>407523</xdr:colOff>
      <xdr:row>99</xdr:row>
      <xdr:rowOff>18976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4607" y="18288000"/>
          <a:ext cx="5523809" cy="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258536</xdr:colOff>
      <xdr:row>100</xdr:row>
      <xdr:rowOff>122465</xdr:rowOff>
    </xdr:from>
    <xdr:to>
      <xdr:col>9</xdr:col>
      <xdr:colOff>461929</xdr:colOff>
      <xdr:row>109</xdr:row>
      <xdr:rowOff>112727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8536" y="19172465"/>
          <a:ext cx="5714286" cy="17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109</xdr:row>
      <xdr:rowOff>136072</xdr:rowOff>
    </xdr:from>
    <xdr:to>
      <xdr:col>9</xdr:col>
      <xdr:colOff>374858</xdr:colOff>
      <xdr:row>155</xdr:row>
      <xdr:rowOff>134977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1" y="20900572"/>
          <a:ext cx="5600000" cy="8761905"/>
        </a:xfrm>
        <a:prstGeom prst="rect">
          <a:avLst/>
        </a:prstGeom>
      </xdr:spPr>
    </xdr:pic>
    <xdr:clientData/>
  </xdr:twoCellAnchor>
  <xdr:twoCellAnchor editAs="oneCell">
    <xdr:from>
      <xdr:col>10</xdr:col>
      <xdr:colOff>367394</xdr:colOff>
      <xdr:row>109</xdr:row>
      <xdr:rowOff>136071</xdr:rowOff>
    </xdr:from>
    <xdr:to>
      <xdr:col>19</xdr:col>
      <xdr:colOff>380310</xdr:colOff>
      <xdr:row>132</xdr:row>
      <xdr:rowOff>59333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490608" y="20900571"/>
          <a:ext cx="5523809" cy="4304762"/>
        </a:xfrm>
        <a:prstGeom prst="rect">
          <a:avLst/>
        </a:prstGeom>
      </xdr:spPr>
    </xdr:pic>
    <xdr:clientData/>
  </xdr:twoCellAnchor>
  <xdr:twoCellAnchor editAs="oneCell">
    <xdr:from>
      <xdr:col>10</xdr:col>
      <xdr:colOff>258535</xdr:colOff>
      <xdr:row>133</xdr:row>
      <xdr:rowOff>122464</xdr:rowOff>
    </xdr:from>
    <xdr:to>
      <xdr:col>24</xdr:col>
      <xdr:colOff>327299</xdr:colOff>
      <xdr:row>152</xdr:row>
      <xdr:rowOff>108857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381749" y="25458964"/>
          <a:ext cx="8641264" cy="3605893"/>
        </a:xfrm>
        <a:prstGeom prst="rect">
          <a:avLst/>
        </a:prstGeom>
      </xdr:spPr>
    </xdr:pic>
    <xdr:clientData/>
  </xdr:twoCellAnchor>
  <xdr:twoCellAnchor editAs="oneCell">
    <xdr:from>
      <xdr:col>23</xdr:col>
      <xdr:colOff>224117</xdr:colOff>
      <xdr:row>91</xdr:row>
      <xdr:rowOff>112059</xdr:rowOff>
    </xdr:from>
    <xdr:to>
      <xdr:col>32</xdr:col>
      <xdr:colOff>149487</xdr:colOff>
      <xdr:row>104</xdr:row>
      <xdr:rowOff>26035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0E9519F-D2E8-47EF-B443-B82ADFC5E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grayscl/>
        </a:blip>
        <a:stretch>
          <a:fillRect/>
        </a:stretch>
      </xdr:blipFill>
      <xdr:spPr>
        <a:xfrm>
          <a:off x="14141823" y="17447559"/>
          <a:ext cx="5371429" cy="2390476"/>
        </a:xfrm>
        <a:prstGeom prst="rect">
          <a:avLst/>
        </a:prstGeom>
      </xdr:spPr>
    </xdr:pic>
    <xdr:clientData/>
  </xdr:twoCellAnchor>
  <xdr:twoCellAnchor editAs="oneCell">
    <xdr:from>
      <xdr:col>23</xdr:col>
      <xdr:colOff>323021</xdr:colOff>
      <xdr:row>104</xdr:row>
      <xdr:rowOff>173935</xdr:rowOff>
    </xdr:from>
    <xdr:to>
      <xdr:col>32</xdr:col>
      <xdr:colOff>482994</xdr:colOff>
      <xdr:row>110</xdr:row>
      <xdr:rowOff>164268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8AAFC6B7-6E49-4B67-8877-214E45F51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420021" y="19985935"/>
          <a:ext cx="5676190" cy="1133333"/>
        </a:xfrm>
        <a:prstGeom prst="rect">
          <a:avLst/>
        </a:prstGeom>
      </xdr:spPr>
    </xdr:pic>
    <xdr:clientData/>
  </xdr:twoCellAnchor>
  <xdr:twoCellAnchor editAs="oneCell">
    <xdr:from>
      <xdr:col>23</xdr:col>
      <xdr:colOff>347870</xdr:colOff>
      <xdr:row>112</xdr:row>
      <xdr:rowOff>49696</xdr:rowOff>
    </xdr:from>
    <xdr:to>
      <xdr:col>32</xdr:col>
      <xdr:colOff>269748</xdr:colOff>
      <xdr:row>115</xdr:row>
      <xdr:rowOff>59148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B1EEE4F-3F9F-4EFA-9778-5DF66EFA1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444870" y="21385696"/>
          <a:ext cx="5438095" cy="58095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561975</xdr:colOff>
      <xdr:row>2</xdr:row>
      <xdr:rowOff>19050</xdr:rowOff>
    </xdr:from>
    <xdr:to>
      <xdr:col>9</xdr:col>
      <xdr:colOff>132718</xdr:colOff>
      <xdr:row>3</xdr:row>
      <xdr:rowOff>95217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15D2F57-3D71-4C11-8E12-F74C46470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1975" y="400050"/>
          <a:ext cx="5057143" cy="266667"/>
        </a:xfrm>
        <a:prstGeom prst="rect">
          <a:avLst/>
        </a:prstGeom>
      </xdr:spPr>
    </xdr:pic>
    <xdr:clientData/>
  </xdr:twoCellAnchor>
  <xdr:twoCellAnchor editAs="oneCell">
    <xdr:from>
      <xdr:col>0</xdr:col>
      <xdr:colOff>471238</xdr:colOff>
      <xdr:row>4</xdr:row>
      <xdr:rowOff>100263</xdr:rowOff>
    </xdr:from>
    <xdr:to>
      <xdr:col>8</xdr:col>
      <xdr:colOff>283158</xdr:colOff>
      <xdr:row>35</xdr:row>
      <xdr:rowOff>4287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07107D3-48D9-4D07-B725-31D9C0E4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1238" y="862263"/>
          <a:ext cx="4704762" cy="5809524"/>
        </a:xfrm>
        <a:prstGeom prst="rect">
          <a:avLst/>
        </a:prstGeom>
      </xdr:spPr>
    </xdr:pic>
    <xdr:clientData/>
  </xdr:twoCellAnchor>
  <xdr:twoCellAnchor editAs="oneCell">
    <xdr:from>
      <xdr:col>9</xdr:col>
      <xdr:colOff>419294</xdr:colOff>
      <xdr:row>2</xdr:row>
      <xdr:rowOff>26144</xdr:rowOff>
    </xdr:from>
    <xdr:to>
      <xdr:col>19</xdr:col>
      <xdr:colOff>555998</xdr:colOff>
      <xdr:row>25</xdr:row>
      <xdr:rowOff>120834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EDEA9CB-C078-4227-94B6-3F09334EA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35511" y="407144"/>
          <a:ext cx="6265835" cy="4476190"/>
        </a:xfrm>
        <a:prstGeom prst="rect">
          <a:avLst/>
        </a:prstGeom>
      </xdr:spPr>
    </xdr:pic>
    <xdr:clientData/>
  </xdr:twoCellAnchor>
  <xdr:twoCellAnchor editAs="oneCell">
    <xdr:from>
      <xdr:col>9</xdr:col>
      <xdr:colOff>400708</xdr:colOff>
      <xdr:row>26</xdr:row>
      <xdr:rowOff>137949</xdr:rowOff>
    </xdr:from>
    <xdr:to>
      <xdr:col>17</xdr:col>
      <xdr:colOff>581053</xdr:colOff>
      <xdr:row>44</xdr:row>
      <xdr:rowOff>137520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8FF1D8B-7030-4FFE-8DCD-668784E77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98932" y="5090949"/>
          <a:ext cx="5067655" cy="3428571"/>
        </a:xfrm>
        <a:prstGeom prst="rect">
          <a:avLst/>
        </a:prstGeom>
      </xdr:spPr>
    </xdr:pic>
    <xdr:clientData/>
  </xdr:twoCellAnchor>
  <xdr:twoCellAnchor editAs="oneCell">
    <xdr:from>
      <xdr:col>19</xdr:col>
      <xdr:colOff>488673</xdr:colOff>
      <xdr:row>2</xdr:row>
      <xdr:rowOff>16565</xdr:rowOff>
    </xdr:from>
    <xdr:to>
      <xdr:col>24</xdr:col>
      <xdr:colOff>414584</xdr:colOff>
      <xdr:row>6</xdr:row>
      <xdr:rowOff>187898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8FC59DC-6B4F-470D-A471-D9067458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134021" y="397565"/>
          <a:ext cx="2990476" cy="933333"/>
        </a:xfrm>
        <a:prstGeom prst="rect">
          <a:avLst/>
        </a:prstGeom>
      </xdr:spPr>
    </xdr:pic>
    <xdr:clientData/>
  </xdr:twoCellAnchor>
  <xdr:twoCellAnchor editAs="oneCell">
    <xdr:from>
      <xdr:col>19</xdr:col>
      <xdr:colOff>571500</xdr:colOff>
      <xdr:row>8</xdr:row>
      <xdr:rowOff>16565</xdr:rowOff>
    </xdr:from>
    <xdr:to>
      <xdr:col>24</xdr:col>
      <xdr:colOff>268840</xdr:colOff>
      <xdr:row>9</xdr:row>
      <xdr:rowOff>187970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3EE4325-E456-4680-AD15-F816755F6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216848" y="1540565"/>
          <a:ext cx="2761905" cy="3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389282</xdr:colOff>
      <xdr:row>35</xdr:row>
      <xdr:rowOff>107673</xdr:rowOff>
    </xdr:from>
    <xdr:to>
      <xdr:col>5</xdr:col>
      <xdr:colOff>524717</xdr:colOff>
      <xdr:row>46</xdr:row>
      <xdr:rowOff>2649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21CF1A7-7582-4479-8CA9-A2D850791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89282" y="6775173"/>
          <a:ext cx="3200000" cy="1990476"/>
        </a:xfrm>
        <a:prstGeom prst="rect">
          <a:avLst/>
        </a:prstGeom>
      </xdr:spPr>
    </xdr:pic>
    <xdr:clientData/>
  </xdr:twoCellAnchor>
  <xdr:twoCellAnchor editAs="oneCell">
    <xdr:from>
      <xdr:col>9</xdr:col>
      <xdr:colOff>480392</xdr:colOff>
      <xdr:row>44</xdr:row>
      <xdr:rowOff>8283</xdr:rowOff>
    </xdr:from>
    <xdr:to>
      <xdr:col>14</xdr:col>
      <xdr:colOff>72969</xdr:colOff>
      <xdr:row>56</xdr:row>
      <xdr:rowOff>141331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287EB53-4D78-4790-9C97-5C57A37B9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996609" y="8390283"/>
          <a:ext cx="2657143" cy="2419048"/>
        </a:xfrm>
        <a:prstGeom prst="rect">
          <a:avLst/>
        </a:prstGeom>
      </xdr:spPr>
    </xdr:pic>
    <xdr:clientData/>
  </xdr:twoCellAnchor>
  <xdr:twoCellAnchor>
    <xdr:from>
      <xdr:col>0</xdr:col>
      <xdr:colOff>256760</xdr:colOff>
      <xdr:row>46</xdr:row>
      <xdr:rowOff>82827</xdr:rowOff>
    </xdr:from>
    <xdr:to>
      <xdr:col>5</xdr:col>
      <xdr:colOff>382671</xdr:colOff>
      <xdr:row>65</xdr:row>
      <xdr:rowOff>152526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AEE001A5-A0A5-47CC-B248-4A486E1D3B52}"/>
            </a:ext>
          </a:extLst>
        </xdr:cNvPr>
        <xdr:cNvGrpSpPr/>
      </xdr:nvGrpSpPr>
      <xdr:grpSpPr>
        <a:xfrm>
          <a:off x="256760" y="8845827"/>
          <a:ext cx="3166584" cy="3689199"/>
          <a:chOff x="323021" y="8903805"/>
          <a:chExt cx="3190476" cy="3689199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6768A1F3-3364-445F-8DEF-0F27571583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323021" y="8903805"/>
            <a:ext cx="3190476" cy="1447619"/>
          </a:xfrm>
          <a:prstGeom prst="rect">
            <a:avLst/>
          </a:prstGeom>
        </xdr:spPr>
      </xdr:pic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16857D3E-CFFD-40E6-8FE0-6BF3433ACEC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447262" y="10278718"/>
            <a:ext cx="3019048" cy="2314286"/>
          </a:xfrm>
          <a:prstGeom prst="rect">
            <a:avLst/>
          </a:prstGeom>
        </xdr:spPr>
      </xdr:pic>
    </xdr:grpSp>
    <xdr:clientData/>
  </xdr:twoCellAnchor>
  <xdr:twoCellAnchor editAs="oneCell">
    <xdr:from>
      <xdr:col>0</xdr:col>
      <xdr:colOff>289891</xdr:colOff>
      <xdr:row>66</xdr:row>
      <xdr:rowOff>115956</xdr:rowOff>
    </xdr:from>
    <xdr:to>
      <xdr:col>10</xdr:col>
      <xdr:colOff>589332</xdr:colOff>
      <xdr:row>90</xdr:row>
      <xdr:rowOff>10623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BA87D413-9F1D-4385-9FD7-A558FC35A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9891" y="12688956"/>
          <a:ext cx="6428571" cy="4466667"/>
        </a:xfrm>
        <a:prstGeom prst="rect">
          <a:avLst/>
        </a:prstGeom>
      </xdr:spPr>
    </xdr:pic>
    <xdr:clientData/>
  </xdr:twoCellAnchor>
  <xdr:twoCellAnchor editAs="oneCell">
    <xdr:from>
      <xdr:col>14</xdr:col>
      <xdr:colOff>48985</xdr:colOff>
      <xdr:row>44</xdr:row>
      <xdr:rowOff>79513</xdr:rowOff>
    </xdr:from>
    <xdr:to>
      <xdr:col>19</xdr:col>
      <xdr:colOff>571583</xdr:colOff>
      <xdr:row>65</xdr:row>
      <xdr:rowOff>2822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C7C0800-9527-423A-B96E-FD0996EC1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583385" y="8461513"/>
          <a:ext cx="3570598" cy="3923809"/>
        </a:xfrm>
        <a:prstGeom prst="rect">
          <a:avLst/>
        </a:prstGeom>
      </xdr:spPr>
    </xdr:pic>
    <xdr:clientData/>
  </xdr:twoCellAnchor>
  <xdr:twoCellAnchor editAs="oneCell">
    <xdr:from>
      <xdr:col>14</xdr:col>
      <xdr:colOff>69500</xdr:colOff>
      <xdr:row>44</xdr:row>
      <xdr:rowOff>79513</xdr:rowOff>
    </xdr:from>
    <xdr:to>
      <xdr:col>19</xdr:col>
      <xdr:colOff>124065</xdr:colOff>
      <xdr:row>45</xdr:row>
      <xdr:rowOff>184251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1190B8E-F594-4289-A585-22433B95C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583385" y="8461513"/>
          <a:ext cx="3095238" cy="295238"/>
        </a:xfrm>
        <a:prstGeom prst="rect">
          <a:avLst/>
        </a:prstGeom>
      </xdr:spPr>
    </xdr:pic>
    <xdr:clientData/>
  </xdr:twoCellAnchor>
  <xdr:twoCellAnchor editAs="oneCell">
    <xdr:from>
      <xdr:col>9</xdr:col>
      <xdr:colOff>131884</xdr:colOff>
      <xdr:row>58</xdr:row>
      <xdr:rowOff>65942</xdr:rowOff>
    </xdr:from>
    <xdr:to>
      <xdr:col>14</xdr:col>
      <xdr:colOff>186449</xdr:colOff>
      <xdr:row>59</xdr:row>
      <xdr:rowOff>170680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3309E043-7336-4FD5-9000-A60152FF2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605096" y="11114942"/>
          <a:ext cx="3095238" cy="295238"/>
        </a:xfrm>
        <a:prstGeom prst="rect">
          <a:avLst/>
        </a:prstGeom>
      </xdr:spPr>
    </xdr:pic>
    <xdr:clientData/>
  </xdr:twoCellAnchor>
  <xdr:twoCellAnchor editAs="oneCell">
    <xdr:from>
      <xdr:col>17</xdr:col>
      <xdr:colOff>404002</xdr:colOff>
      <xdr:row>28</xdr:row>
      <xdr:rowOff>89057</xdr:rowOff>
    </xdr:from>
    <xdr:to>
      <xdr:col>26</xdr:col>
      <xdr:colOff>492695</xdr:colOff>
      <xdr:row>45</xdr:row>
      <xdr:rowOff>2938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88989CB-A07C-4CEC-ABE7-27D8301A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91002" y="5423057"/>
          <a:ext cx="5534752" cy="3152381"/>
        </a:xfrm>
        <a:prstGeom prst="rect">
          <a:avLst/>
        </a:prstGeom>
      </xdr:spPr>
    </xdr:pic>
    <xdr:clientData/>
  </xdr:twoCellAnchor>
  <xdr:twoCellAnchor editAs="oneCell">
    <xdr:from>
      <xdr:col>11</xdr:col>
      <xdr:colOff>204107</xdr:colOff>
      <xdr:row>66</xdr:row>
      <xdr:rowOff>40821</xdr:rowOff>
    </xdr:from>
    <xdr:to>
      <xdr:col>22</xdr:col>
      <xdr:colOff>192381</xdr:colOff>
      <xdr:row>91</xdr:row>
      <xdr:rowOff>68797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273D220-998F-4626-9762-2BF638332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39643" y="12613821"/>
          <a:ext cx="6723809" cy="4790476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381000</xdr:colOff>
      <xdr:row>92</xdr:row>
      <xdr:rowOff>28575</xdr:rowOff>
    </xdr:from>
    <xdr:to>
      <xdr:col>23</xdr:col>
      <xdr:colOff>246752</xdr:colOff>
      <xdr:row>119</xdr:row>
      <xdr:rowOff>113646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D0C0B0F-76BC-4E4C-A530-60F0BCDD1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86600" y="17554575"/>
          <a:ext cx="7180952" cy="5228571"/>
        </a:xfrm>
        <a:prstGeom prst="rect">
          <a:avLst/>
        </a:prstGeom>
      </xdr:spPr>
    </xdr:pic>
    <xdr:clientData/>
  </xdr:twoCellAnchor>
  <xdr:twoCellAnchor editAs="oneCell">
    <xdr:from>
      <xdr:col>11</xdr:col>
      <xdr:colOff>400050</xdr:colOff>
      <xdr:row>120</xdr:row>
      <xdr:rowOff>57150</xdr:rowOff>
    </xdr:from>
    <xdr:to>
      <xdr:col>22</xdr:col>
      <xdr:colOff>475402</xdr:colOff>
      <xdr:row>145</xdr:row>
      <xdr:rowOff>18459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E43E05DD-BF4F-4783-8CA1-37B9439D1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105650" y="22917150"/>
          <a:ext cx="6780952" cy="472380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285617</xdr:colOff>
      <xdr:row>0</xdr:row>
      <xdr:rowOff>152370</xdr:rowOff>
    </xdr:from>
    <xdr:to>
      <xdr:col>15</xdr:col>
      <xdr:colOff>587357</xdr:colOff>
      <xdr:row>3</xdr:row>
      <xdr:rowOff>44821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61146" y="152370"/>
          <a:ext cx="5815035" cy="452745"/>
        </a:xfrm>
        <a:prstGeom prst="rect">
          <a:avLst/>
        </a:prstGeom>
      </xdr:spPr>
    </xdr:pic>
    <xdr:clientData/>
  </xdr:twoCellAnchor>
  <xdr:twoCellAnchor editAs="oneCell">
    <xdr:from>
      <xdr:col>6</xdr:col>
      <xdr:colOff>293900</xdr:colOff>
      <xdr:row>4</xdr:row>
      <xdr:rowOff>35417</xdr:rowOff>
    </xdr:from>
    <xdr:to>
      <xdr:col>14</xdr:col>
      <xdr:colOff>355225</xdr:colOff>
      <xdr:row>5</xdr:row>
      <xdr:rowOff>163865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69429" y="782476"/>
          <a:ext cx="4962031" cy="315213"/>
        </a:xfrm>
        <a:prstGeom prst="rect">
          <a:avLst/>
        </a:prstGeom>
      </xdr:spPr>
    </xdr:pic>
    <xdr:clientData/>
  </xdr:twoCellAnchor>
  <xdr:twoCellAnchor editAs="oneCell">
    <xdr:from>
      <xdr:col>6</xdr:col>
      <xdr:colOff>271487</xdr:colOff>
      <xdr:row>6</xdr:row>
      <xdr:rowOff>23281</xdr:rowOff>
    </xdr:from>
    <xdr:to>
      <xdr:col>14</xdr:col>
      <xdr:colOff>583420</xdr:colOff>
      <xdr:row>13</xdr:row>
      <xdr:rowOff>113852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47016" y="1143869"/>
          <a:ext cx="5212639" cy="1397924"/>
        </a:xfrm>
        <a:prstGeom prst="rect">
          <a:avLst/>
        </a:prstGeom>
      </xdr:spPr>
    </xdr:pic>
    <xdr:clientData/>
  </xdr:twoCellAnchor>
  <xdr:twoCellAnchor editAs="oneCell">
    <xdr:from>
      <xdr:col>0</xdr:col>
      <xdr:colOff>40231</xdr:colOff>
      <xdr:row>0</xdr:row>
      <xdr:rowOff>0</xdr:rowOff>
    </xdr:from>
    <xdr:to>
      <xdr:col>6</xdr:col>
      <xdr:colOff>156785</xdr:colOff>
      <xdr:row>28</xdr:row>
      <xdr:rowOff>55612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231" y="0"/>
          <a:ext cx="3768578" cy="5389612"/>
        </a:xfrm>
        <a:prstGeom prst="rect">
          <a:avLst/>
        </a:prstGeom>
      </xdr:spPr>
    </xdr:pic>
    <xdr:clientData/>
  </xdr:twoCellAnchor>
  <xdr:twoCellAnchor editAs="oneCell">
    <xdr:from>
      <xdr:col>0</xdr:col>
      <xdr:colOff>95700</xdr:colOff>
      <xdr:row>28</xdr:row>
      <xdr:rowOff>47626</xdr:rowOff>
    </xdr:from>
    <xdr:to>
      <xdr:col>6</xdr:col>
      <xdr:colOff>218100</xdr:colOff>
      <xdr:row>29</xdr:row>
      <xdr:rowOff>72390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7214" t="1384"/>
        <a:stretch/>
      </xdr:blipFill>
      <xdr:spPr>
        <a:xfrm>
          <a:off x="95700" y="5229226"/>
          <a:ext cx="3780000" cy="209821"/>
        </a:xfrm>
        <a:prstGeom prst="rect">
          <a:avLst/>
        </a:prstGeom>
      </xdr:spPr>
    </xdr:pic>
    <xdr:clientData/>
  </xdr:twoCellAnchor>
  <xdr:twoCellAnchor editAs="oneCell">
    <xdr:from>
      <xdr:col>6</xdr:col>
      <xdr:colOff>352690</xdr:colOff>
      <xdr:row>14</xdr:row>
      <xdr:rowOff>88070</xdr:rowOff>
    </xdr:from>
    <xdr:to>
      <xdr:col>14</xdr:col>
      <xdr:colOff>309253</xdr:colOff>
      <xdr:row>17</xdr:row>
      <xdr:rowOff>146064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28219" y="2702776"/>
          <a:ext cx="4857269" cy="618288"/>
        </a:xfrm>
        <a:prstGeom prst="rect">
          <a:avLst/>
        </a:prstGeom>
      </xdr:spPr>
    </xdr:pic>
    <xdr:clientData/>
  </xdr:twoCellAnchor>
  <xdr:twoCellAnchor editAs="oneCell">
    <xdr:from>
      <xdr:col>6</xdr:col>
      <xdr:colOff>331304</xdr:colOff>
      <xdr:row>18</xdr:row>
      <xdr:rowOff>132521</xdr:rowOff>
    </xdr:from>
    <xdr:to>
      <xdr:col>19</xdr:col>
      <xdr:colOff>322104</xdr:colOff>
      <xdr:row>20</xdr:row>
      <xdr:rowOff>140804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08782" y="3561521"/>
          <a:ext cx="7958670" cy="389283"/>
        </a:xfrm>
        <a:prstGeom prst="rect">
          <a:avLst/>
        </a:prstGeom>
      </xdr:spPr>
    </xdr:pic>
    <xdr:clientData/>
  </xdr:twoCellAnchor>
  <xdr:twoCellAnchor editAs="oneCell">
    <xdr:from>
      <xdr:col>6</xdr:col>
      <xdr:colOff>298174</xdr:colOff>
      <xdr:row>22</xdr:row>
      <xdr:rowOff>74544</xdr:rowOff>
    </xdr:from>
    <xdr:to>
      <xdr:col>15</xdr:col>
      <xdr:colOff>610527</xdr:colOff>
      <xdr:row>26</xdr:row>
      <xdr:rowOff>160163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975652" y="4265544"/>
          <a:ext cx="5828571" cy="847619"/>
        </a:xfrm>
        <a:prstGeom prst="rect">
          <a:avLst/>
        </a:prstGeom>
      </xdr:spPr>
    </xdr:pic>
    <xdr:clientData/>
  </xdr:twoCellAnchor>
  <xdr:twoCellAnchor editAs="oneCell">
    <xdr:from>
      <xdr:col>6</xdr:col>
      <xdr:colOff>414130</xdr:colOff>
      <xdr:row>27</xdr:row>
      <xdr:rowOff>91109</xdr:rowOff>
    </xdr:from>
    <xdr:to>
      <xdr:col>15</xdr:col>
      <xdr:colOff>221721</xdr:colOff>
      <xdr:row>47</xdr:row>
      <xdr:rowOff>62061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91608" y="5234609"/>
          <a:ext cx="5323809" cy="3780952"/>
        </a:xfrm>
        <a:prstGeom prst="rect">
          <a:avLst/>
        </a:prstGeom>
      </xdr:spPr>
    </xdr:pic>
    <xdr:clientData/>
  </xdr:twoCellAnchor>
  <xdr:twoCellAnchor editAs="oneCell">
    <xdr:from>
      <xdr:col>15</xdr:col>
      <xdr:colOff>596348</xdr:colOff>
      <xdr:row>22</xdr:row>
      <xdr:rowOff>33130</xdr:rowOff>
    </xdr:from>
    <xdr:to>
      <xdr:col>25</xdr:col>
      <xdr:colOff>276742</xdr:colOff>
      <xdr:row>28</xdr:row>
      <xdr:rowOff>23463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790044" y="4224130"/>
          <a:ext cx="5809524" cy="1133333"/>
        </a:xfrm>
        <a:prstGeom prst="rect">
          <a:avLst/>
        </a:prstGeom>
      </xdr:spPr>
    </xdr:pic>
    <xdr:clientData/>
  </xdr:twoCellAnchor>
  <xdr:twoCellAnchor editAs="oneCell">
    <xdr:from>
      <xdr:col>15</xdr:col>
      <xdr:colOff>107673</xdr:colOff>
      <xdr:row>3</xdr:row>
      <xdr:rowOff>182217</xdr:rowOff>
    </xdr:from>
    <xdr:to>
      <xdr:col>26</xdr:col>
      <xdr:colOff>273326</xdr:colOff>
      <xdr:row>17</xdr:row>
      <xdr:rowOff>20473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42C0E4D-3BAE-4F3C-8E5C-F42DA0194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301369" y="753717"/>
          <a:ext cx="6907696" cy="2505256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245645</xdr:colOff>
      <xdr:row>0</xdr:row>
      <xdr:rowOff>156411</xdr:rowOff>
    </xdr:from>
    <xdr:to>
      <xdr:col>5</xdr:col>
      <xdr:colOff>397645</xdr:colOff>
      <xdr:row>10</xdr:row>
      <xdr:rowOff>32363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74EA4DB-B6F0-4BF4-A753-F8D9CB769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645" y="156411"/>
          <a:ext cx="3210026" cy="1780952"/>
        </a:xfrm>
        <a:prstGeom prst="rect">
          <a:avLst/>
        </a:prstGeom>
      </xdr:spPr>
    </xdr:pic>
    <xdr:clientData/>
  </xdr:twoCellAnchor>
  <xdr:twoCellAnchor editAs="oneCell">
    <xdr:from>
      <xdr:col>5</xdr:col>
      <xdr:colOff>551448</xdr:colOff>
      <xdr:row>0</xdr:row>
      <xdr:rowOff>145382</xdr:rowOff>
    </xdr:from>
    <xdr:to>
      <xdr:col>9</xdr:col>
      <xdr:colOff>66932</xdr:colOff>
      <xdr:row>13</xdr:row>
      <xdr:rowOff>59358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B84385C-4288-4FEA-96A7-8CE7A67C8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09474" y="145382"/>
          <a:ext cx="1961905" cy="23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295777</xdr:colOff>
      <xdr:row>14</xdr:row>
      <xdr:rowOff>55144</xdr:rowOff>
    </xdr:from>
    <xdr:to>
      <xdr:col>6</xdr:col>
      <xdr:colOff>483288</xdr:colOff>
      <xdr:row>23</xdr:row>
      <xdr:rowOff>54930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B57B4E5-1EAC-4E5F-80FB-DB2304FCB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777" y="2722144"/>
          <a:ext cx="3857143" cy="1714286"/>
        </a:xfrm>
        <a:prstGeom prst="rect">
          <a:avLst/>
        </a:prstGeom>
      </xdr:spPr>
    </xdr:pic>
    <xdr:clientData/>
  </xdr:twoCellAnchor>
  <xdr:twoCellAnchor editAs="oneCell">
    <xdr:from>
      <xdr:col>9</xdr:col>
      <xdr:colOff>100263</xdr:colOff>
      <xdr:row>2</xdr:row>
      <xdr:rowOff>45118</xdr:rowOff>
    </xdr:from>
    <xdr:to>
      <xdr:col>12</xdr:col>
      <xdr:colOff>274971</xdr:colOff>
      <xdr:row>12</xdr:row>
      <xdr:rowOff>168689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C8F66A6-EB9A-4F6D-B253-AAA63ADBC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04710" y="426118"/>
          <a:ext cx="2009524" cy="2028571"/>
        </a:xfrm>
        <a:prstGeom prst="rect">
          <a:avLst/>
        </a:prstGeom>
      </xdr:spPr>
    </xdr:pic>
    <xdr:clientData/>
  </xdr:twoCellAnchor>
  <xdr:twoCellAnchor editAs="oneCell">
    <xdr:from>
      <xdr:col>6</xdr:col>
      <xdr:colOff>501314</xdr:colOff>
      <xdr:row>14</xdr:row>
      <xdr:rowOff>95250</xdr:rowOff>
    </xdr:from>
    <xdr:to>
      <xdr:col>15</xdr:col>
      <xdr:colOff>158772</xdr:colOff>
      <xdr:row>22</xdr:row>
      <xdr:rowOff>133155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1C49DDE-8D3E-440D-861F-599F5623F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170946" y="2762250"/>
          <a:ext cx="5161905" cy="1561905"/>
        </a:xfrm>
        <a:prstGeom prst="rect">
          <a:avLst/>
        </a:prstGeom>
      </xdr:spPr>
    </xdr:pic>
    <xdr:clientData/>
  </xdr:twoCellAnchor>
  <xdr:twoCellAnchor editAs="oneCell">
    <xdr:from>
      <xdr:col>6</xdr:col>
      <xdr:colOff>601578</xdr:colOff>
      <xdr:row>23</xdr:row>
      <xdr:rowOff>35092</xdr:rowOff>
    </xdr:from>
    <xdr:to>
      <xdr:col>15</xdr:col>
      <xdr:colOff>239988</xdr:colOff>
      <xdr:row>27</xdr:row>
      <xdr:rowOff>158806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2C5ABB7-805D-4812-816C-F79353A26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71210" y="4416592"/>
          <a:ext cx="5142857" cy="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203658</xdr:colOff>
      <xdr:row>25</xdr:row>
      <xdr:rowOff>31959</xdr:rowOff>
    </xdr:from>
    <xdr:to>
      <xdr:col>7</xdr:col>
      <xdr:colOff>126809</xdr:colOff>
      <xdr:row>34</xdr:row>
      <xdr:rowOff>88888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6EFBF5E-5373-4C08-A5B1-FB99B07A9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3658" y="4794459"/>
          <a:ext cx="4173682" cy="17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39</xdr:row>
      <xdr:rowOff>95250</xdr:rowOff>
    </xdr:from>
    <xdr:to>
      <xdr:col>8</xdr:col>
      <xdr:colOff>573867</xdr:colOff>
      <xdr:row>59</xdr:row>
      <xdr:rowOff>56679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AD41E13-B8A0-4269-A277-950663AC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3376" y="7524750"/>
          <a:ext cx="5098241" cy="3771429"/>
        </a:xfrm>
        <a:prstGeom prst="rect">
          <a:avLst/>
        </a:prstGeom>
      </xdr:spPr>
    </xdr:pic>
    <xdr:clientData/>
  </xdr:twoCellAnchor>
  <xdr:twoCellAnchor editAs="oneCell">
    <xdr:from>
      <xdr:col>8</xdr:col>
      <xdr:colOff>517922</xdr:colOff>
      <xdr:row>38</xdr:row>
      <xdr:rowOff>178593</xdr:rowOff>
    </xdr:from>
    <xdr:to>
      <xdr:col>17</xdr:col>
      <xdr:colOff>224382</xdr:colOff>
      <xdr:row>43</xdr:row>
      <xdr:rowOff>16569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272DED3-373C-4346-AF73-2E4F4BA4B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375672" y="7417593"/>
          <a:ext cx="5171429" cy="79047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357939</xdr:colOff>
      <xdr:row>0</xdr:row>
      <xdr:rowOff>121819</xdr:rowOff>
    </xdr:from>
    <xdr:to>
      <xdr:col>8</xdr:col>
      <xdr:colOff>88658</xdr:colOff>
      <xdr:row>5</xdr:row>
      <xdr:rowOff>64557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81A13CE-64B0-4716-A17F-95939EEB0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7939" y="121819"/>
          <a:ext cx="4623561" cy="8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345909</xdr:colOff>
      <xdr:row>5</xdr:row>
      <xdr:rowOff>150394</xdr:rowOff>
    </xdr:from>
    <xdr:to>
      <xdr:col>8</xdr:col>
      <xdr:colOff>148305</xdr:colOff>
      <xdr:row>24</xdr:row>
      <xdr:rowOff>140418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6A35645-9703-4144-A819-C773F98F0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5909" y="1102894"/>
          <a:ext cx="4695238" cy="3609524"/>
        </a:xfrm>
        <a:prstGeom prst="rect">
          <a:avLst/>
        </a:prstGeom>
      </xdr:spPr>
    </xdr:pic>
    <xdr:clientData/>
  </xdr:twoCellAnchor>
  <xdr:twoCellAnchor editAs="oneCell">
    <xdr:from>
      <xdr:col>8</xdr:col>
      <xdr:colOff>178594</xdr:colOff>
      <xdr:row>21</xdr:row>
      <xdr:rowOff>190499</xdr:rowOff>
    </xdr:from>
    <xdr:to>
      <xdr:col>16</xdr:col>
      <xdr:colOff>168463</xdr:colOff>
      <xdr:row>41</xdr:row>
      <xdr:rowOff>18594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095D5CB-BF6E-483A-A7A5-688B482CA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36344" y="4190999"/>
          <a:ext cx="4847619" cy="3638095"/>
        </a:xfrm>
        <a:prstGeom prst="rect">
          <a:avLst/>
        </a:prstGeom>
      </xdr:spPr>
    </xdr:pic>
    <xdr:clientData/>
  </xdr:twoCellAnchor>
  <xdr:twoCellAnchor>
    <xdr:from>
      <xdr:col>8</xdr:col>
      <xdr:colOff>273845</xdr:colOff>
      <xdr:row>0</xdr:row>
      <xdr:rowOff>160734</xdr:rowOff>
    </xdr:from>
    <xdr:to>
      <xdr:col>16</xdr:col>
      <xdr:colOff>147295</xdr:colOff>
      <xdr:row>22</xdr:row>
      <xdr:rowOff>74907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03279B35-0D28-46E8-A3C9-FB986CC79249}"/>
            </a:ext>
          </a:extLst>
        </xdr:cNvPr>
        <xdr:cNvGrpSpPr/>
      </xdr:nvGrpSpPr>
      <xdr:grpSpPr>
        <a:xfrm>
          <a:off x="5150645" y="160734"/>
          <a:ext cx="4750250" cy="4105173"/>
          <a:chOff x="5131595" y="160734"/>
          <a:chExt cx="4731200" cy="4105173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903D5DD1-6E2A-4B9F-9BBF-22A3161550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5131595" y="160734"/>
            <a:ext cx="4731200" cy="3314286"/>
          </a:xfrm>
          <a:prstGeom prst="rect">
            <a:avLst/>
          </a:prstGeom>
        </xdr:spPr>
      </xdr:pic>
      <xdr:pic>
        <xdr:nvPicPr>
          <xdr:cNvPr id="7" name="Picture 6">
            <a:extLst>
              <a:ext uri="{FF2B5EF4-FFF2-40B4-BE49-F238E27FC236}">
                <a16:creationId xmlns:a16="http://schemas.microsoft.com/office/drawing/2014/main" id="{8E1FCB17-F838-43EF-9D6F-627BDAF540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5167313" y="3446859"/>
            <a:ext cx="4657143" cy="819048"/>
          </a:xfrm>
          <a:prstGeom prst="rect">
            <a:avLst/>
          </a:prstGeom>
        </xdr:spPr>
      </xdr:pic>
    </xdr:grpSp>
    <xdr:clientData/>
  </xdr:twoCellAnchor>
  <xdr:twoCellAnchor editAs="oneCell">
    <xdr:from>
      <xdr:col>5</xdr:col>
      <xdr:colOff>229143</xdr:colOff>
      <xdr:row>41</xdr:row>
      <xdr:rowOff>19337</xdr:rowOff>
    </xdr:from>
    <xdr:to>
      <xdr:col>15</xdr:col>
      <xdr:colOff>576202</xdr:colOff>
      <xdr:row>60</xdr:row>
      <xdr:rowOff>37832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E792A61-EEE3-4909-81AB-AD224F80D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5400000">
          <a:off x="4712805" y="6410740"/>
          <a:ext cx="3637995" cy="6476190"/>
        </a:xfrm>
        <a:prstGeom prst="rect">
          <a:avLst/>
        </a:prstGeom>
      </xdr:spPr>
    </xdr:pic>
    <xdr:clientData/>
  </xdr:twoCellAnchor>
  <xdr:twoCellAnchor editAs="oneCell">
    <xdr:from>
      <xdr:col>16</xdr:col>
      <xdr:colOff>144517</xdr:colOff>
      <xdr:row>42</xdr:row>
      <xdr:rowOff>45983</xdr:rowOff>
    </xdr:from>
    <xdr:to>
      <xdr:col>23</xdr:col>
      <xdr:colOff>372883</xdr:colOff>
      <xdr:row>50</xdr:row>
      <xdr:rowOff>64840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CB59A73-A750-486B-9893-D230FB7F8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919138" y="8046983"/>
          <a:ext cx="4504762" cy="1542857"/>
        </a:xfrm>
        <a:prstGeom prst="rect">
          <a:avLst/>
        </a:prstGeom>
      </xdr:spPr>
    </xdr:pic>
    <xdr:clientData/>
  </xdr:twoCellAnchor>
  <xdr:twoCellAnchor editAs="oneCell">
    <xdr:from>
      <xdr:col>15</xdr:col>
      <xdr:colOff>591207</xdr:colOff>
      <xdr:row>51</xdr:row>
      <xdr:rowOff>59121</xdr:rowOff>
    </xdr:from>
    <xdr:to>
      <xdr:col>23</xdr:col>
      <xdr:colOff>494373</xdr:colOff>
      <xdr:row>55</xdr:row>
      <xdr:rowOff>135216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47BA608-C71B-4E5F-82FA-3B79AD0CE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54914" y="9774621"/>
          <a:ext cx="4790476" cy="83809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2</xdr:row>
      <xdr:rowOff>104775</xdr:rowOff>
    </xdr:from>
    <xdr:to>
      <xdr:col>10</xdr:col>
      <xdr:colOff>8793</xdr:colOff>
      <xdr:row>8</xdr:row>
      <xdr:rowOff>161775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" y="485775"/>
          <a:ext cx="5857143" cy="1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236764</xdr:colOff>
      <xdr:row>9</xdr:row>
      <xdr:rowOff>164646</xdr:rowOff>
    </xdr:from>
    <xdr:to>
      <xdr:col>10</xdr:col>
      <xdr:colOff>93145</xdr:colOff>
      <xdr:row>11</xdr:row>
      <xdr:rowOff>116979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6764" y="1879146"/>
          <a:ext cx="5979595" cy="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273504</xdr:colOff>
      <xdr:row>12</xdr:row>
      <xdr:rowOff>63954</xdr:rowOff>
    </xdr:from>
    <xdr:to>
      <xdr:col>10</xdr:col>
      <xdr:colOff>91790</xdr:colOff>
      <xdr:row>14</xdr:row>
      <xdr:rowOff>111525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3504" y="2349954"/>
          <a:ext cx="5941500" cy="428571"/>
        </a:xfrm>
        <a:prstGeom prst="rect">
          <a:avLst/>
        </a:prstGeom>
      </xdr:spPr>
    </xdr:pic>
    <xdr:clientData/>
  </xdr:twoCellAnchor>
  <xdr:twoCellAnchor editAs="oneCell">
    <xdr:from>
      <xdr:col>10</xdr:col>
      <xdr:colOff>179615</xdr:colOff>
      <xdr:row>18</xdr:row>
      <xdr:rowOff>54430</xdr:rowOff>
    </xdr:from>
    <xdr:to>
      <xdr:col>20</xdr:col>
      <xdr:colOff>438717</xdr:colOff>
      <xdr:row>57</xdr:row>
      <xdr:rowOff>87513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02829" y="3483430"/>
          <a:ext cx="6382317" cy="7476190"/>
        </a:xfrm>
        <a:prstGeom prst="rect">
          <a:avLst/>
        </a:prstGeom>
      </xdr:spPr>
    </xdr:pic>
    <xdr:clientData/>
  </xdr:twoCellAnchor>
  <xdr:twoCellAnchor editAs="oneCell">
    <xdr:from>
      <xdr:col>12</xdr:col>
      <xdr:colOff>380999</xdr:colOff>
      <xdr:row>58</xdr:row>
      <xdr:rowOff>166008</xdr:rowOff>
    </xdr:from>
    <xdr:to>
      <xdr:col>26</xdr:col>
      <xdr:colOff>424830</xdr:colOff>
      <xdr:row>93</xdr:row>
      <xdr:rowOff>75378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96199" y="11224533"/>
          <a:ext cx="8578231" cy="6576870"/>
        </a:xfrm>
        <a:prstGeom prst="rect">
          <a:avLst/>
        </a:prstGeom>
      </xdr:spPr>
    </xdr:pic>
    <xdr:clientData/>
  </xdr:twoCellAnchor>
  <xdr:twoCellAnchor editAs="oneCell">
    <xdr:from>
      <xdr:col>0</xdr:col>
      <xdr:colOff>170089</xdr:colOff>
      <xdr:row>14</xdr:row>
      <xdr:rowOff>106135</xdr:rowOff>
    </xdr:from>
    <xdr:to>
      <xdr:col>10</xdr:col>
      <xdr:colOff>55041</xdr:colOff>
      <xdr:row>20</xdr:row>
      <xdr:rowOff>134564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0089" y="2773135"/>
          <a:ext cx="6008166" cy="1171429"/>
        </a:xfrm>
        <a:prstGeom prst="rect">
          <a:avLst/>
        </a:prstGeom>
      </xdr:spPr>
    </xdr:pic>
    <xdr:clientData/>
  </xdr:twoCellAnchor>
  <xdr:twoCellAnchor editAs="oneCell">
    <xdr:from>
      <xdr:col>10</xdr:col>
      <xdr:colOff>258537</xdr:colOff>
      <xdr:row>2</xdr:row>
      <xdr:rowOff>95250</xdr:rowOff>
    </xdr:from>
    <xdr:to>
      <xdr:col>20</xdr:col>
      <xdr:colOff>26481</xdr:colOff>
      <xdr:row>6</xdr:row>
      <xdr:rowOff>38012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81751" y="476250"/>
          <a:ext cx="5891159" cy="704762"/>
        </a:xfrm>
        <a:prstGeom prst="rect">
          <a:avLst/>
        </a:prstGeom>
      </xdr:spPr>
    </xdr:pic>
    <xdr:clientData/>
  </xdr:twoCellAnchor>
  <xdr:twoCellAnchor editAs="oneCell">
    <xdr:from>
      <xdr:col>20</xdr:col>
      <xdr:colOff>557892</xdr:colOff>
      <xdr:row>2</xdr:row>
      <xdr:rowOff>40822</xdr:rowOff>
    </xdr:from>
    <xdr:to>
      <xdr:col>30</xdr:col>
      <xdr:colOff>129916</xdr:colOff>
      <xdr:row>36</xdr:row>
      <xdr:rowOff>182870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804321" y="421822"/>
          <a:ext cx="5695238" cy="66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244928</xdr:colOff>
      <xdr:row>20</xdr:row>
      <xdr:rowOff>163286</xdr:rowOff>
    </xdr:from>
    <xdr:to>
      <xdr:col>9</xdr:col>
      <xdr:colOff>429273</xdr:colOff>
      <xdr:row>26</xdr:row>
      <xdr:rowOff>163143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4928" y="3973286"/>
          <a:ext cx="5695238" cy="11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244929</xdr:colOff>
      <xdr:row>27</xdr:row>
      <xdr:rowOff>27214</xdr:rowOff>
    </xdr:from>
    <xdr:to>
      <xdr:col>9</xdr:col>
      <xdr:colOff>334036</xdr:colOff>
      <xdr:row>49</xdr:row>
      <xdr:rowOff>36214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4929" y="5170714"/>
          <a:ext cx="5600000" cy="420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85725</xdr:colOff>
      <xdr:row>7</xdr:row>
      <xdr:rowOff>28575</xdr:rowOff>
    </xdr:from>
    <xdr:to>
      <xdr:col>19</xdr:col>
      <xdr:colOff>485039</xdr:colOff>
      <xdr:row>15</xdr:row>
      <xdr:rowOff>161718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81725" y="1362075"/>
          <a:ext cx="5885714" cy="16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57</xdr:row>
      <xdr:rowOff>47625</xdr:rowOff>
    </xdr:from>
    <xdr:to>
      <xdr:col>12</xdr:col>
      <xdr:colOff>303908</xdr:colOff>
      <xdr:row>84</xdr:row>
      <xdr:rowOff>189839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85775" y="10906125"/>
          <a:ext cx="7133333" cy="5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86</xdr:row>
      <xdr:rowOff>133350</xdr:rowOff>
    </xdr:from>
    <xdr:to>
      <xdr:col>10</xdr:col>
      <xdr:colOff>170720</xdr:colOff>
      <xdr:row>96</xdr:row>
      <xdr:rowOff>114064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8625" y="16516350"/>
          <a:ext cx="5838095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552450</xdr:colOff>
      <xdr:row>97</xdr:row>
      <xdr:rowOff>28575</xdr:rowOff>
    </xdr:from>
    <xdr:to>
      <xdr:col>9</xdr:col>
      <xdr:colOff>75574</xdr:colOff>
      <xdr:row>115</xdr:row>
      <xdr:rowOff>66242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F18D5ED-3EF9-4B24-8B12-F30082D0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52450" y="18516600"/>
          <a:ext cx="5009524" cy="3466667"/>
        </a:xfrm>
        <a:prstGeom prst="rect">
          <a:avLst/>
        </a:prstGeom>
      </xdr:spPr>
    </xdr:pic>
    <xdr:clientData/>
  </xdr:twoCellAnchor>
  <xdr:twoCellAnchor editAs="oneCell">
    <xdr:from>
      <xdr:col>30</xdr:col>
      <xdr:colOff>381000</xdr:colOff>
      <xdr:row>1</xdr:row>
      <xdr:rowOff>136071</xdr:rowOff>
    </xdr:from>
    <xdr:to>
      <xdr:col>38</xdr:col>
      <xdr:colOff>530048</xdr:colOff>
      <xdr:row>50</xdr:row>
      <xdr:rowOff>30142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F117F4A-7612-4082-AD7D-86A609DBE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750643" y="326571"/>
          <a:ext cx="5047619" cy="922857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390525</xdr:colOff>
      <xdr:row>6</xdr:row>
      <xdr:rowOff>123825</xdr:rowOff>
    </xdr:from>
    <xdr:to>
      <xdr:col>7</xdr:col>
      <xdr:colOff>390068</xdr:colOff>
      <xdr:row>18</xdr:row>
      <xdr:rowOff>28301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0125" y="1266825"/>
          <a:ext cx="3657143" cy="2190476"/>
        </a:xfrm>
        <a:prstGeom prst="rect">
          <a:avLst/>
        </a:prstGeom>
      </xdr:spPr>
    </xdr:pic>
    <xdr:clientData/>
  </xdr:twoCellAnchor>
  <xdr:twoCellAnchor editAs="oneCell">
    <xdr:from>
      <xdr:col>7</xdr:col>
      <xdr:colOff>428625</xdr:colOff>
      <xdr:row>3</xdr:row>
      <xdr:rowOff>171450</xdr:rowOff>
    </xdr:from>
    <xdr:to>
      <xdr:col>14</xdr:col>
      <xdr:colOff>532854</xdr:colOff>
      <xdr:row>10</xdr:row>
      <xdr:rowOff>85569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95825" y="742950"/>
          <a:ext cx="4371429" cy="1247619"/>
        </a:xfrm>
        <a:prstGeom prst="rect">
          <a:avLst/>
        </a:prstGeom>
      </xdr:spPr>
    </xdr:pic>
    <xdr:clientData/>
  </xdr:twoCellAnchor>
  <xdr:twoCellAnchor editAs="oneCell">
    <xdr:from>
      <xdr:col>7</xdr:col>
      <xdr:colOff>485775</xdr:colOff>
      <xdr:row>13</xdr:row>
      <xdr:rowOff>85725</xdr:rowOff>
    </xdr:from>
    <xdr:to>
      <xdr:col>15</xdr:col>
      <xdr:colOff>123261</xdr:colOff>
      <xdr:row>25</xdr:row>
      <xdr:rowOff>133058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52975" y="2562225"/>
          <a:ext cx="4514286" cy="2333333"/>
        </a:xfrm>
        <a:prstGeom prst="rect">
          <a:avLst/>
        </a:prstGeom>
      </xdr:spPr>
    </xdr:pic>
    <xdr:clientData/>
  </xdr:twoCellAnchor>
  <xdr:twoCellAnchor editAs="oneCell">
    <xdr:from>
      <xdr:col>16</xdr:col>
      <xdr:colOff>57150</xdr:colOff>
      <xdr:row>12</xdr:row>
      <xdr:rowOff>95250</xdr:rowOff>
    </xdr:from>
    <xdr:to>
      <xdr:col>22</xdr:col>
      <xdr:colOff>247169</xdr:colOff>
      <xdr:row>36</xdr:row>
      <xdr:rowOff>151821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87304" y="2381250"/>
          <a:ext cx="3838827" cy="4628571"/>
        </a:xfrm>
        <a:prstGeom prst="rect">
          <a:avLst/>
        </a:prstGeom>
      </xdr:spPr>
    </xdr:pic>
    <xdr:clientData/>
  </xdr:twoCellAnchor>
  <xdr:twoCellAnchor editAs="oneCell">
    <xdr:from>
      <xdr:col>7</xdr:col>
      <xdr:colOff>504825</xdr:colOff>
      <xdr:row>25</xdr:row>
      <xdr:rowOff>114300</xdr:rowOff>
    </xdr:from>
    <xdr:to>
      <xdr:col>13</xdr:col>
      <xdr:colOff>332939</xdr:colOff>
      <xdr:row>41</xdr:row>
      <xdr:rowOff>37729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72025" y="4876800"/>
          <a:ext cx="3485714" cy="2971429"/>
        </a:xfrm>
        <a:prstGeom prst="rect">
          <a:avLst/>
        </a:prstGeom>
      </xdr:spPr>
    </xdr:pic>
    <xdr:clientData/>
  </xdr:twoCellAnchor>
  <xdr:twoCellAnchor editAs="oneCell">
    <xdr:from>
      <xdr:col>15</xdr:col>
      <xdr:colOff>257175</xdr:colOff>
      <xdr:row>3</xdr:row>
      <xdr:rowOff>66675</xdr:rowOff>
    </xdr:from>
    <xdr:to>
      <xdr:col>30</xdr:col>
      <xdr:colOff>408413</xdr:colOff>
      <xdr:row>10</xdr:row>
      <xdr:rowOff>104604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01175" y="638175"/>
          <a:ext cx="9295238" cy="13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</xdr:row>
      <xdr:rowOff>123825</xdr:rowOff>
    </xdr:from>
    <xdr:to>
      <xdr:col>7</xdr:col>
      <xdr:colOff>437605</xdr:colOff>
      <xdr:row>4</xdr:row>
      <xdr:rowOff>9492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2900" y="504825"/>
          <a:ext cx="4361905" cy="266667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</xdr:colOff>
      <xdr:row>0</xdr:row>
      <xdr:rowOff>123825</xdr:rowOff>
    </xdr:from>
    <xdr:to>
      <xdr:col>15</xdr:col>
      <xdr:colOff>199471</xdr:colOff>
      <xdr:row>2</xdr:row>
      <xdr:rowOff>114254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14900" y="123825"/>
          <a:ext cx="4428571" cy="3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245452</xdr:colOff>
      <xdr:row>19</xdr:row>
      <xdr:rowOff>160460</xdr:rowOff>
    </xdr:from>
    <xdr:to>
      <xdr:col>7</xdr:col>
      <xdr:colOff>293272</xdr:colOff>
      <xdr:row>21</xdr:row>
      <xdr:rowOff>74698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3A159A9-AC22-40FA-A2A8-5E53AFAAC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5452" y="3779960"/>
          <a:ext cx="4304762" cy="295238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219075</xdr:colOff>
      <xdr:row>14</xdr:row>
      <xdr:rowOff>76200</xdr:rowOff>
    </xdr:from>
    <xdr:to>
      <xdr:col>10</xdr:col>
      <xdr:colOff>9018</xdr:colOff>
      <xdr:row>20</xdr:row>
      <xdr:rowOff>66533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5ECFB02-1517-4414-814A-CFB83B9BE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47875" y="2743200"/>
          <a:ext cx="4057143" cy="113333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20</xdr:row>
      <xdr:rowOff>161925</xdr:rowOff>
    </xdr:from>
    <xdr:to>
      <xdr:col>10</xdr:col>
      <xdr:colOff>161395</xdr:colOff>
      <xdr:row>32</xdr:row>
      <xdr:rowOff>180687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0639091-940D-48AF-99FF-6C8A8ADF3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9300" y="3971925"/>
          <a:ext cx="4238095" cy="2304762"/>
        </a:xfrm>
        <a:prstGeom prst="rect">
          <a:avLst/>
        </a:prstGeom>
      </xdr:spPr>
    </xdr:pic>
    <xdr:clientData/>
  </xdr:twoCellAnchor>
  <xdr:twoCellAnchor editAs="oneCell">
    <xdr:from>
      <xdr:col>10</xdr:col>
      <xdr:colOff>247650</xdr:colOff>
      <xdr:row>21</xdr:row>
      <xdr:rowOff>28575</xdr:rowOff>
    </xdr:from>
    <xdr:to>
      <xdr:col>17</xdr:col>
      <xdr:colOff>47117</xdr:colOff>
      <xdr:row>27</xdr:row>
      <xdr:rowOff>57004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F9625C0-B38F-4D50-A363-3AA6708B5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43650" y="4029075"/>
          <a:ext cx="4066667" cy="1171429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11</xdr:row>
      <xdr:rowOff>19050</xdr:rowOff>
    </xdr:from>
    <xdr:to>
      <xdr:col>10</xdr:col>
      <xdr:colOff>85234</xdr:colOff>
      <xdr:row>12</xdr:row>
      <xdr:rowOff>180931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06A03A8-60A6-4553-8C02-6014C157C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57425" y="2114550"/>
          <a:ext cx="3923809" cy="352381"/>
        </a:xfrm>
        <a:prstGeom prst="rect">
          <a:avLst/>
        </a:prstGeom>
      </xdr:spPr>
    </xdr:pic>
    <xdr:clientData/>
  </xdr:twoCellAnchor>
  <xdr:twoCellAnchor editAs="oneCell">
    <xdr:from>
      <xdr:col>10</xdr:col>
      <xdr:colOff>428625</xdr:colOff>
      <xdr:row>6</xdr:row>
      <xdr:rowOff>114300</xdr:rowOff>
    </xdr:from>
    <xdr:to>
      <xdr:col>16</xdr:col>
      <xdr:colOff>190073</xdr:colOff>
      <xdr:row>19</xdr:row>
      <xdr:rowOff>133038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00A9D61-F644-42CF-B0F8-133B771D4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24625" y="1257300"/>
          <a:ext cx="3419048" cy="2495238"/>
        </a:xfrm>
        <a:prstGeom prst="rect">
          <a:avLst/>
        </a:prstGeom>
      </xdr:spPr>
    </xdr:pic>
    <xdr:clientData/>
  </xdr:twoCellAnchor>
  <xdr:twoCellAnchor editAs="oneCell">
    <xdr:from>
      <xdr:col>18</xdr:col>
      <xdr:colOff>285750</xdr:colOff>
      <xdr:row>7</xdr:row>
      <xdr:rowOff>142875</xdr:rowOff>
    </xdr:from>
    <xdr:to>
      <xdr:col>32</xdr:col>
      <xdr:colOff>560874</xdr:colOff>
      <xdr:row>32</xdr:row>
      <xdr:rowOff>161327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6DACB73-6A9C-4B4C-8EFE-B194FFE8B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58550" y="1476375"/>
          <a:ext cx="8809524" cy="4780952"/>
        </a:xfrm>
        <a:prstGeom prst="rect">
          <a:avLst/>
        </a:prstGeom>
      </xdr:spPr>
    </xdr:pic>
    <xdr:clientData/>
  </xdr:twoCellAnchor>
  <xdr:twoCellAnchor editAs="oneCell">
    <xdr:from>
      <xdr:col>10</xdr:col>
      <xdr:colOff>295275</xdr:colOff>
      <xdr:row>27</xdr:row>
      <xdr:rowOff>180975</xdr:rowOff>
    </xdr:from>
    <xdr:to>
      <xdr:col>16</xdr:col>
      <xdr:colOff>580532</xdr:colOff>
      <xdr:row>29</xdr:row>
      <xdr:rowOff>142832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C87C30B-E2EE-4A69-869A-39FE15369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91275" y="5324475"/>
          <a:ext cx="3942857" cy="34285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1</xdr:row>
      <xdr:rowOff>104775</xdr:rowOff>
    </xdr:from>
    <xdr:to>
      <xdr:col>6</xdr:col>
      <xdr:colOff>47209</xdr:colOff>
      <xdr:row>12</xdr:row>
      <xdr:rowOff>171180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1C09510-070A-4CB5-8114-C50F5E542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295275"/>
          <a:ext cx="3323809" cy="2161905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571500</xdr:colOff>
      <xdr:row>0</xdr:row>
      <xdr:rowOff>177362</xdr:rowOff>
    </xdr:from>
    <xdr:to>
      <xdr:col>12</xdr:col>
      <xdr:colOff>182207</xdr:colOff>
      <xdr:row>7</xdr:row>
      <xdr:rowOff>72433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20D1A4E-33E9-4B65-B4CC-AF8625139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36983" y="177362"/>
          <a:ext cx="3276190" cy="12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210207</xdr:colOff>
      <xdr:row>13</xdr:row>
      <xdr:rowOff>32845</xdr:rowOff>
    </xdr:from>
    <xdr:to>
      <xdr:col>5</xdr:col>
      <xdr:colOff>603257</xdr:colOff>
      <xdr:row>26</xdr:row>
      <xdr:rowOff>108726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1BDFF14-49D5-4CC2-BB8B-7CFAA65C0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0207" y="2509345"/>
          <a:ext cx="3447619" cy="2552381"/>
        </a:xfrm>
        <a:prstGeom prst="rect">
          <a:avLst/>
        </a:prstGeom>
      </xdr:spPr>
    </xdr:pic>
    <xdr:clientData/>
  </xdr:twoCellAnchor>
  <xdr:twoCellAnchor editAs="oneCell">
    <xdr:from>
      <xdr:col>6</xdr:col>
      <xdr:colOff>564931</xdr:colOff>
      <xdr:row>8</xdr:row>
      <xdr:rowOff>72259</xdr:rowOff>
    </xdr:from>
    <xdr:to>
      <xdr:col>12</xdr:col>
      <xdr:colOff>337543</xdr:colOff>
      <xdr:row>18</xdr:row>
      <xdr:rowOff>14878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2228C8E-8DF6-4FDF-9EC9-9354A03C9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30414" y="1596259"/>
          <a:ext cx="3438095" cy="1847619"/>
        </a:xfrm>
        <a:prstGeom prst="rect">
          <a:avLst/>
        </a:prstGeom>
      </xdr:spPr>
    </xdr:pic>
    <xdr:clientData/>
  </xdr:twoCellAnchor>
  <xdr:twoCellAnchor editAs="oneCell">
    <xdr:from>
      <xdr:col>6</xdr:col>
      <xdr:colOff>564931</xdr:colOff>
      <xdr:row>18</xdr:row>
      <xdr:rowOff>26277</xdr:rowOff>
    </xdr:from>
    <xdr:to>
      <xdr:col>12</xdr:col>
      <xdr:colOff>308972</xdr:colOff>
      <xdr:row>37</xdr:row>
      <xdr:rowOff>63920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4BA4EC1-B6C3-4EF1-9BDD-A557F9AB4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30414" y="3455277"/>
          <a:ext cx="3409524" cy="3657143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8914</xdr:colOff>
      <xdr:row>18</xdr:row>
      <xdr:rowOff>151952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885714" cy="3580952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</xdr:colOff>
      <xdr:row>14</xdr:row>
      <xdr:rowOff>133350</xdr:rowOff>
    </xdr:from>
    <xdr:to>
      <xdr:col>19</xdr:col>
      <xdr:colOff>189723</xdr:colOff>
      <xdr:row>28</xdr:row>
      <xdr:rowOff>133017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53075" y="2800350"/>
          <a:ext cx="6219048" cy="2666667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1</xdr:row>
      <xdr:rowOff>114300</xdr:rowOff>
    </xdr:from>
    <xdr:to>
      <xdr:col>19</xdr:col>
      <xdr:colOff>437356</xdr:colOff>
      <xdr:row>14</xdr:row>
      <xdr:rowOff>94943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67375" y="304800"/>
          <a:ext cx="6352381" cy="2457143"/>
        </a:xfrm>
        <a:prstGeom prst="rect">
          <a:avLst/>
        </a:prstGeom>
      </xdr:spPr>
    </xdr:pic>
    <xdr:clientData/>
  </xdr:twoCellAnchor>
  <xdr:twoCellAnchor editAs="oneCell">
    <xdr:from>
      <xdr:col>8</xdr:col>
      <xdr:colOff>552450</xdr:colOff>
      <xdr:row>37</xdr:row>
      <xdr:rowOff>9525</xdr:rowOff>
    </xdr:from>
    <xdr:to>
      <xdr:col>19</xdr:col>
      <xdr:colOff>180183</xdr:colOff>
      <xdr:row>48</xdr:row>
      <xdr:rowOff>85454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29250" y="7058025"/>
          <a:ext cx="6333333" cy="2171429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49</xdr:row>
      <xdr:rowOff>95250</xdr:rowOff>
    </xdr:from>
    <xdr:to>
      <xdr:col>19</xdr:col>
      <xdr:colOff>161114</xdr:colOff>
      <xdr:row>52</xdr:row>
      <xdr:rowOff>104702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57800" y="9429750"/>
          <a:ext cx="6485714" cy="580952"/>
        </a:xfrm>
        <a:prstGeom prst="rect">
          <a:avLst/>
        </a:prstGeom>
      </xdr:spPr>
    </xdr:pic>
    <xdr:clientData/>
  </xdr:twoCellAnchor>
  <xdr:twoCellAnchor editAs="oneCell">
    <xdr:from>
      <xdr:col>8</xdr:col>
      <xdr:colOff>533400</xdr:colOff>
      <xdr:row>30</xdr:row>
      <xdr:rowOff>133350</xdr:rowOff>
    </xdr:from>
    <xdr:to>
      <xdr:col>19</xdr:col>
      <xdr:colOff>94467</xdr:colOff>
      <xdr:row>32</xdr:row>
      <xdr:rowOff>47588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10200" y="5848350"/>
          <a:ext cx="6266667" cy="295238"/>
        </a:xfrm>
        <a:prstGeom prst="rect">
          <a:avLst/>
        </a:prstGeom>
      </xdr:spPr>
    </xdr:pic>
    <xdr:clientData/>
  </xdr:twoCellAnchor>
  <xdr:twoCellAnchor editAs="oneCell">
    <xdr:from>
      <xdr:col>8</xdr:col>
      <xdr:colOff>514350</xdr:colOff>
      <xdr:row>54</xdr:row>
      <xdr:rowOff>171450</xdr:rowOff>
    </xdr:from>
    <xdr:to>
      <xdr:col>19</xdr:col>
      <xdr:colOff>142083</xdr:colOff>
      <xdr:row>57</xdr:row>
      <xdr:rowOff>133283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391150" y="10458450"/>
          <a:ext cx="6333333" cy="533333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1</xdr:row>
      <xdr:rowOff>0</xdr:rowOff>
    </xdr:from>
    <xdr:to>
      <xdr:col>11</xdr:col>
      <xdr:colOff>503945</xdr:colOff>
      <xdr:row>13</xdr:row>
      <xdr:rowOff>37809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1450" y="190500"/>
          <a:ext cx="7038095" cy="2323809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198783</xdr:colOff>
      <xdr:row>14</xdr:row>
      <xdr:rowOff>33130</xdr:rowOff>
    </xdr:from>
    <xdr:to>
      <xdr:col>11</xdr:col>
      <xdr:colOff>513883</xdr:colOff>
      <xdr:row>29</xdr:row>
      <xdr:rowOff>156582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8783" y="2700130"/>
          <a:ext cx="7057143" cy="2980952"/>
        </a:xfrm>
        <a:prstGeom prst="rect">
          <a:avLst/>
        </a:prstGeom>
      </xdr:spPr>
    </xdr:pic>
    <xdr:clientData/>
  </xdr:twoCellAnchor>
  <xdr:twoCellAnchor editAs="oneCell">
    <xdr:from>
      <xdr:col>13</xdr:col>
      <xdr:colOff>74544</xdr:colOff>
      <xdr:row>7</xdr:row>
      <xdr:rowOff>124239</xdr:rowOff>
    </xdr:from>
    <xdr:to>
      <xdr:col>18</xdr:col>
      <xdr:colOff>429027</xdr:colOff>
      <xdr:row>9</xdr:row>
      <xdr:rowOff>114668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042414" y="1457739"/>
          <a:ext cx="3419048" cy="371429"/>
        </a:xfrm>
        <a:prstGeom prst="rect">
          <a:avLst/>
        </a:prstGeom>
      </xdr:spPr>
    </xdr:pic>
    <xdr:clientData/>
  </xdr:twoCellAnchor>
  <xdr:twoCellAnchor editAs="oneCell">
    <xdr:from>
      <xdr:col>12</xdr:col>
      <xdr:colOff>389283</xdr:colOff>
      <xdr:row>11</xdr:row>
      <xdr:rowOff>57978</xdr:rowOff>
    </xdr:from>
    <xdr:to>
      <xdr:col>17</xdr:col>
      <xdr:colOff>553289</xdr:colOff>
      <xdr:row>26</xdr:row>
      <xdr:rowOff>478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44240" y="2153478"/>
          <a:ext cx="3228571" cy="280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207066</xdr:colOff>
      <xdr:row>10</xdr:row>
      <xdr:rowOff>124239</xdr:rowOff>
    </xdr:from>
    <xdr:to>
      <xdr:col>23</xdr:col>
      <xdr:colOff>409168</xdr:colOff>
      <xdr:row>22</xdr:row>
      <xdr:rowOff>181096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39501" y="2029239"/>
          <a:ext cx="3266667" cy="2342857"/>
        </a:xfrm>
        <a:prstGeom prst="rect">
          <a:avLst/>
        </a:prstGeom>
      </xdr:spPr>
    </xdr:pic>
    <xdr:clientData/>
  </xdr:twoCellAnchor>
  <xdr:twoCellAnchor editAs="oneCell">
    <xdr:from>
      <xdr:col>18</xdr:col>
      <xdr:colOff>364435</xdr:colOff>
      <xdr:row>23</xdr:row>
      <xdr:rowOff>115956</xdr:rowOff>
    </xdr:from>
    <xdr:to>
      <xdr:col>23</xdr:col>
      <xdr:colOff>566537</xdr:colOff>
      <xdr:row>31</xdr:row>
      <xdr:rowOff>49099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396870" y="4497456"/>
          <a:ext cx="3266667" cy="1457143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219075</xdr:colOff>
      <xdr:row>1</xdr:row>
      <xdr:rowOff>161925</xdr:rowOff>
    </xdr:from>
    <xdr:to>
      <xdr:col>4</xdr:col>
      <xdr:colOff>342580</xdr:colOff>
      <xdr:row>7</xdr:row>
      <xdr:rowOff>9401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5F3E704-5727-483B-968D-2290938B3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075" y="352425"/>
          <a:ext cx="2561905" cy="9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459828</xdr:colOff>
      <xdr:row>8</xdr:row>
      <xdr:rowOff>19707</xdr:rowOff>
    </xdr:from>
    <xdr:to>
      <xdr:col>10</xdr:col>
      <xdr:colOff>284023</xdr:colOff>
      <xdr:row>11</xdr:row>
      <xdr:rowOff>162493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529D85D-0F9A-47AD-B88A-45D2F1B0B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9828" y="1543707"/>
          <a:ext cx="5933333" cy="7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453258</xdr:colOff>
      <xdr:row>13</xdr:row>
      <xdr:rowOff>13138</xdr:rowOff>
    </xdr:from>
    <xdr:to>
      <xdr:col>10</xdr:col>
      <xdr:colOff>277453</xdr:colOff>
      <xdr:row>15</xdr:row>
      <xdr:rowOff>146424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E05DB50-C248-4012-A7B7-100787E64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3258" y="2489638"/>
          <a:ext cx="5933333" cy="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486104</xdr:colOff>
      <xdr:row>16</xdr:row>
      <xdr:rowOff>164224</xdr:rowOff>
    </xdr:from>
    <xdr:to>
      <xdr:col>10</xdr:col>
      <xdr:colOff>291252</xdr:colOff>
      <xdr:row>19</xdr:row>
      <xdr:rowOff>40343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73BAE4E-C66A-4FE9-BBCD-4BAA209EA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6104" y="3212224"/>
          <a:ext cx="5914286" cy="4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486104</xdr:colOff>
      <xdr:row>20</xdr:row>
      <xdr:rowOff>111672</xdr:rowOff>
    </xdr:from>
    <xdr:to>
      <xdr:col>10</xdr:col>
      <xdr:colOff>186490</xdr:colOff>
      <xdr:row>22</xdr:row>
      <xdr:rowOff>64005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43CCE6D-6FD3-4B88-A748-977B12CAA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6104" y="3921672"/>
          <a:ext cx="5809524" cy="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426984</xdr:colOff>
      <xdr:row>19</xdr:row>
      <xdr:rowOff>157654</xdr:rowOff>
    </xdr:from>
    <xdr:to>
      <xdr:col>10</xdr:col>
      <xdr:colOff>289275</xdr:colOff>
      <xdr:row>27</xdr:row>
      <xdr:rowOff>62225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A1BE039-BE5A-4CF9-8A55-43CD098B9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6984" y="3777154"/>
          <a:ext cx="5971429" cy="14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486104</xdr:colOff>
      <xdr:row>27</xdr:row>
      <xdr:rowOff>137949</xdr:rowOff>
    </xdr:from>
    <xdr:to>
      <xdr:col>7</xdr:col>
      <xdr:colOff>362088</xdr:colOff>
      <xdr:row>39</xdr:row>
      <xdr:rowOff>32901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40D41FF-FB55-4EC7-B00B-0BEDF0717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6104" y="5281449"/>
          <a:ext cx="4152381" cy="2180952"/>
        </a:xfrm>
        <a:prstGeom prst="rect">
          <a:avLst/>
        </a:prstGeom>
      </xdr:spPr>
    </xdr:pic>
    <xdr:clientData/>
  </xdr:twoCellAnchor>
  <xdr:twoCellAnchor editAs="oneCell">
    <xdr:from>
      <xdr:col>7</xdr:col>
      <xdr:colOff>446689</xdr:colOff>
      <xdr:row>28</xdr:row>
      <xdr:rowOff>85397</xdr:rowOff>
    </xdr:from>
    <xdr:to>
      <xdr:col>16</xdr:col>
      <xdr:colOff>167513</xdr:colOff>
      <xdr:row>40</xdr:row>
      <xdr:rowOff>113683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2E8187E-A817-4374-BAE5-EB192410D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23086" y="5419397"/>
          <a:ext cx="5219048" cy="2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256191</xdr:colOff>
      <xdr:row>40</xdr:row>
      <xdr:rowOff>72258</xdr:rowOff>
    </xdr:from>
    <xdr:to>
      <xdr:col>10</xdr:col>
      <xdr:colOff>99434</xdr:colOff>
      <xdr:row>62</xdr:row>
      <xdr:rowOff>186020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EF212DC-7177-4051-8C5D-6CC6584A4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6191" y="7692258"/>
          <a:ext cx="5952381" cy="4304762"/>
        </a:xfrm>
        <a:prstGeom prst="rect">
          <a:avLst/>
        </a:prstGeom>
      </xdr:spPr>
    </xdr:pic>
    <xdr:clientData/>
  </xdr:twoCellAnchor>
  <xdr:twoCellAnchor editAs="oneCell">
    <xdr:from>
      <xdr:col>10</xdr:col>
      <xdr:colOff>59121</xdr:colOff>
      <xdr:row>41</xdr:row>
      <xdr:rowOff>157655</xdr:rowOff>
    </xdr:from>
    <xdr:to>
      <xdr:col>19</xdr:col>
      <xdr:colOff>589468</xdr:colOff>
      <xdr:row>46</xdr:row>
      <xdr:rowOff>62298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48A39DA-83AA-4AF8-8D3F-130E1E6C8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68259" y="7968155"/>
          <a:ext cx="6028571" cy="857143"/>
        </a:xfrm>
        <a:prstGeom prst="rect">
          <a:avLst/>
        </a:prstGeom>
      </xdr:spPr>
    </xdr:pic>
    <xdr:clientData/>
  </xdr:twoCellAnchor>
  <xdr:twoCellAnchor editAs="oneCell">
    <xdr:from>
      <xdr:col>10</xdr:col>
      <xdr:colOff>275897</xdr:colOff>
      <xdr:row>46</xdr:row>
      <xdr:rowOff>164224</xdr:rowOff>
    </xdr:from>
    <xdr:to>
      <xdr:col>15</xdr:col>
      <xdr:colOff>364185</xdr:colOff>
      <xdr:row>53</xdr:row>
      <xdr:rowOff>2153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F1D99BFE-91B6-4947-811A-39D8337B8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385035" y="8927224"/>
          <a:ext cx="3142857" cy="117142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304800</xdr:colOff>
      <xdr:row>3</xdr:row>
      <xdr:rowOff>142875</xdr:rowOff>
    </xdr:from>
    <xdr:to>
      <xdr:col>7</xdr:col>
      <xdr:colOff>218705</xdr:colOff>
      <xdr:row>24</xdr:row>
      <xdr:rowOff>56661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0" y="714375"/>
          <a:ext cx="2961905" cy="3914286"/>
        </a:xfrm>
        <a:prstGeom prst="rect">
          <a:avLst/>
        </a:prstGeom>
      </xdr:spPr>
    </xdr:pic>
    <xdr:clientData/>
  </xdr:twoCellAnchor>
  <xdr:twoCellAnchor editAs="oneCell">
    <xdr:from>
      <xdr:col>22</xdr:col>
      <xdr:colOff>52584</xdr:colOff>
      <xdr:row>4</xdr:row>
      <xdr:rowOff>185546</xdr:rowOff>
    </xdr:from>
    <xdr:to>
      <xdr:col>36</xdr:col>
      <xdr:colOff>270565</xdr:colOff>
      <xdr:row>34</xdr:row>
      <xdr:rowOff>146736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5001880" y="-590550"/>
          <a:ext cx="5676190" cy="8752381"/>
        </a:xfrm>
        <a:prstGeom prst="rect">
          <a:avLst/>
        </a:prstGeom>
      </xdr:spPr>
    </xdr:pic>
    <xdr:clientData/>
  </xdr:twoCellAnchor>
  <xdr:twoCellAnchor editAs="oneCell">
    <xdr:from>
      <xdr:col>7</xdr:col>
      <xdr:colOff>238125</xdr:colOff>
      <xdr:row>4</xdr:row>
      <xdr:rowOff>19050</xdr:rowOff>
    </xdr:from>
    <xdr:to>
      <xdr:col>15</xdr:col>
      <xdr:colOff>580373</xdr:colOff>
      <xdr:row>24</xdr:row>
      <xdr:rowOff>28098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05325" y="781050"/>
          <a:ext cx="5219048" cy="38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25</xdr:row>
      <xdr:rowOff>123825</xdr:rowOff>
    </xdr:from>
    <xdr:to>
      <xdr:col>14</xdr:col>
      <xdr:colOff>484777</xdr:colOff>
      <xdr:row>54</xdr:row>
      <xdr:rowOff>151706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8225" y="4886325"/>
          <a:ext cx="7980952" cy="5552381"/>
        </a:xfrm>
        <a:prstGeom prst="rect">
          <a:avLst/>
        </a:prstGeom>
      </xdr:spPr>
    </xdr:pic>
    <xdr:clientData/>
  </xdr:twoCellAnchor>
  <xdr:twoCellAnchor editAs="oneCell">
    <xdr:from>
      <xdr:col>15</xdr:col>
      <xdr:colOff>219075</xdr:colOff>
      <xdr:row>34</xdr:row>
      <xdr:rowOff>85725</xdr:rowOff>
    </xdr:from>
    <xdr:to>
      <xdr:col>24</xdr:col>
      <xdr:colOff>208865</xdr:colOff>
      <xdr:row>50</xdr:row>
      <xdr:rowOff>18677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363075" y="6562725"/>
          <a:ext cx="5476190" cy="2980952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357187</xdr:colOff>
      <xdr:row>59</xdr:row>
      <xdr:rowOff>23812</xdr:rowOff>
    </xdr:from>
    <xdr:to>
      <xdr:col>12</xdr:col>
      <xdr:colOff>118405</xdr:colOff>
      <xdr:row>67</xdr:row>
      <xdr:rowOff>99812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14562" y="11263312"/>
          <a:ext cx="5333343" cy="1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100013</xdr:colOff>
      <xdr:row>55</xdr:row>
      <xdr:rowOff>123825</xdr:rowOff>
    </xdr:from>
    <xdr:to>
      <xdr:col>22</xdr:col>
      <xdr:colOff>223061</xdr:colOff>
      <xdr:row>71</xdr:row>
      <xdr:rowOff>75825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5213" y="10601325"/>
          <a:ext cx="6219048" cy="3000000"/>
        </a:xfrm>
        <a:prstGeom prst="rect">
          <a:avLst/>
        </a:prstGeom>
      </xdr:spPr>
    </xdr:pic>
    <xdr:clientData/>
  </xdr:twoCellAnchor>
  <xdr:twoCellAnchor editAs="oneCell">
    <xdr:from>
      <xdr:col>36</xdr:col>
      <xdr:colOff>391206</xdr:colOff>
      <xdr:row>8</xdr:row>
      <xdr:rowOff>88447</xdr:rowOff>
    </xdr:from>
    <xdr:to>
      <xdr:col>43</xdr:col>
      <xdr:colOff>35570</xdr:colOff>
      <xdr:row>27</xdr:row>
      <xdr:rowOff>126090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434777" y="1612447"/>
          <a:ext cx="3930614" cy="3657143"/>
        </a:xfrm>
        <a:prstGeom prst="rect">
          <a:avLst/>
        </a:prstGeom>
      </xdr:spPr>
    </xdr:pic>
    <xdr:clientData/>
  </xdr:twoCellAnchor>
  <xdr:twoCellAnchor editAs="oneCell">
    <xdr:from>
      <xdr:col>15</xdr:col>
      <xdr:colOff>595505</xdr:colOff>
      <xdr:row>4</xdr:row>
      <xdr:rowOff>166496</xdr:rowOff>
    </xdr:from>
    <xdr:to>
      <xdr:col>22</xdr:col>
      <xdr:colOff>80686</xdr:colOff>
      <xdr:row>24</xdr:row>
      <xdr:rowOff>4115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739505" y="928496"/>
          <a:ext cx="3752381" cy="3647619"/>
        </a:xfrm>
        <a:prstGeom prst="rect">
          <a:avLst/>
        </a:prstGeom>
      </xdr:spPr>
    </xdr:pic>
    <xdr:clientData/>
  </xdr:twoCellAnchor>
  <xdr:twoCellAnchor editAs="oneCell">
    <xdr:from>
      <xdr:col>24</xdr:col>
      <xdr:colOff>561975</xdr:colOff>
      <xdr:row>36</xdr:row>
      <xdr:rowOff>28575</xdr:rowOff>
    </xdr:from>
    <xdr:to>
      <xdr:col>32</xdr:col>
      <xdr:colOff>494699</xdr:colOff>
      <xdr:row>59</xdr:row>
      <xdr:rowOff>47075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192375" y="6886575"/>
          <a:ext cx="4809524" cy="440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219075</xdr:colOff>
      <xdr:row>59</xdr:row>
      <xdr:rowOff>0</xdr:rowOff>
    </xdr:from>
    <xdr:to>
      <xdr:col>33</xdr:col>
      <xdr:colOff>608942</xdr:colOff>
      <xdr:row>65</xdr:row>
      <xdr:rowOff>190333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459075" y="11239500"/>
          <a:ext cx="5266667" cy="1333333"/>
        </a:xfrm>
        <a:prstGeom prst="rect">
          <a:avLst/>
        </a:prstGeom>
      </xdr:spPr>
    </xdr:pic>
    <xdr:clientData/>
  </xdr:twoCellAnchor>
  <xdr:twoCellAnchor editAs="oneCell">
    <xdr:from>
      <xdr:col>26</xdr:col>
      <xdr:colOff>142875</xdr:colOff>
      <xdr:row>67</xdr:row>
      <xdr:rowOff>142875</xdr:rowOff>
    </xdr:from>
    <xdr:to>
      <xdr:col>31</xdr:col>
      <xdr:colOff>37732</xdr:colOff>
      <xdr:row>80</xdr:row>
      <xdr:rowOff>28280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992475" y="12906375"/>
          <a:ext cx="2942857" cy="2361905"/>
        </a:xfrm>
        <a:prstGeom prst="rect">
          <a:avLst/>
        </a:prstGeom>
      </xdr:spPr>
    </xdr:pic>
    <xdr:clientData/>
  </xdr:twoCellAnchor>
  <xdr:twoCellAnchor editAs="oneCell">
    <xdr:from>
      <xdr:col>31</xdr:col>
      <xdr:colOff>100853</xdr:colOff>
      <xdr:row>67</xdr:row>
      <xdr:rowOff>134471</xdr:rowOff>
    </xdr:from>
    <xdr:to>
      <xdr:col>37</xdr:col>
      <xdr:colOff>241576</xdr:colOff>
      <xdr:row>84</xdr:row>
      <xdr:rowOff>733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859500" y="12897971"/>
          <a:ext cx="3771429" cy="3104762"/>
        </a:xfrm>
        <a:prstGeom prst="rect">
          <a:avLst/>
        </a:prstGeom>
      </xdr:spPr>
    </xdr:pic>
    <xdr:clientData/>
  </xdr:twoCellAnchor>
  <xdr:twoCellAnchor editAs="oneCell">
    <xdr:from>
      <xdr:col>34</xdr:col>
      <xdr:colOff>347382</xdr:colOff>
      <xdr:row>61</xdr:row>
      <xdr:rowOff>22412</xdr:rowOff>
    </xdr:from>
    <xdr:to>
      <xdr:col>43</xdr:col>
      <xdr:colOff>120371</xdr:colOff>
      <xdr:row>66</xdr:row>
      <xdr:rowOff>50864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921382" y="11642912"/>
          <a:ext cx="5219048" cy="980952"/>
        </a:xfrm>
        <a:prstGeom prst="rect">
          <a:avLst/>
        </a:prstGeom>
      </xdr:spPr>
    </xdr:pic>
    <xdr:clientData/>
  </xdr:twoCellAnchor>
  <xdr:twoCellAnchor editAs="oneCell">
    <xdr:from>
      <xdr:col>20</xdr:col>
      <xdr:colOff>95249</xdr:colOff>
      <xdr:row>81</xdr:row>
      <xdr:rowOff>13607</xdr:rowOff>
    </xdr:from>
    <xdr:to>
      <xdr:col>30</xdr:col>
      <xdr:colOff>446342</xdr:colOff>
      <xdr:row>96</xdr:row>
      <xdr:rowOff>17689</xdr:rowOff>
    </xdr:to>
    <xdr:pic>
      <xdr:nvPicPr>
        <xdr:cNvPr id="16" name="Picture 15" descr="https://attachment.outlook.office.net/owa/hung_jeffrey@hotmail.com/service.svc/s/GetFileAttachment?id=AQMkADAwATZiZmYAZC1hMWFkLTkyOGItMDACLTAwCgBGAAAD5knjuTIwOkeDRmUCI3XXxAcASoOGo96XL06yT8CybiXM9AAAAAEfK28AAAAeMZ5l5ESfSr4aEnu1XX0xAAAAPwpUjwAAAAESABAAjd14IDBG60WNkoNgEZC0gA%3D%3D&amp;X-OWA-CANARY=lZIEmsxYgkyeWVEnOdBMiLD8NbN-nNQYzq6-9MLb_frseSzPLqoY9klXlZUK402_oNUQkqTEY6E.&amp;token=c0d237cb-5007-459c-a512-b6876b9ffab4&amp;owa=outlook.live.com&amp;isc=1&amp;isImagePreview=True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1678" y="15444107"/>
          <a:ext cx="6474307" cy="2861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2</xdr:row>
      <xdr:rowOff>38100</xdr:rowOff>
    </xdr:from>
    <xdr:to>
      <xdr:col>10</xdr:col>
      <xdr:colOff>513607</xdr:colOff>
      <xdr:row>19</xdr:row>
      <xdr:rowOff>132933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50" y="419100"/>
          <a:ext cx="5942857" cy="3333333"/>
        </a:xfrm>
        <a:prstGeom prst="rect">
          <a:avLst/>
        </a:prstGeom>
      </xdr:spPr>
    </xdr:pic>
    <xdr:clientData/>
  </xdr:twoCellAnchor>
  <xdr:twoCellAnchor editAs="oneCell">
    <xdr:from>
      <xdr:col>10</xdr:col>
      <xdr:colOff>304800</xdr:colOff>
      <xdr:row>1</xdr:row>
      <xdr:rowOff>114300</xdr:rowOff>
    </xdr:from>
    <xdr:to>
      <xdr:col>20</xdr:col>
      <xdr:colOff>265943</xdr:colOff>
      <xdr:row>38</xdr:row>
      <xdr:rowOff>151514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00800" y="304800"/>
          <a:ext cx="6057143" cy="70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21</xdr:row>
      <xdr:rowOff>95250</xdr:rowOff>
    </xdr:from>
    <xdr:to>
      <xdr:col>10</xdr:col>
      <xdr:colOff>389800</xdr:colOff>
      <xdr:row>41</xdr:row>
      <xdr:rowOff>47155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5800" y="4095750"/>
          <a:ext cx="5800000" cy="3761905"/>
        </a:xfrm>
        <a:prstGeom prst="rect">
          <a:avLst/>
        </a:prstGeom>
      </xdr:spPr>
    </xdr:pic>
    <xdr:clientData/>
  </xdr:twoCellAnchor>
  <xdr:twoCellAnchor editAs="oneCell">
    <xdr:from>
      <xdr:col>20</xdr:col>
      <xdr:colOff>571500</xdr:colOff>
      <xdr:row>1</xdr:row>
      <xdr:rowOff>180975</xdr:rowOff>
    </xdr:from>
    <xdr:to>
      <xdr:col>30</xdr:col>
      <xdr:colOff>589786</xdr:colOff>
      <xdr:row>21</xdr:row>
      <xdr:rowOff>28118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763500" y="371475"/>
          <a:ext cx="6114286" cy="3657143"/>
        </a:xfrm>
        <a:prstGeom prst="rect">
          <a:avLst/>
        </a:prstGeom>
      </xdr:spPr>
    </xdr:pic>
    <xdr:clientData/>
  </xdr:twoCellAnchor>
  <xdr:twoCellAnchor editAs="oneCell">
    <xdr:from>
      <xdr:col>20</xdr:col>
      <xdr:colOff>600075</xdr:colOff>
      <xdr:row>21</xdr:row>
      <xdr:rowOff>19050</xdr:rowOff>
    </xdr:from>
    <xdr:to>
      <xdr:col>30</xdr:col>
      <xdr:colOff>485027</xdr:colOff>
      <xdr:row>28</xdr:row>
      <xdr:rowOff>152217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792075" y="4019550"/>
          <a:ext cx="5980952" cy="1466667"/>
        </a:xfrm>
        <a:prstGeom prst="rect">
          <a:avLst/>
        </a:prstGeom>
      </xdr:spPr>
    </xdr:pic>
    <xdr:clientData/>
  </xdr:twoCellAnchor>
  <xdr:twoCellAnchor editAs="oneCell">
    <xdr:from>
      <xdr:col>21</xdr:col>
      <xdr:colOff>95250</xdr:colOff>
      <xdr:row>29</xdr:row>
      <xdr:rowOff>19050</xdr:rowOff>
    </xdr:from>
    <xdr:to>
      <xdr:col>30</xdr:col>
      <xdr:colOff>456469</xdr:colOff>
      <xdr:row>37</xdr:row>
      <xdr:rowOff>123621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896850" y="5543550"/>
          <a:ext cx="5847619" cy="1628571"/>
        </a:xfrm>
        <a:prstGeom prst="rect">
          <a:avLst/>
        </a:prstGeom>
      </xdr:spPr>
    </xdr:pic>
    <xdr:clientData/>
  </xdr:twoCellAnchor>
  <xdr:twoCellAnchor editAs="oneCell">
    <xdr:from>
      <xdr:col>21</xdr:col>
      <xdr:colOff>76200</xdr:colOff>
      <xdr:row>39</xdr:row>
      <xdr:rowOff>0</xdr:rowOff>
    </xdr:from>
    <xdr:to>
      <xdr:col>30</xdr:col>
      <xdr:colOff>542181</xdr:colOff>
      <xdr:row>48</xdr:row>
      <xdr:rowOff>171214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77800" y="7429500"/>
          <a:ext cx="5952381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42</xdr:row>
      <xdr:rowOff>66675</xdr:rowOff>
    </xdr:from>
    <xdr:to>
      <xdr:col>10</xdr:col>
      <xdr:colOff>218332</xdr:colOff>
      <xdr:row>53</xdr:row>
      <xdr:rowOff>123556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71475" y="8067675"/>
          <a:ext cx="5942857" cy="2152381"/>
        </a:xfrm>
        <a:prstGeom prst="rect">
          <a:avLst/>
        </a:prstGeom>
      </xdr:spPr>
    </xdr:pic>
    <xdr:clientData/>
  </xdr:twoCellAnchor>
  <xdr:twoCellAnchor editAs="oneCell">
    <xdr:from>
      <xdr:col>10</xdr:col>
      <xdr:colOff>523875</xdr:colOff>
      <xdr:row>39</xdr:row>
      <xdr:rowOff>57150</xdr:rowOff>
    </xdr:from>
    <xdr:to>
      <xdr:col>20</xdr:col>
      <xdr:colOff>408827</xdr:colOff>
      <xdr:row>56</xdr:row>
      <xdr:rowOff>123412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619875" y="7486650"/>
          <a:ext cx="5980952" cy="33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57</xdr:row>
      <xdr:rowOff>152400</xdr:rowOff>
    </xdr:from>
    <xdr:to>
      <xdr:col>11</xdr:col>
      <xdr:colOff>475492</xdr:colOff>
      <xdr:row>66</xdr:row>
      <xdr:rowOff>85519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14425" y="11010900"/>
          <a:ext cx="6066667" cy="16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467591</xdr:colOff>
      <xdr:row>68</xdr:row>
      <xdr:rowOff>69273</xdr:rowOff>
    </xdr:from>
    <xdr:to>
      <xdr:col>10</xdr:col>
      <xdr:colOff>317911</xdr:colOff>
      <xdr:row>106</xdr:row>
      <xdr:rowOff>135035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7591" y="13023273"/>
          <a:ext cx="5911684" cy="7304762"/>
        </a:xfrm>
        <a:prstGeom prst="rect">
          <a:avLst/>
        </a:prstGeom>
      </xdr:spPr>
    </xdr:pic>
    <xdr:clientData/>
  </xdr:twoCellAnchor>
  <xdr:twoCellAnchor editAs="oneCell">
    <xdr:from>
      <xdr:col>10</xdr:col>
      <xdr:colOff>514350</xdr:colOff>
      <xdr:row>68</xdr:row>
      <xdr:rowOff>142875</xdr:rowOff>
    </xdr:from>
    <xdr:to>
      <xdr:col>17</xdr:col>
      <xdr:colOff>561436</xdr:colOff>
      <xdr:row>83</xdr:row>
      <xdr:rowOff>85375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10350" y="13096875"/>
          <a:ext cx="4314286" cy="28000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235194</xdr:colOff>
      <xdr:row>1</xdr:row>
      <xdr:rowOff>54219</xdr:rowOff>
    </xdr:from>
    <xdr:to>
      <xdr:col>11</xdr:col>
      <xdr:colOff>415308</xdr:colOff>
      <xdr:row>9</xdr:row>
      <xdr:rowOff>25457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194" y="244719"/>
          <a:ext cx="6869595" cy="14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107868</xdr:colOff>
      <xdr:row>10</xdr:row>
      <xdr:rowOff>13024</xdr:rowOff>
    </xdr:from>
    <xdr:to>
      <xdr:col>16</xdr:col>
      <xdr:colOff>33468</xdr:colOff>
      <xdr:row>43</xdr:row>
      <xdr:rowOff>145572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2030289" y="603738"/>
          <a:ext cx="6419048" cy="904761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13</xdr:row>
      <xdr:rowOff>0</xdr:rowOff>
    </xdr:from>
    <xdr:to>
      <xdr:col>25</xdr:col>
      <xdr:colOff>269646</xdr:colOff>
      <xdr:row>16</xdr:row>
      <xdr:rowOff>133262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30154" y="2476500"/>
          <a:ext cx="5742857" cy="704762"/>
        </a:xfrm>
        <a:prstGeom prst="rect">
          <a:avLst/>
        </a:prstGeom>
      </xdr:spPr>
    </xdr:pic>
    <xdr:clientData/>
  </xdr:twoCellAnchor>
  <xdr:twoCellAnchor editAs="oneCell">
    <xdr:from>
      <xdr:col>16</xdr:col>
      <xdr:colOff>48272</xdr:colOff>
      <xdr:row>17</xdr:row>
      <xdr:rowOff>123265</xdr:rowOff>
    </xdr:from>
    <xdr:to>
      <xdr:col>25</xdr:col>
      <xdr:colOff>259356</xdr:colOff>
      <xdr:row>22</xdr:row>
      <xdr:rowOff>161241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30154" y="3361765"/>
          <a:ext cx="5657143" cy="990476"/>
        </a:xfrm>
        <a:prstGeom prst="rect">
          <a:avLst/>
        </a:prstGeom>
      </xdr:spPr>
    </xdr:pic>
    <xdr:clientData/>
  </xdr:twoCellAnchor>
  <xdr:twoCellAnchor editAs="oneCell">
    <xdr:from>
      <xdr:col>15</xdr:col>
      <xdr:colOff>526676</xdr:colOff>
      <xdr:row>23</xdr:row>
      <xdr:rowOff>78442</xdr:rowOff>
    </xdr:from>
    <xdr:to>
      <xdr:col>25</xdr:col>
      <xdr:colOff>75500</xdr:colOff>
      <xdr:row>26</xdr:row>
      <xdr:rowOff>78371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603441" y="4459942"/>
          <a:ext cx="5600000" cy="571429"/>
        </a:xfrm>
        <a:prstGeom prst="rect">
          <a:avLst/>
        </a:prstGeom>
      </xdr:spPr>
    </xdr:pic>
    <xdr:clientData/>
  </xdr:twoCellAnchor>
  <xdr:twoCellAnchor editAs="oneCell">
    <xdr:from>
      <xdr:col>15</xdr:col>
      <xdr:colOff>403411</xdr:colOff>
      <xdr:row>27</xdr:row>
      <xdr:rowOff>179294</xdr:rowOff>
    </xdr:from>
    <xdr:to>
      <xdr:col>30</xdr:col>
      <xdr:colOff>21885</xdr:colOff>
      <xdr:row>53</xdr:row>
      <xdr:rowOff>131056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480176" y="5322794"/>
          <a:ext cx="8695238" cy="4904762"/>
        </a:xfrm>
        <a:prstGeom prst="rect">
          <a:avLst/>
        </a:prstGeom>
      </xdr:spPr>
    </xdr:pic>
    <xdr:clientData/>
  </xdr:twoCellAnchor>
  <xdr:twoCellAnchor editAs="oneCell">
    <xdr:from>
      <xdr:col>1</xdr:col>
      <xdr:colOff>369794</xdr:colOff>
      <xdr:row>42</xdr:row>
      <xdr:rowOff>33617</xdr:rowOff>
    </xdr:from>
    <xdr:to>
      <xdr:col>14</xdr:col>
      <xdr:colOff>455646</xdr:colOff>
      <xdr:row>55</xdr:row>
      <xdr:rowOff>176165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74912" y="8034617"/>
          <a:ext cx="7952381" cy="2619048"/>
        </a:xfrm>
        <a:prstGeom prst="rect">
          <a:avLst/>
        </a:prstGeom>
      </xdr:spPr>
    </xdr:pic>
    <xdr:clientData/>
  </xdr:twoCellAnchor>
  <xdr:twoCellAnchor editAs="oneCell">
    <xdr:from>
      <xdr:col>15</xdr:col>
      <xdr:colOff>349967</xdr:colOff>
      <xdr:row>53</xdr:row>
      <xdr:rowOff>152261</xdr:rowOff>
    </xdr:from>
    <xdr:to>
      <xdr:col>28</xdr:col>
      <xdr:colOff>546384</xdr:colOff>
      <xdr:row>84</xdr:row>
      <xdr:rowOff>113428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16200000">
          <a:off x="10546773" y="9144000"/>
          <a:ext cx="5866667" cy="8076190"/>
        </a:xfrm>
        <a:prstGeom prst="rect">
          <a:avLst/>
        </a:prstGeom>
      </xdr:spPr>
    </xdr:pic>
    <xdr:clientData/>
  </xdr:twoCellAnchor>
  <xdr:twoCellAnchor editAs="oneCell">
    <xdr:from>
      <xdr:col>25</xdr:col>
      <xdr:colOff>367392</xdr:colOff>
      <xdr:row>10</xdr:row>
      <xdr:rowOff>108857</xdr:rowOff>
    </xdr:from>
    <xdr:to>
      <xdr:col>31</xdr:col>
      <xdr:colOff>131559</xdr:colOff>
      <xdr:row>16</xdr:row>
      <xdr:rowOff>165857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690218" y="2013857"/>
          <a:ext cx="3441645" cy="1200000"/>
        </a:xfrm>
        <a:prstGeom prst="rect">
          <a:avLst/>
        </a:prstGeom>
      </xdr:spPr>
    </xdr:pic>
    <xdr:clientData/>
  </xdr:twoCellAnchor>
  <xdr:twoCellAnchor editAs="oneCell">
    <xdr:from>
      <xdr:col>34</xdr:col>
      <xdr:colOff>0</xdr:colOff>
      <xdr:row>12</xdr:row>
      <xdr:rowOff>81643</xdr:rowOff>
    </xdr:from>
    <xdr:to>
      <xdr:col>39</xdr:col>
      <xdr:colOff>224107</xdr:colOff>
      <xdr:row>13</xdr:row>
      <xdr:rowOff>176857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818929" y="2367643"/>
          <a:ext cx="3285714" cy="285714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571500</xdr:colOff>
      <xdr:row>3</xdr:row>
      <xdr:rowOff>180975</xdr:rowOff>
    </xdr:from>
    <xdr:to>
      <xdr:col>12</xdr:col>
      <xdr:colOff>56300</xdr:colOff>
      <xdr:row>21</xdr:row>
      <xdr:rowOff>85308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500" y="752475"/>
          <a:ext cx="6800000" cy="33333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0</xdr:rowOff>
    </xdr:from>
    <xdr:to>
      <xdr:col>11</xdr:col>
      <xdr:colOff>427809</xdr:colOff>
      <xdr:row>26</xdr:row>
      <xdr:rowOff>9452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9600" y="4381500"/>
          <a:ext cx="6523809" cy="58095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27</xdr:row>
      <xdr:rowOff>19050</xdr:rowOff>
    </xdr:from>
    <xdr:to>
      <xdr:col>11</xdr:col>
      <xdr:colOff>437643</xdr:colOff>
      <xdr:row>27</xdr:row>
      <xdr:rowOff>180955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86100" y="5162550"/>
          <a:ext cx="4057143" cy="161905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</xdr:colOff>
      <xdr:row>3</xdr:row>
      <xdr:rowOff>76200</xdr:rowOff>
    </xdr:from>
    <xdr:to>
      <xdr:col>22</xdr:col>
      <xdr:colOff>551624</xdr:colOff>
      <xdr:row>20</xdr:row>
      <xdr:rowOff>85319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53300" y="647700"/>
          <a:ext cx="6609524" cy="3247619"/>
        </a:xfrm>
        <a:prstGeom prst="rect">
          <a:avLst/>
        </a:prstGeom>
      </xdr:spPr>
    </xdr:pic>
    <xdr:clientData/>
  </xdr:twoCellAnchor>
  <xdr:twoCellAnchor editAs="oneCell">
    <xdr:from>
      <xdr:col>23</xdr:col>
      <xdr:colOff>323850</xdr:colOff>
      <xdr:row>19</xdr:row>
      <xdr:rowOff>76200</xdr:rowOff>
    </xdr:from>
    <xdr:to>
      <xdr:col>34</xdr:col>
      <xdr:colOff>113488</xdr:colOff>
      <xdr:row>21</xdr:row>
      <xdr:rowOff>47581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344650" y="3695700"/>
          <a:ext cx="6495238" cy="352381"/>
        </a:xfrm>
        <a:prstGeom prst="rect">
          <a:avLst/>
        </a:prstGeom>
      </xdr:spPr>
    </xdr:pic>
    <xdr:clientData/>
  </xdr:twoCellAnchor>
  <xdr:twoCellAnchor editAs="oneCell">
    <xdr:from>
      <xdr:col>23</xdr:col>
      <xdr:colOff>266700</xdr:colOff>
      <xdr:row>22</xdr:row>
      <xdr:rowOff>28575</xdr:rowOff>
    </xdr:from>
    <xdr:to>
      <xdr:col>34</xdr:col>
      <xdr:colOff>84909</xdr:colOff>
      <xdr:row>23</xdr:row>
      <xdr:rowOff>152361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287500" y="4219575"/>
          <a:ext cx="6523809" cy="314286"/>
        </a:xfrm>
        <a:prstGeom prst="rect">
          <a:avLst/>
        </a:prstGeom>
      </xdr:spPr>
    </xdr:pic>
    <xdr:clientData/>
  </xdr:twoCellAnchor>
  <xdr:twoCellAnchor editAs="oneCell">
    <xdr:from>
      <xdr:col>12</xdr:col>
      <xdr:colOff>295275</xdr:colOff>
      <xdr:row>26</xdr:row>
      <xdr:rowOff>76200</xdr:rowOff>
    </xdr:from>
    <xdr:to>
      <xdr:col>23</xdr:col>
      <xdr:colOff>151580</xdr:colOff>
      <xdr:row>29</xdr:row>
      <xdr:rowOff>104700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10475" y="5029200"/>
          <a:ext cx="6561905" cy="6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295275</xdr:colOff>
      <xdr:row>30</xdr:row>
      <xdr:rowOff>76200</xdr:rowOff>
    </xdr:from>
    <xdr:to>
      <xdr:col>23</xdr:col>
      <xdr:colOff>46818</xdr:colOff>
      <xdr:row>34</xdr:row>
      <xdr:rowOff>57057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10475" y="5791200"/>
          <a:ext cx="6457143" cy="742857"/>
        </a:xfrm>
        <a:prstGeom prst="rect">
          <a:avLst/>
        </a:prstGeom>
      </xdr:spPr>
    </xdr:pic>
    <xdr:clientData/>
  </xdr:twoCellAnchor>
  <xdr:twoCellAnchor editAs="oneCell">
    <xdr:from>
      <xdr:col>12</xdr:col>
      <xdr:colOff>523875</xdr:colOff>
      <xdr:row>19</xdr:row>
      <xdr:rowOff>104775</xdr:rowOff>
    </xdr:from>
    <xdr:to>
      <xdr:col>23</xdr:col>
      <xdr:colOff>351608</xdr:colOff>
      <xdr:row>21</xdr:row>
      <xdr:rowOff>104727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39075" y="3724275"/>
          <a:ext cx="6533333" cy="380952"/>
        </a:xfrm>
        <a:prstGeom prst="rect">
          <a:avLst/>
        </a:prstGeom>
      </xdr:spPr>
    </xdr:pic>
    <xdr:clientData/>
  </xdr:twoCellAnchor>
  <xdr:twoCellAnchor editAs="oneCell">
    <xdr:from>
      <xdr:col>12</xdr:col>
      <xdr:colOff>314325</xdr:colOff>
      <xdr:row>22</xdr:row>
      <xdr:rowOff>133350</xdr:rowOff>
    </xdr:from>
    <xdr:to>
      <xdr:col>23</xdr:col>
      <xdr:colOff>27773</xdr:colOff>
      <xdr:row>24</xdr:row>
      <xdr:rowOff>95207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629525" y="4324350"/>
          <a:ext cx="6419048" cy="3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0</xdr:row>
      <xdr:rowOff>0</xdr:rowOff>
    </xdr:from>
    <xdr:to>
      <xdr:col>11</xdr:col>
      <xdr:colOff>475433</xdr:colOff>
      <xdr:row>4</xdr:row>
      <xdr:rowOff>95143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47700" y="0"/>
          <a:ext cx="6533333" cy="8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30</xdr:row>
      <xdr:rowOff>114300</xdr:rowOff>
    </xdr:from>
    <xdr:to>
      <xdr:col>4</xdr:col>
      <xdr:colOff>104571</xdr:colOff>
      <xdr:row>38</xdr:row>
      <xdr:rowOff>95062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14400" y="5829300"/>
          <a:ext cx="1628571" cy="1504762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590550</xdr:colOff>
      <xdr:row>2</xdr:row>
      <xdr:rowOff>101600</xdr:rowOff>
    </xdr:from>
    <xdr:to>
      <xdr:col>12</xdr:col>
      <xdr:colOff>313445</xdr:colOff>
      <xdr:row>19</xdr:row>
      <xdr:rowOff>123431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550" y="469900"/>
          <a:ext cx="7038095" cy="31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54428</xdr:colOff>
      <xdr:row>20</xdr:row>
      <xdr:rowOff>27214</xdr:rowOff>
    </xdr:from>
    <xdr:to>
      <xdr:col>12</xdr:col>
      <xdr:colOff>253590</xdr:colOff>
      <xdr:row>30</xdr:row>
      <xdr:rowOff>128571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2214" y="3655785"/>
          <a:ext cx="6884805" cy="1915643"/>
        </a:xfrm>
        <a:prstGeom prst="rect">
          <a:avLst/>
        </a:prstGeom>
      </xdr:spPr>
    </xdr:pic>
    <xdr:clientData/>
  </xdr:twoCellAnchor>
  <xdr:twoCellAnchor editAs="oneCell">
    <xdr:from>
      <xdr:col>12</xdr:col>
      <xdr:colOff>342900</xdr:colOff>
      <xdr:row>3</xdr:row>
      <xdr:rowOff>139700</xdr:rowOff>
    </xdr:from>
    <xdr:to>
      <xdr:col>18</xdr:col>
      <xdr:colOff>123395</xdr:colOff>
      <xdr:row>11</xdr:row>
      <xdr:rowOff>104595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58100" y="692150"/>
          <a:ext cx="3438095" cy="1438095"/>
        </a:xfrm>
        <a:prstGeom prst="rect">
          <a:avLst/>
        </a:prstGeom>
      </xdr:spPr>
    </xdr:pic>
    <xdr:clientData/>
  </xdr:twoCellAnchor>
  <xdr:twoCellAnchor editAs="oneCell">
    <xdr:from>
      <xdr:col>12</xdr:col>
      <xdr:colOff>438150</xdr:colOff>
      <xdr:row>11</xdr:row>
      <xdr:rowOff>146050</xdr:rowOff>
    </xdr:from>
    <xdr:to>
      <xdr:col>23</xdr:col>
      <xdr:colOff>256359</xdr:colOff>
      <xdr:row>21</xdr:row>
      <xdr:rowOff>66455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53350" y="2171700"/>
          <a:ext cx="6523809" cy="1761905"/>
        </a:xfrm>
        <a:prstGeom prst="rect">
          <a:avLst/>
        </a:prstGeom>
      </xdr:spPr>
    </xdr:pic>
    <xdr:clientData/>
  </xdr:twoCellAnchor>
  <xdr:twoCellAnchor editAs="oneCell">
    <xdr:from>
      <xdr:col>12</xdr:col>
      <xdr:colOff>428625</xdr:colOff>
      <xdr:row>21</xdr:row>
      <xdr:rowOff>174625</xdr:rowOff>
    </xdr:from>
    <xdr:to>
      <xdr:col>23</xdr:col>
      <xdr:colOff>535732</xdr:colOff>
      <xdr:row>48</xdr:row>
      <xdr:rowOff>12077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67625" y="4175125"/>
          <a:ext cx="6742857" cy="49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517552</xdr:colOff>
      <xdr:row>31</xdr:row>
      <xdr:rowOff>108857</xdr:rowOff>
    </xdr:from>
    <xdr:to>
      <xdr:col>6</xdr:col>
      <xdr:colOff>291056</xdr:colOff>
      <xdr:row>38</xdr:row>
      <xdr:rowOff>71511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7552" y="6014357"/>
          <a:ext cx="3447433" cy="1296154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50</xdr:row>
      <xdr:rowOff>45010</xdr:rowOff>
    </xdr:from>
    <xdr:to>
      <xdr:col>13</xdr:col>
      <xdr:colOff>298405</xdr:colOff>
      <xdr:row>65</xdr:row>
      <xdr:rowOff>120843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857" y="9570010"/>
          <a:ext cx="8149727" cy="2933333"/>
        </a:xfrm>
        <a:prstGeom prst="rect">
          <a:avLst/>
        </a:prstGeom>
      </xdr:spPr>
    </xdr:pic>
    <xdr:clientData/>
  </xdr:twoCellAnchor>
  <xdr:twoCellAnchor editAs="oneCell">
    <xdr:from>
      <xdr:col>13</xdr:col>
      <xdr:colOff>393005</xdr:colOff>
      <xdr:row>49</xdr:row>
      <xdr:rowOff>45811</xdr:rowOff>
    </xdr:from>
    <xdr:to>
      <xdr:col>27</xdr:col>
      <xdr:colOff>306641</xdr:colOff>
      <xdr:row>67</xdr:row>
      <xdr:rowOff>153342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53184" y="9380311"/>
          <a:ext cx="8486136" cy="3536531"/>
        </a:xfrm>
        <a:prstGeom prst="rect">
          <a:avLst/>
        </a:prstGeom>
      </xdr:spPr>
    </xdr:pic>
    <xdr:clientData/>
  </xdr:twoCellAnchor>
  <xdr:twoCellAnchor editAs="oneCell">
    <xdr:from>
      <xdr:col>0</xdr:col>
      <xdr:colOff>497061</xdr:colOff>
      <xdr:row>68</xdr:row>
      <xdr:rowOff>49814</xdr:rowOff>
    </xdr:from>
    <xdr:to>
      <xdr:col>19</xdr:col>
      <xdr:colOff>331073</xdr:colOff>
      <xdr:row>84</xdr:row>
      <xdr:rowOff>20862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97061" y="13003814"/>
          <a:ext cx="11468119" cy="30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544285</xdr:colOff>
      <xdr:row>84</xdr:row>
      <xdr:rowOff>40821</xdr:rowOff>
    </xdr:from>
    <xdr:to>
      <xdr:col>10</xdr:col>
      <xdr:colOff>525833</xdr:colOff>
      <xdr:row>106</xdr:row>
      <xdr:rowOff>164107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4285" y="16042821"/>
          <a:ext cx="6104762" cy="4314286"/>
        </a:xfrm>
        <a:prstGeom prst="rect">
          <a:avLst/>
        </a:prstGeom>
      </xdr:spPr>
    </xdr:pic>
    <xdr:clientData/>
  </xdr:twoCellAnchor>
  <xdr:twoCellAnchor editAs="oneCell">
    <xdr:from>
      <xdr:col>10</xdr:col>
      <xdr:colOff>544285</xdr:colOff>
      <xdr:row>90</xdr:row>
      <xdr:rowOff>13607</xdr:rowOff>
    </xdr:from>
    <xdr:to>
      <xdr:col>22</xdr:col>
      <xdr:colOff>24999</xdr:colOff>
      <xdr:row>114</xdr:row>
      <xdr:rowOff>127321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67499" y="17158607"/>
          <a:ext cx="6828571" cy="4685714"/>
        </a:xfrm>
        <a:prstGeom prst="rect">
          <a:avLst/>
        </a:prstGeom>
      </xdr:spPr>
    </xdr:pic>
    <xdr:clientData/>
  </xdr:twoCellAnchor>
  <xdr:twoCellAnchor editAs="oneCell">
    <xdr:from>
      <xdr:col>10</xdr:col>
      <xdr:colOff>544285</xdr:colOff>
      <xdr:row>84</xdr:row>
      <xdr:rowOff>95250</xdr:rowOff>
    </xdr:from>
    <xdr:to>
      <xdr:col>21</xdr:col>
      <xdr:colOff>27797</xdr:colOff>
      <xdr:row>90</xdr:row>
      <xdr:rowOff>114155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67499" y="16097250"/>
          <a:ext cx="6219048" cy="1161905"/>
        </a:xfrm>
        <a:prstGeom prst="rect">
          <a:avLst/>
        </a:prstGeom>
      </xdr:spPr>
    </xdr:pic>
    <xdr:clientData/>
  </xdr:twoCellAnchor>
  <xdr:twoCellAnchor editAs="oneCell">
    <xdr:from>
      <xdr:col>23</xdr:col>
      <xdr:colOff>585107</xdr:colOff>
      <xdr:row>15</xdr:row>
      <xdr:rowOff>136072</xdr:rowOff>
    </xdr:from>
    <xdr:to>
      <xdr:col>32</xdr:col>
      <xdr:colOff>131357</xdr:colOff>
      <xdr:row>32</xdr:row>
      <xdr:rowOff>69001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668500" y="2993572"/>
          <a:ext cx="5057143" cy="3171429"/>
        </a:xfrm>
        <a:prstGeom prst="rect">
          <a:avLst/>
        </a:prstGeom>
      </xdr:spPr>
    </xdr:pic>
    <xdr:clientData/>
  </xdr:twoCellAnchor>
  <xdr:twoCellAnchor editAs="oneCell">
    <xdr:from>
      <xdr:col>23</xdr:col>
      <xdr:colOff>312964</xdr:colOff>
      <xdr:row>2</xdr:row>
      <xdr:rowOff>149679</xdr:rowOff>
    </xdr:from>
    <xdr:to>
      <xdr:col>33</xdr:col>
      <xdr:colOff>380226</xdr:colOff>
      <xdr:row>14</xdr:row>
      <xdr:rowOff>16060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396357" y="530679"/>
          <a:ext cx="6190476" cy="2152381"/>
        </a:xfrm>
        <a:prstGeom prst="rect">
          <a:avLst/>
        </a:prstGeom>
      </xdr:spPr>
    </xdr:pic>
    <xdr:clientData/>
  </xdr:twoCellAnchor>
  <xdr:twoCellAnchor editAs="oneCell">
    <xdr:from>
      <xdr:col>33</xdr:col>
      <xdr:colOff>449036</xdr:colOff>
      <xdr:row>2</xdr:row>
      <xdr:rowOff>136071</xdr:rowOff>
    </xdr:from>
    <xdr:to>
      <xdr:col>41</xdr:col>
      <xdr:colOff>169512</xdr:colOff>
      <xdr:row>21</xdr:row>
      <xdr:rowOff>164190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655643" y="517071"/>
          <a:ext cx="4619048" cy="3647619"/>
        </a:xfrm>
        <a:prstGeom prst="rect">
          <a:avLst/>
        </a:prstGeom>
      </xdr:spPr>
    </xdr:pic>
    <xdr:clientData/>
  </xdr:twoCellAnchor>
  <xdr:twoCellAnchor editAs="oneCell">
    <xdr:from>
      <xdr:col>20</xdr:col>
      <xdr:colOff>459441</xdr:colOff>
      <xdr:row>69</xdr:row>
      <xdr:rowOff>89647</xdr:rowOff>
    </xdr:from>
    <xdr:to>
      <xdr:col>31</xdr:col>
      <xdr:colOff>3147</xdr:colOff>
      <xdr:row>82</xdr:row>
      <xdr:rowOff>136956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B8D6037-C5ED-4711-B53E-FA460F0FE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561794" y="13234147"/>
          <a:ext cx="6200000" cy="252380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415822</xdr:colOff>
      <xdr:row>6</xdr:row>
      <xdr:rowOff>45995</xdr:rowOff>
    </xdr:from>
    <xdr:to>
      <xdr:col>14</xdr:col>
      <xdr:colOff>26876</xdr:colOff>
      <xdr:row>34</xdr:row>
      <xdr:rowOff>73057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905000" y="-334819"/>
          <a:ext cx="5199425" cy="8177781"/>
        </a:xfrm>
        <a:prstGeom prst="rect">
          <a:avLst/>
        </a:prstGeom>
      </xdr:spPr>
    </xdr:pic>
    <xdr:clientData/>
  </xdr:twoCellAnchor>
  <xdr:twoCellAnchor editAs="oneCell">
    <xdr:from>
      <xdr:col>13</xdr:col>
      <xdr:colOff>500530</xdr:colOff>
      <xdr:row>9</xdr:row>
      <xdr:rowOff>44824</xdr:rowOff>
    </xdr:from>
    <xdr:to>
      <xdr:col>23</xdr:col>
      <xdr:colOff>79410</xdr:colOff>
      <xdr:row>30</xdr:row>
      <xdr:rowOff>132289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64177" y="1725706"/>
          <a:ext cx="5704762" cy="4009524"/>
        </a:xfrm>
        <a:prstGeom prst="rect">
          <a:avLst/>
        </a:prstGeom>
      </xdr:spPr>
    </xdr:pic>
    <xdr:clientData/>
  </xdr:twoCellAnchor>
  <xdr:twoCellAnchor editAs="oneCell">
    <xdr:from>
      <xdr:col>22</xdr:col>
      <xdr:colOff>381000</xdr:colOff>
      <xdr:row>9</xdr:row>
      <xdr:rowOff>36286</xdr:rowOff>
    </xdr:from>
    <xdr:to>
      <xdr:col>29</xdr:col>
      <xdr:colOff>145548</xdr:colOff>
      <xdr:row>28</xdr:row>
      <xdr:rowOff>132000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752286" y="1669143"/>
          <a:ext cx="4019048" cy="3542857"/>
        </a:xfrm>
        <a:prstGeom prst="rect">
          <a:avLst/>
        </a:prstGeom>
      </xdr:spPr>
    </xdr:pic>
    <xdr:clientData/>
  </xdr:twoCellAnchor>
  <xdr:twoCellAnchor editAs="oneCell">
    <xdr:from>
      <xdr:col>22</xdr:col>
      <xdr:colOff>369455</xdr:colOff>
      <xdr:row>27</xdr:row>
      <xdr:rowOff>141432</xdr:rowOff>
    </xdr:from>
    <xdr:to>
      <xdr:col>33</xdr:col>
      <xdr:colOff>147260</xdr:colOff>
      <xdr:row>47</xdr:row>
      <xdr:rowOff>125098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31455" y="5129068"/>
          <a:ext cx="6508805" cy="3678212"/>
        </a:xfrm>
        <a:prstGeom prst="rect">
          <a:avLst/>
        </a:prstGeom>
      </xdr:spPr>
    </xdr:pic>
    <xdr:clientData/>
  </xdr:twoCellAnchor>
  <xdr:twoCellAnchor editAs="oneCell">
    <xdr:from>
      <xdr:col>33</xdr:col>
      <xdr:colOff>558800</xdr:colOff>
      <xdr:row>5</xdr:row>
      <xdr:rowOff>127000</xdr:rowOff>
    </xdr:from>
    <xdr:to>
      <xdr:col>44</xdr:col>
      <xdr:colOff>53200</xdr:colOff>
      <xdr:row>33</xdr:row>
      <xdr:rowOff>177171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75600" y="1016000"/>
          <a:ext cx="6200000" cy="5028571"/>
        </a:xfrm>
        <a:prstGeom prst="rect">
          <a:avLst/>
        </a:prstGeom>
      </xdr:spPr>
    </xdr:pic>
    <xdr:clientData/>
  </xdr:twoCellAnchor>
  <xdr:twoCellAnchor editAs="oneCell">
    <xdr:from>
      <xdr:col>28</xdr:col>
      <xdr:colOff>482600</xdr:colOff>
      <xdr:row>11</xdr:row>
      <xdr:rowOff>107950</xdr:rowOff>
    </xdr:from>
    <xdr:to>
      <xdr:col>35</xdr:col>
      <xdr:colOff>186829</xdr:colOff>
      <xdr:row>14</xdr:row>
      <xdr:rowOff>69786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551400" y="2133600"/>
          <a:ext cx="3971429" cy="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491937</xdr:colOff>
      <xdr:row>35</xdr:row>
      <xdr:rowOff>107799</xdr:rowOff>
    </xdr:from>
    <xdr:to>
      <xdr:col>10</xdr:col>
      <xdr:colOff>141833</xdr:colOff>
      <xdr:row>41</xdr:row>
      <xdr:rowOff>50080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1937" y="6573254"/>
          <a:ext cx="5768987" cy="1050644"/>
        </a:xfrm>
        <a:prstGeom prst="rect">
          <a:avLst/>
        </a:prstGeom>
      </xdr:spPr>
    </xdr:pic>
    <xdr:clientData/>
  </xdr:twoCellAnchor>
  <xdr:twoCellAnchor editAs="oneCell">
    <xdr:from>
      <xdr:col>11</xdr:col>
      <xdr:colOff>154131</xdr:colOff>
      <xdr:row>35</xdr:row>
      <xdr:rowOff>106796</xdr:rowOff>
    </xdr:from>
    <xdr:to>
      <xdr:col>20</xdr:col>
      <xdr:colOff>427901</xdr:colOff>
      <xdr:row>46</xdr:row>
      <xdr:rowOff>103367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59731" y="6774296"/>
          <a:ext cx="5760170" cy="2092071"/>
        </a:xfrm>
        <a:prstGeom prst="rect">
          <a:avLst/>
        </a:prstGeom>
      </xdr:spPr>
    </xdr:pic>
    <xdr:clientData/>
  </xdr:twoCellAnchor>
  <xdr:twoCellAnchor editAs="oneCell">
    <xdr:from>
      <xdr:col>0</xdr:col>
      <xdr:colOff>294409</xdr:colOff>
      <xdr:row>42</xdr:row>
      <xdr:rowOff>86591</xdr:rowOff>
    </xdr:from>
    <xdr:to>
      <xdr:col>10</xdr:col>
      <xdr:colOff>147331</xdr:colOff>
      <xdr:row>59</xdr:row>
      <xdr:rowOff>38567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4409" y="8087591"/>
          <a:ext cx="5914286" cy="3190476"/>
        </a:xfrm>
        <a:prstGeom prst="rect">
          <a:avLst/>
        </a:prstGeom>
      </xdr:spPr>
    </xdr:pic>
    <xdr:clientData/>
  </xdr:twoCellAnchor>
  <xdr:twoCellAnchor editAs="oneCell">
    <xdr:from>
      <xdr:col>11</xdr:col>
      <xdr:colOff>119742</xdr:colOff>
      <xdr:row>47</xdr:row>
      <xdr:rowOff>63953</xdr:rowOff>
    </xdr:from>
    <xdr:to>
      <xdr:col>20</xdr:col>
      <xdr:colOff>361230</xdr:colOff>
      <xdr:row>52</xdr:row>
      <xdr:rowOff>111453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825342" y="9017453"/>
          <a:ext cx="5727888" cy="1000000"/>
        </a:xfrm>
        <a:prstGeom prst="rect">
          <a:avLst/>
        </a:prstGeom>
      </xdr:spPr>
    </xdr:pic>
    <xdr:clientData/>
  </xdr:twoCellAnchor>
  <xdr:twoCellAnchor editAs="oneCell">
    <xdr:from>
      <xdr:col>22</xdr:col>
      <xdr:colOff>122464</xdr:colOff>
      <xdr:row>50</xdr:row>
      <xdr:rowOff>149679</xdr:rowOff>
    </xdr:from>
    <xdr:to>
      <xdr:col>31</xdr:col>
      <xdr:colOff>430619</xdr:colOff>
      <xdr:row>65</xdr:row>
      <xdr:rowOff>92179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593535" y="9674679"/>
          <a:ext cx="5819048" cy="2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287111</xdr:colOff>
      <xdr:row>66</xdr:row>
      <xdr:rowOff>5443</xdr:rowOff>
    </xdr:from>
    <xdr:to>
      <xdr:col>13</xdr:col>
      <xdr:colOff>107884</xdr:colOff>
      <xdr:row>94</xdr:row>
      <xdr:rowOff>147633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7111" y="12578443"/>
          <a:ext cx="7745573" cy="54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89</xdr:row>
      <xdr:rowOff>122464</xdr:rowOff>
    </xdr:from>
    <xdr:to>
      <xdr:col>13</xdr:col>
      <xdr:colOff>471131</xdr:colOff>
      <xdr:row>117</xdr:row>
      <xdr:rowOff>7512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6072" y="17076964"/>
          <a:ext cx="8295238" cy="52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117</xdr:row>
      <xdr:rowOff>40821</xdr:rowOff>
    </xdr:from>
    <xdr:to>
      <xdr:col>13</xdr:col>
      <xdr:colOff>514654</xdr:colOff>
      <xdr:row>144</xdr:row>
      <xdr:rowOff>116369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214" y="22329321"/>
          <a:ext cx="8447619" cy="52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</xdr:row>
      <xdr:rowOff>163286</xdr:rowOff>
    </xdr:from>
    <xdr:to>
      <xdr:col>13</xdr:col>
      <xdr:colOff>563630</xdr:colOff>
      <xdr:row>154</xdr:row>
      <xdr:rowOff>20191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27595286"/>
          <a:ext cx="8523809" cy="1761905"/>
        </a:xfrm>
        <a:prstGeom prst="rect">
          <a:avLst/>
        </a:prstGeom>
      </xdr:spPr>
    </xdr:pic>
    <xdr:clientData/>
  </xdr:twoCellAnchor>
  <xdr:twoCellAnchor editAs="oneCell">
    <xdr:from>
      <xdr:col>13</xdr:col>
      <xdr:colOff>557892</xdr:colOff>
      <xdr:row>68</xdr:row>
      <xdr:rowOff>81643</xdr:rowOff>
    </xdr:from>
    <xdr:to>
      <xdr:col>24</xdr:col>
      <xdr:colOff>41405</xdr:colOff>
      <xdr:row>72</xdr:row>
      <xdr:rowOff>138691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518071" y="13035643"/>
          <a:ext cx="6219048" cy="819048"/>
        </a:xfrm>
        <a:prstGeom prst="rect">
          <a:avLst/>
        </a:prstGeom>
      </xdr:spPr>
    </xdr:pic>
    <xdr:clientData/>
  </xdr:twoCellAnchor>
  <xdr:twoCellAnchor editAs="oneCell">
    <xdr:from>
      <xdr:col>14</xdr:col>
      <xdr:colOff>40821</xdr:colOff>
      <xdr:row>73</xdr:row>
      <xdr:rowOff>136071</xdr:rowOff>
    </xdr:from>
    <xdr:to>
      <xdr:col>23</xdr:col>
      <xdr:colOff>377547</xdr:colOff>
      <xdr:row>78</xdr:row>
      <xdr:rowOff>145476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13321" y="14042571"/>
          <a:ext cx="5847619" cy="961905"/>
        </a:xfrm>
        <a:prstGeom prst="rect">
          <a:avLst/>
        </a:prstGeom>
      </xdr:spPr>
    </xdr:pic>
    <xdr:clientData/>
  </xdr:twoCellAnchor>
  <xdr:twoCellAnchor editAs="oneCell">
    <xdr:from>
      <xdr:col>24</xdr:col>
      <xdr:colOff>476251</xdr:colOff>
      <xdr:row>67</xdr:row>
      <xdr:rowOff>163285</xdr:rowOff>
    </xdr:from>
    <xdr:to>
      <xdr:col>32</xdr:col>
      <xdr:colOff>187203</xdr:colOff>
      <xdr:row>91</xdr:row>
      <xdr:rowOff>143666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171965" y="12926785"/>
          <a:ext cx="4609524" cy="4552381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95251</xdr:colOff>
      <xdr:row>79</xdr:row>
      <xdr:rowOff>136071</xdr:rowOff>
    </xdr:from>
    <xdr:to>
      <xdr:col>21</xdr:col>
      <xdr:colOff>313763</xdr:colOff>
      <xdr:row>100</xdr:row>
      <xdr:rowOff>11761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667751" y="15185571"/>
          <a:ext cx="4504762" cy="38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217714</xdr:colOff>
      <xdr:row>58</xdr:row>
      <xdr:rowOff>81642</xdr:rowOff>
    </xdr:from>
    <xdr:to>
      <xdr:col>21</xdr:col>
      <xdr:colOff>167287</xdr:colOff>
      <xdr:row>66</xdr:row>
      <xdr:rowOff>27213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953250" y="11130642"/>
          <a:ext cx="6072787" cy="1469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52</xdr:row>
      <xdr:rowOff>161925</xdr:rowOff>
    </xdr:from>
    <xdr:to>
      <xdr:col>20</xdr:col>
      <xdr:colOff>446946</xdr:colOff>
      <xdr:row>58</xdr:row>
      <xdr:rowOff>66544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FCF5D4B1-555A-48CE-B751-077063E22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810375" y="10067925"/>
          <a:ext cx="5828571" cy="1047619"/>
        </a:xfrm>
        <a:prstGeom prst="rect">
          <a:avLst/>
        </a:prstGeom>
      </xdr:spPr>
    </xdr:pic>
    <xdr:clientData/>
  </xdr:twoCellAnchor>
  <xdr:twoCellAnchor editAs="oneCell">
    <xdr:from>
      <xdr:col>14</xdr:col>
      <xdr:colOff>419100</xdr:colOff>
      <xdr:row>103</xdr:row>
      <xdr:rowOff>66675</xdr:rowOff>
    </xdr:from>
    <xdr:to>
      <xdr:col>24</xdr:col>
      <xdr:colOff>227862</xdr:colOff>
      <xdr:row>122</xdr:row>
      <xdr:rowOff>18604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B82E290-4DB2-4769-B457-123C89DBA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953500" y="19688175"/>
          <a:ext cx="5904762" cy="3571429"/>
        </a:xfrm>
        <a:prstGeom prst="rect">
          <a:avLst/>
        </a:prstGeom>
      </xdr:spPr>
    </xdr:pic>
    <xdr:clientData/>
  </xdr:twoCellAnchor>
  <xdr:twoCellAnchor editAs="oneCell">
    <xdr:from>
      <xdr:col>14</xdr:col>
      <xdr:colOff>400050</xdr:colOff>
      <xdr:row>122</xdr:row>
      <xdr:rowOff>0</xdr:rowOff>
    </xdr:from>
    <xdr:to>
      <xdr:col>25</xdr:col>
      <xdr:colOff>189688</xdr:colOff>
      <xdr:row>159</xdr:row>
      <xdr:rowOff>161024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5F622BC8-45A0-4AE6-A1F8-E61CF7B0D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934450" y="23241000"/>
          <a:ext cx="6495238" cy="7209524"/>
        </a:xfrm>
        <a:prstGeom prst="rect">
          <a:avLst/>
        </a:prstGeom>
      </xdr:spPr>
    </xdr:pic>
    <xdr:clientData/>
  </xdr:twoCellAnchor>
  <xdr:twoCellAnchor editAs="oneCell">
    <xdr:from>
      <xdr:col>25</xdr:col>
      <xdr:colOff>574862</xdr:colOff>
      <xdr:row>103</xdr:row>
      <xdr:rowOff>22411</xdr:rowOff>
    </xdr:from>
    <xdr:to>
      <xdr:col>35</xdr:col>
      <xdr:colOff>399875</xdr:colOff>
      <xdr:row>123</xdr:row>
      <xdr:rowOff>183840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B4D8FFA6-DA61-4848-9923-FB1FC5C2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702803" y="19643911"/>
          <a:ext cx="5876190" cy="3971429"/>
        </a:xfrm>
        <a:prstGeom prst="rect">
          <a:avLst/>
        </a:prstGeom>
      </xdr:spPr>
    </xdr:pic>
    <xdr:clientData/>
  </xdr:twoCellAnchor>
  <xdr:twoCellAnchor editAs="oneCell">
    <xdr:from>
      <xdr:col>26</xdr:col>
      <xdr:colOff>123265</xdr:colOff>
      <xdr:row>126</xdr:row>
      <xdr:rowOff>33617</xdr:rowOff>
    </xdr:from>
    <xdr:to>
      <xdr:col>35</xdr:col>
      <xdr:colOff>448635</xdr:colOff>
      <xdr:row>130</xdr:row>
      <xdr:rowOff>23998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18909219-7C2C-453C-9FAA-1771BA498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856324" y="24036617"/>
          <a:ext cx="5771429" cy="752381"/>
        </a:xfrm>
        <a:prstGeom prst="rect">
          <a:avLst/>
        </a:prstGeom>
      </xdr:spPr>
    </xdr:pic>
    <xdr:clientData/>
  </xdr:twoCellAnchor>
  <xdr:twoCellAnchor editAs="oneCell">
    <xdr:from>
      <xdr:col>25</xdr:col>
      <xdr:colOff>549089</xdr:colOff>
      <xdr:row>132</xdr:row>
      <xdr:rowOff>67235</xdr:rowOff>
    </xdr:from>
    <xdr:to>
      <xdr:col>35</xdr:col>
      <xdr:colOff>297912</xdr:colOff>
      <xdr:row>148</xdr:row>
      <xdr:rowOff>171616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943EF73-91D3-4D1A-83BC-213C91105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677030" y="25213235"/>
          <a:ext cx="5800000" cy="3152381"/>
        </a:xfrm>
        <a:prstGeom prst="rect">
          <a:avLst/>
        </a:prstGeom>
      </xdr:spPr>
    </xdr:pic>
    <xdr:clientData/>
  </xdr:twoCellAnchor>
  <xdr:twoCellAnchor editAs="oneCell">
    <xdr:from>
      <xdr:col>33</xdr:col>
      <xdr:colOff>571500</xdr:colOff>
      <xdr:row>34</xdr:row>
      <xdr:rowOff>47625</xdr:rowOff>
    </xdr:from>
    <xdr:to>
      <xdr:col>43</xdr:col>
      <xdr:colOff>380250</xdr:colOff>
      <xdr:row>55</xdr:row>
      <xdr:rowOff>28077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308CE72A-05D9-4D1C-B349-9E31B3DD9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1002625" y="6524625"/>
          <a:ext cx="6000000" cy="3980952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190499</xdr:colOff>
      <xdr:row>5</xdr:row>
      <xdr:rowOff>115956</xdr:rowOff>
    </xdr:from>
    <xdr:to>
      <xdr:col>9</xdr:col>
      <xdr:colOff>302853</xdr:colOff>
      <xdr:row>9</xdr:row>
      <xdr:rowOff>173004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6045BF9F-B648-415F-9212-266E28875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499" y="1068456"/>
          <a:ext cx="5628571" cy="8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273325</xdr:colOff>
      <xdr:row>9</xdr:row>
      <xdr:rowOff>182217</xdr:rowOff>
    </xdr:from>
    <xdr:to>
      <xdr:col>13</xdr:col>
      <xdr:colOff>524503</xdr:colOff>
      <xdr:row>39</xdr:row>
      <xdr:rowOff>95788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86B94D2-D4A5-4CA5-9FB7-41D8EA78D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3325" y="1896717"/>
          <a:ext cx="8219048" cy="5628571"/>
        </a:xfrm>
        <a:prstGeom prst="rect">
          <a:avLst/>
        </a:prstGeom>
      </xdr:spPr>
    </xdr:pic>
    <xdr:clientData/>
  </xdr:twoCellAnchor>
  <xdr:twoCellAnchor editAs="oneCell">
    <xdr:from>
      <xdr:col>14</xdr:col>
      <xdr:colOff>57978</xdr:colOff>
      <xdr:row>9</xdr:row>
      <xdr:rowOff>41413</xdr:rowOff>
    </xdr:from>
    <xdr:to>
      <xdr:col>28</xdr:col>
      <xdr:colOff>10529</xdr:colOff>
      <xdr:row>38</xdr:row>
      <xdr:rowOff>107389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D569C9DC-2780-438E-B390-F807CF132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8761" y="1755913"/>
          <a:ext cx="8533333" cy="5590476"/>
        </a:xfrm>
        <a:prstGeom prst="rect">
          <a:avLst/>
        </a:prstGeom>
      </xdr:spPr>
    </xdr:pic>
    <xdr:clientData/>
  </xdr:twoCellAnchor>
  <xdr:twoCellAnchor editAs="oneCell">
    <xdr:from>
      <xdr:col>14</xdr:col>
      <xdr:colOff>82826</xdr:colOff>
      <xdr:row>38</xdr:row>
      <xdr:rowOff>140804</xdr:rowOff>
    </xdr:from>
    <xdr:to>
      <xdr:col>27</xdr:col>
      <xdr:colOff>114957</xdr:colOff>
      <xdr:row>67</xdr:row>
      <xdr:rowOff>35352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12497B1-EEF1-4308-B627-7010C554B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63609" y="7379804"/>
          <a:ext cx="8000000" cy="5419048"/>
        </a:xfrm>
        <a:prstGeom prst="rect">
          <a:avLst/>
        </a:prstGeom>
      </xdr:spPr>
    </xdr:pic>
    <xdr:clientData/>
  </xdr:twoCellAnchor>
  <xdr:twoCellAnchor editAs="oneCell">
    <xdr:from>
      <xdr:col>14</xdr:col>
      <xdr:colOff>82826</xdr:colOff>
      <xdr:row>67</xdr:row>
      <xdr:rowOff>24849</xdr:rowOff>
    </xdr:from>
    <xdr:to>
      <xdr:col>27</xdr:col>
      <xdr:colOff>67338</xdr:colOff>
      <xdr:row>84</xdr:row>
      <xdr:rowOff>157778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E2197A5E-6053-4FE1-A16C-EF137DA88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663609" y="12788349"/>
          <a:ext cx="7952381" cy="33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44</xdr:row>
      <xdr:rowOff>47625</xdr:rowOff>
    </xdr:from>
    <xdr:to>
      <xdr:col>9</xdr:col>
      <xdr:colOff>485059</xdr:colOff>
      <xdr:row>61</xdr:row>
      <xdr:rowOff>171030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F12DE54-CB91-4374-A46F-FE39AB66A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7650" y="8429625"/>
          <a:ext cx="5723809" cy="33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63</xdr:row>
      <xdr:rowOff>76200</xdr:rowOff>
    </xdr:from>
    <xdr:to>
      <xdr:col>9</xdr:col>
      <xdr:colOff>608868</xdr:colOff>
      <xdr:row>81</xdr:row>
      <xdr:rowOff>151962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50B10BC3-8CA7-43BD-AB87-03408311D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125" y="12077700"/>
          <a:ext cx="5857143" cy="35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81</xdr:row>
      <xdr:rowOff>171450</xdr:rowOff>
    </xdr:from>
    <xdr:to>
      <xdr:col>9</xdr:col>
      <xdr:colOff>551731</xdr:colOff>
      <xdr:row>106</xdr:row>
      <xdr:rowOff>161331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BFD0204-C5F4-44F1-92C6-DB56A18E3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0" y="15601950"/>
          <a:ext cx="5752381" cy="4752381"/>
        </a:xfrm>
        <a:prstGeom prst="rect">
          <a:avLst/>
        </a:prstGeom>
      </xdr:spPr>
    </xdr:pic>
    <xdr:clientData/>
  </xdr:twoCellAnchor>
  <xdr:twoCellAnchor editAs="oneCell">
    <xdr:from>
      <xdr:col>19</xdr:col>
      <xdr:colOff>409575</xdr:colOff>
      <xdr:row>86</xdr:row>
      <xdr:rowOff>66675</xdr:rowOff>
    </xdr:from>
    <xdr:to>
      <xdr:col>29</xdr:col>
      <xdr:colOff>75480</xdr:colOff>
      <xdr:row>100</xdr:row>
      <xdr:rowOff>152056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77D6DCD0-5165-417C-BF2F-8E71EB1E1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991975" y="16449675"/>
          <a:ext cx="5761905" cy="2752381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102</xdr:row>
      <xdr:rowOff>19050</xdr:rowOff>
    </xdr:from>
    <xdr:to>
      <xdr:col>19</xdr:col>
      <xdr:colOff>351684</xdr:colOff>
      <xdr:row>119</xdr:row>
      <xdr:rowOff>151979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7B6C050-9CCC-4AD0-AEE6-A1E841E4B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010275" y="19450050"/>
          <a:ext cx="5923809" cy="3371429"/>
        </a:xfrm>
        <a:prstGeom prst="rect">
          <a:avLst/>
        </a:prstGeom>
      </xdr:spPr>
    </xdr:pic>
    <xdr:clientData/>
  </xdr:twoCellAnchor>
  <xdr:twoCellAnchor editAs="oneCell">
    <xdr:from>
      <xdr:col>9</xdr:col>
      <xdr:colOff>552450</xdr:colOff>
      <xdr:row>86</xdr:row>
      <xdr:rowOff>95250</xdr:rowOff>
    </xdr:from>
    <xdr:to>
      <xdr:col>19</xdr:col>
      <xdr:colOff>370736</xdr:colOff>
      <xdr:row>101</xdr:row>
      <xdr:rowOff>132988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5AD0805-25EE-47FE-8780-974A35164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38850" y="16478250"/>
          <a:ext cx="5914286" cy="2895238"/>
        </a:xfrm>
        <a:prstGeom prst="rect">
          <a:avLst/>
        </a:prstGeom>
      </xdr:spPr>
    </xdr:pic>
    <xdr:clientData/>
  </xdr:twoCellAnchor>
  <xdr:twoCellAnchor editAs="oneCell">
    <xdr:from>
      <xdr:col>19</xdr:col>
      <xdr:colOff>85725</xdr:colOff>
      <xdr:row>123</xdr:row>
      <xdr:rowOff>76200</xdr:rowOff>
    </xdr:from>
    <xdr:to>
      <xdr:col>28</xdr:col>
      <xdr:colOff>380277</xdr:colOff>
      <xdr:row>139</xdr:row>
      <xdr:rowOff>123438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DC9BBAB5-D3EE-4274-A3E5-05A6C031C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668125" y="23507700"/>
          <a:ext cx="5780952" cy="3095238"/>
        </a:xfrm>
        <a:prstGeom prst="rect">
          <a:avLst/>
        </a:prstGeom>
      </xdr:spPr>
    </xdr:pic>
    <xdr:clientData/>
  </xdr:twoCellAnchor>
  <xdr:twoCellAnchor editAs="oneCell">
    <xdr:from>
      <xdr:col>9</xdr:col>
      <xdr:colOff>600075</xdr:colOff>
      <xdr:row>120</xdr:row>
      <xdr:rowOff>66675</xdr:rowOff>
    </xdr:from>
    <xdr:to>
      <xdr:col>19</xdr:col>
      <xdr:colOff>199313</xdr:colOff>
      <xdr:row>139</xdr:row>
      <xdr:rowOff>94794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01D0F00-F3A1-46B7-9667-01C584F85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086475" y="22926675"/>
          <a:ext cx="5695238" cy="36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120</xdr:row>
      <xdr:rowOff>66675</xdr:rowOff>
    </xdr:from>
    <xdr:to>
      <xdr:col>9</xdr:col>
      <xdr:colOff>294618</xdr:colOff>
      <xdr:row>139</xdr:row>
      <xdr:rowOff>180508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5340C298-9E52-4820-92C5-7AB63343B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23875" y="22926675"/>
          <a:ext cx="5257143" cy="3733333"/>
        </a:xfrm>
        <a:prstGeom prst="rect">
          <a:avLst/>
        </a:prstGeom>
      </xdr:spPr>
    </xdr:pic>
    <xdr:clientData/>
  </xdr:twoCellAnchor>
  <xdr:twoCellAnchor editAs="oneCell">
    <xdr:from>
      <xdr:col>9</xdr:col>
      <xdr:colOff>514350</xdr:colOff>
      <xdr:row>42</xdr:row>
      <xdr:rowOff>76200</xdr:rowOff>
    </xdr:from>
    <xdr:to>
      <xdr:col>19</xdr:col>
      <xdr:colOff>285017</xdr:colOff>
      <xdr:row>63</xdr:row>
      <xdr:rowOff>94748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6A77526-7FFA-497A-95C7-00DF90850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000750" y="8077200"/>
          <a:ext cx="5866667" cy="4019048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381000</xdr:colOff>
      <xdr:row>2</xdr:row>
      <xdr:rowOff>171450</xdr:rowOff>
    </xdr:from>
    <xdr:to>
      <xdr:col>22</xdr:col>
      <xdr:colOff>189762</xdr:colOff>
      <xdr:row>31</xdr:row>
      <xdr:rowOff>170759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C864573-75E8-4EC1-AF30-030850B3E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96200" y="552450"/>
          <a:ext cx="5904762" cy="5523809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590550</xdr:colOff>
      <xdr:row>2</xdr:row>
      <xdr:rowOff>85725</xdr:rowOff>
    </xdr:from>
    <xdr:to>
      <xdr:col>12</xdr:col>
      <xdr:colOff>199312</xdr:colOff>
      <xdr:row>16</xdr:row>
      <xdr:rowOff>171106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DF9CD61-5C65-469B-BBC8-9F1282AFF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9750" y="466725"/>
          <a:ext cx="5704762" cy="2752381"/>
        </a:xfrm>
        <a:prstGeom prst="rect">
          <a:avLst/>
        </a:prstGeom>
      </xdr:spPr>
    </xdr:pic>
    <xdr:clientData/>
  </xdr:twoCellAnchor>
  <xdr:twoCellAnchor editAs="oneCell">
    <xdr:from>
      <xdr:col>2</xdr:col>
      <xdr:colOff>359229</xdr:colOff>
      <xdr:row>31</xdr:row>
      <xdr:rowOff>144235</xdr:rowOff>
    </xdr:from>
    <xdr:to>
      <xdr:col>12</xdr:col>
      <xdr:colOff>101324</xdr:colOff>
      <xdr:row>57</xdr:row>
      <xdr:rowOff>95997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00B5856-F649-4330-9FD6-B0A5FAC07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3872" y="6049735"/>
          <a:ext cx="5865309" cy="4904762"/>
        </a:xfrm>
        <a:prstGeom prst="rect">
          <a:avLst/>
        </a:prstGeom>
      </xdr:spPr>
    </xdr:pic>
    <xdr:clientData/>
  </xdr:twoCellAnchor>
  <xdr:twoCellAnchor editAs="oneCell">
    <xdr:from>
      <xdr:col>22</xdr:col>
      <xdr:colOff>367393</xdr:colOff>
      <xdr:row>2</xdr:row>
      <xdr:rowOff>108858</xdr:rowOff>
    </xdr:from>
    <xdr:to>
      <xdr:col>31</xdr:col>
      <xdr:colOff>446976</xdr:colOff>
      <xdr:row>38</xdr:row>
      <xdr:rowOff>88953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AC8C799-D51F-46E9-8A2D-739ECD32C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38464" y="489858"/>
          <a:ext cx="5590476" cy="6838095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17</xdr:row>
      <xdr:rowOff>76200</xdr:rowOff>
    </xdr:from>
    <xdr:to>
      <xdr:col>11</xdr:col>
      <xdr:colOff>432033</xdr:colOff>
      <xdr:row>30</xdr:row>
      <xdr:rowOff>85414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EC4FDCF-C38F-4437-AC35-FDA6EFBD7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77093" y="3314700"/>
          <a:ext cx="5390476" cy="2485714"/>
        </a:xfrm>
        <a:prstGeom prst="rect">
          <a:avLst/>
        </a:prstGeom>
      </xdr:spPr>
    </xdr:pic>
    <xdr:clientData/>
  </xdr:twoCellAnchor>
  <xdr:twoCellAnchor editAs="oneCell">
    <xdr:from>
      <xdr:col>31</xdr:col>
      <xdr:colOff>598714</xdr:colOff>
      <xdr:row>4</xdr:row>
      <xdr:rowOff>68036</xdr:rowOff>
    </xdr:from>
    <xdr:to>
      <xdr:col>37</xdr:col>
      <xdr:colOff>486690</xdr:colOff>
      <xdr:row>20</xdr:row>
      <xdr:rowOff>988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09CB4D8-476F-40F7-88B4-95BC5BB1D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580678" y="830036"/>
          <a:ext cx="3561905" cy="2980952"/>
        </a:xfrm>
        <a:prstGeom prst="rect">
          <a:avLst/>
        </a:prstGeom>
      </xdr:spPr>
    </xdr:pic>
    <xdr:clientData/>
  </xdr:twoCellAnchor>
  <xdr:twoCellAnchor editAs="oneCell">
    <xdr:from>
      <xdr:col>31</xdr:col>
      <xdr:colOff>598714</xdr:colOff>
      <xdr:row>20</xdr:row>
      <xdr:rowOff>40821</xdr:rowOff>
    </xdr:from>
    <xdr:to>
      <xdr:col>43</xdr:col>
      <xdr:colOff>136571</xdr:colOff>
      <xdr:row>34</xdr:row>
      <xdr:rowOff>183345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2DCD907-C4DB-4464-928B-40E1CF729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580678" y="3850821"/>
          <a:ext cx="6885714" cy="2809524"/>
        </a:xfrm>
        <a:prstGeom prst="rect">
          <a:avLst/>
        </a:prstGeom>
      </xdr:spPr>
    </xdr:pic>
    <xdr:clientData/>
  </xdr:twoCellAnchor>
  <xdr:twoCellAnchor editAs="oneCell">
    <xdr:from>
      <xdr:col>31</xdr:col>
      <xdr:colOff>598714</xdr:colOff>
      <xdr:row>35</xdr:row>
      <xdr:rowOff>13607</xdr:rowOff>
    </xdr:from>
    <xdr:to>
      <xdr:col>42</xdr:col>
      <xdr:colOff>606035</xdr:colOff>
      <xdr:row>51</xdr:row>
      <xdr:rowOff>22750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9C6C3F4-EB38-4D72-9B6A-E91DE5C96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580678" y="6681107"/>
          <a:ext cx="6742857" cy="3057143"/>
        </a:xfrm>
        <a:prstGeom prst="rect">
          <a:avLst/>
        </a:prstGeom>
      </xdr:spPr>
    </xdr:pic>
    <xdr:clientData/>
  </xdr:twoCellAnchor>
  <xdr:twoCellAnchor editAs="oneCell">
    <xdr:from>
      <xdr:col>31</xdr:col>
      <xdr:colOff>598714</xdr:colOff>
      <xdr:row>52</xdr:row>
      <xdr:rowOff>136071</xdr:rowOff>
    </xdr:from>
    <xdr:to>
      <xdr:col>39</xdr:col>
      <xdr:colOff>33475</xdr:colOff>
      <xdr:row>77</xdr:row>
      <xdr:rowOff>145000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ADFB786-250A-481B-81C3-FC9E18D5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580678" y="10042071"/>
          <a:ext cx="4333333" cy="4771429"/>
        </a:xfrm>
        <a:prstGeom prst="rect">
          <a:avLst/>
        </a:prstGeom>
      </xdr:spPr>
    </xdr:pic>
    <xdr:clientData/>
  </xdr:twoCellAnchor>
  <xdr:twoCellAnchor editAs="oneCell">
    <xdr:from>
      <xdr:col>26</xdr:col>
      <xdr:colOff>244929</xdr:colOff>
      <xdr:row>55</xdr:row>
      <xdr:rowOff>174171</xdr:rowOff>
    </xdr:from>
    <xdr:to>
      <xdr:col>31</xdr:col>
      <xdr:colOff>459512</xdr:colOff>
      <xdr:row>68</xdr:row>
      <xdr:rowOff>31004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DDAF1C9-9BF1-4C91-9B99-A7B3AA91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094529" y="10651671"/>
          <a:ext cx="3262583" cy="2333333"/>
        </a:xfrm>
        <a:prstGeom prst="rect">
          <a:avLst/>
        </a:prstGeom>
      </xdr:spPr>
    </xdr:pic>
    <xdr:clientData/>
  </xdr:twoCellAnchor>
  <xdr:twoCellAnchor editAs="oneCell">
    <xdr:from>
      <xdr:col>17</xdr:col>
      <xdr:colOff>27215</xdr:colOff>
      <xdr:row>52</xdr:row>
      <xdr:rowOff>136071</xdr:rowOff>
    </xdr:from>
    <xdr:to>
      <xdr:col>25</xdr:col>
      <xdr:colOff>385786</xdr:colOff>
      <xdr:row>69</xdr:row>
      <xdr:rowOff>154714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653EA73-8DD2-49F6-BB26-E78DC2E13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436679" y="10042071"/>
          <a:ext cx="5257143" cy="3257143"/>
        </a:xfrm>
        <a:prstGeom prst="rect">
          <a:avLst/>
        </a:prstGeom>
      </xdr:spPr>
    </xdr:pic>
    <xdr:clientData/>
  </xdr:twoCellAnchor>
  <xdr:twoCellAnchor editAs="oneCell">
    <xdr:from>
      <xdr:col>17</xdr:col>
      <xdr:colOff>27215</xdr:colOff>
      <xdr:row>38</xdr:row>
      <xdr:rowOff>123825</xdr:rowOff>
    </xdr:from>
    <xdr:to>
      <xdr:col>27</xdr:col>
      <xdr:colOff>170667</xdr:colOff>
      <xdr:row>43</xdr:row>
      <xdr:rowOff>161801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025D91B-D490-42E8-A117-8C2E1DE65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90415" y="7362825"/>
          <a:ext cx="6239452" cy="990476"/>
        </a:xfrm>
        <a:prstGeom prst="rect">
          <a:avLst/>
        </a:prstGeom>
      </xdr:spPr>
    </xdr:pic>
    <xdr:clientData/>
  </xdr:twoCellAnchor>
  <xdr:twoCellAnchor editAs="oneCell">
    <xdr:from>
      <xdr:col>17</xdr:col>
      <xdr:colOff>76200</xdr:colOff>
      <xdr:row>44</xdr:row>
      <xdr:rowOff>142875</xdr:rowOff>
    </xdr:from>
    <xdr:to>
      <xdr:col>27</xdr:col>
      <xdr:colOff>161152</xdr:colOff>
      <xdr:row>54</xdr:row>
      <xdr:rowOff>114065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51238253-7F80-468A-8CFA-FB776B969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439400" y="8524875"/>
          <a:ext cx="6180952" cy="187619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0</xdr:row>
      <xdr:rowOff>0</xdr:rowOff>
    </xdr:from>
    <xdr:to>
      <xdr:col>8</xdr:col>
      <xdr:colOff>599407</xdr:colOff>
      <xdr:row>14</xdr:row>
      <xdr:rowOff>190143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D6628FC-A487-4BF1-AF3C-CA433D04B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" y="0"/>
          <a:ext cx="5342857" cy="2857143"/>
        </a:xfrm>
        <a:prstGeom prst="rect">
          <a:avLst/>
        </a:prstGeom>
      </xdr:spPr>
    </xdr:pic>
    <xdr:clientData/>
  </xdr:twoCellAnchor>
  <xdr:twoCellAnchor editAs="oneCell">
    <xdr:from>
      <xdr:col>9</xdr:col>
      <xdr:colOff>186418</xdr:colOff>
      <xdr:row>1</xdr:row>
      <xdr:rowOff>176893</xdr:rowOff>
    </xdr:from>
    <xdr:to>
      <xdr:col>19</xdr:col>
      <xdr:colOff>125792</xdr:colOff>
      <xdr:row>43</xdr:row>
      <xdr:rowOff>137798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89AE506-7703-4E9A-96C8-CDDA826AC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97311" y="367393"/>
          <a:ext cx="6062588" cy="7961905"/>
        </a:xfrm>
        <a:prstGeom prst="rect">
          <a:avLst/>
        </a:prstGeom>
      </xdr:spPr>
    </xdr:pic>
    <xdr:clientData/>
  </xdr:twoCellAnchor>
  <xdr:twoCellAnchor editAs="oneCell">
    <xdr:from>
      <xdr:col>19</xdr:col>
      <xdr:colOff>244928</xdr:colOff>
      <xdr:row>1</xdr:row>
      <xdr:rowOff>122464</xdr:rowOff>
    </xdr:from>
    <xdr:to>
      <xdr:col>29</xdr:col>
      <xdr:colOff>55047</xdr:colOff>
      <xdr:row>43</xdr:row>
      <xdr:rowOff>83369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478D032-D245-4B65-A7F3-1F3A474D1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879035" y="312964"/>
          <a:ext cx="5933333" cy="79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14</xdr:row>
      <xdr:rowOff>149679</xdr:rowOff>
    </xdr:from>
    <xdr:to>
      <xdr:col>10</xdr:col>
      <xdr:colOff>105381</xdr:colOff>
      <xdr:row>33</xdr:row>
      <xdr:rowOff>111131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23872FC-04E0-4A38-9B8A-60A6ED138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0500" y="2816679"/>
          <a:ext cx="6038095" cy="35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34</xdr:row>
      <xdr:rowOff>176893</xdr:rowOff>
    </xdr:from>
    <xdr:to>
      <xdr:col>10</xdr:col>
      <xdr:colOff>533953</xdr:colOff>
      <xdr:row>55</xdr:row>
      <xdr:rowOff>185917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532EEE6-D716-4BEB-8CE1-A3ED83BB1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0500" y="6653893"/>
          <a:ext cx="6466667" cy="40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56</xdr:row>
      <xdr:rowOff>163286</xdr:rowOff>
    </xdr:from>
    <xdr:to>
      <xdr:col>7</xdr:col>
      <xdr:colOff>199488</xdr:colOff>
      <xdr:row>84</xdr:row>
      <xdr:rowOff>115000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9BC56FE-6F7F-46A1-ABDF-ADC63BBB0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0500" y="10831286"/>
          <a:ext cx="4295238" cy="5285714"/>
        </a:xfrm>
        <a:prstGeom prst="rect">
          <a:avLst/>
        </a:prstGeom>
      </xdr:spPr>
    </xdr:pic>
    <xdr:clientData/>
  </xdr:twoCellAnchor>
  <xdr:twoCellAnchor editAs="oneCell">
    <xdr:from>
      <xdr:col>7</xdr:col>
      <xdr:colOff>340179</xdr:colOff>
      <xdr:row>56</xdr:row>
      <xdr:rowOff>163286</xdr:rowOff>
    </xdr:from>
    <xdr:to>
      <xdr:col>21</xdr:col>
      <xdr:colOff>434346</xdr:colOff>
      <xdr:row>83</xdr:row>
      <xdr:rowOff>48357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37FF770-5488-419A-AB4B-3A057D523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6429" y="10831286"/>
          <a:ext cx="8666667" cy="5028571"/>
        </a:xfrm>
        <a:prstGeom prst="rect">
          <a:avLst/>
        </a:prstGeom>
      </xdr:spPr>
    </xdr:pic>
    <xdr:clientData/>
  </xdr:twoCellAnchor>
  <xdr:twoCellAnchor editAs="oneCell">
    <xdr:from>
      <xdr:col>11</xdr:col>
      <xdr:colOff>108856</xdr:colOff>
      <xdr:row>43</xdr:row>
      <xdr:rowOff>122464</xdr:rowOff>
    </xdr:from>
    <xdr:to>
      <xdr:col>21</xdr:col>
      <xdr:colOff>233261</xdr:colOff>
      <xdr:row>56</xdr:row>
      <xdr:rowOff>131678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1B121A9-FFD9-4B7C-B455-30986715D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44392" y="8313964"/>
          <a:ext cx="6247619" cy="24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207065</xdr:colOff>
      <xdr:row>85</xdr:row>
      <xdr:rowOff>91109</xdr:rowOff>
    </xdr:from>
    <xdr:to>
      <xdr:col>10</xdr:col>
      <xdr:colOff>525554</xdr:colOff>
      <xdr:row>89</xdr:row>
      <xdr:rowOff>100538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8AB7CB4-56F2-4A20-9761-F03E97DB3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7065" y="16283609"/>
          <a:ext cx="6447619" cy="771429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581025</xdr:colOff>
      <xdr:row>2</xdr:row>
      <xdr:rowOff>95250</xdr:rowOff>
    </xdr:from>
    <xdr:to>
      <xdr:col>12</xdr:col>
      <xdr:colOff>8682</xdr:colOff>
      <xdr:row>13</xdr:row>
      <xdr:rowOff>190226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025" y="476250"/>
          <a:ext cx="6742857" cy="21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14</xdr:row>
      <xdr:rowOff>85725</xdr:rowOff>
    </xdr:from>
    <xdr:to>
      <xdr:col>6</xdr:col>
      <xdr:colOff>275815</xdr:colOff>
      <xdr:row>17</xdr:row>
      <xdr:rowOff>95177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7225" y="2752725"/>
          <a:ext cx="3276190" cy="5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19</xdr:row>
      <xdr:rowOff>161925</xdr:rowOff>
    </xdr:from>
    <xdr:to>
      <xdr:col>4</xdr:col>
      <xdr:colOff>437919</xdr:colOff>
      <xdr:row>20</xdr:row>
      <xdr:rowOff>114282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8700" y="3781425"/>
          <a:ext cx="1847619" cy="1428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</xdr:row>
      <xdr:rowOff>95250</xdr:rowOff>
    </xdr:from>
    <xdr:to>
      <xdr:col>15</xdr:col>
      <xdr:colOff>437033</xdr:colOff>
      <xdr:row>25</xdr:row>
      <xdr:rowOff>123726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7700" y="4095750"/>
          <a:ext cx="8933333" cy="790476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1</xdr:row>
      <xdr:rowOff>57150</xdr:rowOff>
    </xdr:from>
    <xdr:to>
      <xdr:col>29</xdr:col>
      <xdr:colOff>27511</xdr:colOff>
      <xdr:row>33</xdr:row>
      <xdr:rowOff>123055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91625" y="247650"/>
          <a:ext cx="8514286" cy="61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26</xdr:row>
      <xdr:rowOff>161925</xdr:rowOff>
    </xdr:from>
    <xdr:to>
      <xdr:col>11</xdr:col>
      <xdr:colOff>589768</xdr:colOff>
      <xdr:row>58</xdr:row>
      <xdr:rowOff>37354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38225" y="5114925"/>
          <a:ext cx="6257143" cy="59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17</xdr:row>
      <xdr:rowOff>142875</xdr:rowOff>
    </xdr:from>
    <xdr:to>
      <xdr:col>11</xdr:col>
      <xdr:colOff>75462</xdr:colOff>
      <xdr:row>20</xdr:row>
      <xdr:rowOff>57089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76300" y="3381375"/>
          <a:ext cx="5904762" cy="485714"/>
        </a:xfrm>
        <a:prstGeom prst="rect">
          <a:avLst/>
        </a:prstGeom>
      </xdr:spPr>
    </xdr:pic>
    <xdr:clientData/>
  </xdr:twoCellAnchor>
  <xdr:twoCellAnchor editAs="oneCell">
    <xdr:from>
      <xdr:col>12</xdr:col>
      <xdr:colOff>409575</xdr:colOff>
      <xdr:row>37</xdr:row>
      <xdr:rowOff>142875</xdr:rowOff>
    </xdr:from>
    <xdr:to>
      <xdr:col>34</xdr:col>
      <xdr:colOff>548027</xdr:colOff>
      <xdr:row>67</xdr:row>
      <xdr:rowOff>151684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24775" y="7191375"/>
          <a:ext cx="13549652" cy="5723809"/>
        </a:xfrm>
        <a:prstGeom prst="rect">
          <a:avLst/>
        </a:prstGeom>
      </xdr:spPr>
    </xdr:pic>
    <xdr:clientData/>
  </xdr:twoCellAnchor>
  <xdr:twoCellAnchor editAs="oneCell">
    <xdr:from>
      <xdr:col>30</xdr:col>
      <xdr:colOff>311728</xdr:colOff>
      <xdr:row>4</xdr:row>
      <xdr:rowOff>86590</xdr:rowOff>
    </xdr:from>
    <xdr:to>
      <xdr:col>42</xdr:col>
      <xdr:colOff>319554</xdr:colOff>
      <xdr:row>7</xdr:row>
      <xdr:rowOff>173181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495819" y="848590"/>
          <a:ext cx="7281462" cy="658091"/>
        </a:xfrm>
        <a:prstGeom prst="rect">
          <a:avLst/>
        </a:prstGeom>
      </xdr:spPr>
    </xdr:pic>
    <xdr:clientData/>
  </xdr:twoCellAnchor>
  <xdr:twoCellAnchor editAs="oneCell">
    <xdr:from>
      <xdr:col>30</xdr:col>
      <xdr:colOff>173181</xdr:colOff>
      <xdr:row>8</xdr:row>
      <xdr:rowOff>138545</xdr:rowOff>
    </xdr:from>
    <xdr:to>
      <xdr:col>44</xdr:col>
      <xdr:colOff>597469</xdr:colOff>
      <xdr:row>11</xdr:row>
      <xdr:rowOff>138545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357272" y="1662545"/>
          <a:ext cx="8910197" cy="571500"/>
        </a:xfrm>
        <a:prstGeom prst="rect">
          <a:avLst/>
        </a:prstGeom>
      </xdr:spPr>
    </xdr:pic>
    <xdr:clientData/>
  </xdr:twoCellAnchor>
  <xdr:twoCellAnchor editAs="oneCell">
    <xdr:from>
      <xdr:col>30</xdr:col>
      <xdr:colOff>277091</xdr:colOff>
      <xdr:row>13</xdr:row>
      <xdr:rowOff>121227</xdr:rowOff>
    </xdr:from>
    <xdr:to>
      <xdr:col>45</xdr:col>
      <xdr:colOff>588819</xdr:colOff>
      <xdr:row>30</xdr:row>
      <xdr:rowOff>42395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461182" y="2597727"/>
          <a:ext cx="9403773" cy="3159668"/>
        </a:xfrm>
        <a:prstGeom prst="rect">
          <a:avLst/>
        </a:prstGeom>
      </xdr:spPr>
    </xdr:pic>
    <xdr:clientData/>
  </xdr:twoCellAnchor>
  <xdr:twoCellAnchor editAs="oneCell">
    <xdr:from>
      <xdr:col>35</xdr:col>
      <xdr:colOff>363681</xdr:colOff>
      <xdr:row>30</xdr:row>
      <xdr:rowOff>155864</xdr:rowOff>
    </xdr:from>
    <xdr:to>
      <xdr:col>45</xdr:col>
      <xdr:colOff>578508</xdr:colOff>
      <xdr:row>45</xdr:row>
      <xdr:rowOff>31697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578454" y="5870864"/>
          <a:ext cx="6276190" cy="2733333"/>
        </a:xfrm>
        <a:prstGeom prst="rect">
          <a:avLst/>
        </a:prstGeom>
      </xdr:spPr>
    </xdr:pic>
    <xdr:clientData/>
  </xdr:twoCellAnchor>
  <xdr:twoCellAnchor editAs="oneCell">
    <xdr:from>
      <xdr:col>35</xdr:col>
      <xdr:colOff>259772</xdr:colOff>
      <xdr:row>46</xdr:row>
      <xdr:rowOff>173180</xdr:rowOff>
    </xdr:from>
    <xdr:to>
      <xdr:col>45</xdr:col>
      <xdr:colOff>487648</xdr:colOff>
      <xdr:row>57</xdr:row>
      <xdr:rowOff>155863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5B81062-81ED-4FA8-A417-F627116A8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474545" y="8936180"/>
          <a:ext cx="6289239" cy="2078183"/>
        </a:xfrm>
        <a:prstGeom prst="rect">
          <a:avLst/>
        </a:prstGeom>
      </xdr:spPr>
    </xdr:pic>
    <xdr:clientData/>
  </xdr:twoCellAnchor>
  <xdr:twoCellAnchor editAs="oneCell">
    <xdr:from>
      <xdr:col>1</xdr:col>
      <xdr:colOff>346364</xdr:colOff>
      <xdr:row>68</xdr:row>
      <xdr:rowOff>34636</xdr:rowOff>
    </xdr:from>
    <xdr:to>
      <xdr:col>23</xdr:col>
      <xdr:colOff>588819</xdr:colOff>
      <xdr:row>98</xdr:row>
      <xdr:rowOff>106129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5677CCA-7FCF-4DF9-A044-4D920D4F5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52500" y="12988636"/>
          <a:ext cx="13577455" cy="5786493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Jeffrey Hung" refreshedDate="42980.786969675923" createdVersion="6" refreshedVersion="6" minRefreshableVersion="3" recordCount="239" xr:uid="{00000000-000A-0000-FFFF-FFFF00000000}">
  <cacheSource type="worksheet">
    <worksheetSource ref="A8:BN300" sheet="COMPILED"/>
  </cacheSource>
  <cacheFields count="61">
    <cacheField name="Wall #" numFmtId="0">
      <sharedItems containsSemiMixedTypes="0" containsString="0" containsNumber="1" containsInteger="1" minValue="1" maxValue="239"/>
    </cacheField>
    <cacheField name="Source (Chronological Order)" numFmtId="0">
      <sharedItems/>
    </cacheField>
    <cacheField name="Wall ID" numFmtId="0">
      <sharedItems containsMixedTypes="1" containsNumber="1" containsInteger="1" minValue="1" maxValue="66"/>
    </cacheField>
    <cacheField name="Loading Type" numFmtId="0">
      <sharedItems count="4">
        <s v="Monotonic"/>
        <s v="Reverse Cyclic"/>
        <s v="Phased-Sequential"/>
        <s v="Simulated Seismic"/>
      </sharedItems>
    </cacheField>
    <cacheField name="Loading Rate" numFmtId="0">
      <sharedItems count="3">
        <s v="Quasi-Static"/>
        <s v="Dynamic"/>
        <s v="Phased Sequential"/>
      </sharedItems>
    </cacheField>
    <cacheField name="Support Type" numFmtId="0">
      <sharedItems count="2">
        <s v="Cantilever"/>
        <s v="Double Curvature"/>
      </sharedItems>
    </cacheField>
    <cacheField name="H_x000a_[mm]" numFmtId="1">
      <sharedItems containsSemiMixedTypes="0" containsString="0" containsNumber="1" minValue="760" maxValue="2698" count="22">
        <n v="2641.6"/>
        <n v="2650"/>
        <n v="2000"/>
        <n v="1625.6"/>
        <n v="1422.3999999999999"/>
        <n v="2400"/>
        <n v="1800"/>
        <n v="760"/>
        <n v="1400"/>
        <n v="812.8"/>
        <n v="920.49599999999998"/>
        <n v="939.8"/>
        <n v="1422"/>
        <n v="808"/>
        <n v="900"/>
        <n v="2698"/>
        <n v="1524"/>
        <n v="2640"/>
        <n v="2337"/>
        <n v="1200"/>
        <n v="1930"/>
        <n v="1130"/>
      </sharedItems>
      <fieldGroup base="6">
        <rangePr autoStart="0" autoEnd="0" startNum="600" endNum="2800" groupInterval="400"/>
        <groupItems count="8">
          <s v="&lt;600"/>
          <s v="600-1000"/>
          <s v="1000-1400"/>
          <s v="1400-1800"/>
          <s v="1800-2200"/>
          <s v="2200-2600"/>
          <s v="2600-3000"/>
          <s v="&gt;3000"/>
        </groupItems>
      </fieldGroup>
    </cacheField>
    <cacheField name="Heff_x000a_[mm]" numFmtId="1">
      <sharedItems containsSemiMixedTypes="0" containsString="0" containsNumber="1" minValue="406.4" maxValue="2650"/>
    </cacheField>
    <cacheField name="L_x000a_[mm]" numFmtId="1">
      <sharedItems containsSemiMixedTypes="0" containsString="0" containsNumber="1" minValue="610" maxValue="4270" count="30">
        <n v="2438.3999999999996"/>
        <n v="3200"/>
        <n v="2000"/>
        <n v="812.8"/>
        <n v="1219.1999999999998"/>
        <n v="1600"/>
        <n v="1720"/>
        <n v="1320"/>
        <n v="920"/>
        <n v="1370"/>
        <n v="1970"/>
        <n v="1770"/>
        <n v="970"/>
        <n v="610"/>
        <n v="938.78399999999999"/>
        <n v="939.8"/>
        <n v="1800"/>
        <n v="2845"/>
        <n v="2032"/>
        <n v="1422"/>
        <n v="1200"/>
        <n v="2641.6"/>
        <n v="3860"/>
        <n v="2850"/>
        <n v="4270"/>
        <n v="2631"/>
        <n v="1590"/>
        <n v="1990"/>
        <n v="2590"/>
        <n v="990"/>
      </sharedItems>
      <fieldGroup base="8">
        <rangePr autoStart="0" startNum="600" endNum="4270" groupInterval="400"/>
        <groupItems count="12">
          <s v="&lt;600"/>
          <s v="600-1000"/>
          <s v="1000-1400"/>
          <s v="1400-1800"/>
          <s v="1800-2200"/>
          <s v="2200-2600"/>
          <s v="2600-3000"/>
          <s v="3000-3400"/>
          <s v="3400-3800"/>
          <s v="3800-4200"/>
          <s v="4200-4600"/>
          <s v="&gt;4600"/>
        </groupItems>
      </fieldGroup>
    </cacheField>
    <cacheField name="A_x000a_[mm2]" numFmtId="0">
      <sharedItems containsSemiMixedTypes="0" containsString="0" containsNumber="1" minValue="463600" maxValue="11272800" count="35">
        <n v="6441277.4399999985"/>
        <n v="8480000"/>
        <n v="4000000"/>
        <n v="1321287.6799999999"/>
        <n v="1734190.0799999996"/>
        <n v="3840000"/>
        <n v="3096000"/>
        <n v="2376000"/>
        <n v="1656000"/>
        <n v="2466000"/>
        <n v="3546000"/>
        <n v="3186000"/>
        <n v="1746000"/>
        <n v="463600"/>
        <n v="854000"/>
        <n v="660643.83999999997"/>
        <n v="864146.91686400003"/>
        <n v="883224.03999999992"/>
        <n v="1368000"/>
        <n v="4045590"/>
        <n v="2889504"/>
        <n v="2022084"/>
        <n v="3240000"/>
        <n v="969600"/>
        <n v="1620000"/>
        <n v="4856400"/>
        <n v="4025798.4"/>
        <n v="10190400"/>
        <n v="7524000"/>
        <n v="11272800"/>
        <n v="6148647"/>
        <n v="1908000"/>
        <n v="3840700"/>
        <n v="2926700"/>
        <n v="1910700"/>
      </sharedItems>
      <fieldGroup base="9">
        <rangePr autoStart="0" startNum="500000" endNum="11272800" groupInterval="1500000"/>
        <groupItems count="10">
          <s v="&lt;500000"/>
          <s v="500000-2000000"/>
          <s v="2000000-3500000"/>
          <s v="3500000-5000000"/>
          <s v="5000000-6500000"/>
          <s v="6500000-8000000"/>
          <s v="8000000-9500000"/>
          <s v="9500000-11000000"/>
          <s v="11000000-12500000"/>
          <s v="&gt;12500000"/>
        </groupItems>
      </fieldGroup>
    </cacheField>
    <cacheField name="t_x000a_[mm]" numFmtId="1">
      <sharedItems containsSemiMixedTypes="0" containsString="0" containsNumber="1" minValue="47.751999999999995" maxValue="200" count="13">
        <n v="142.875"/>
        <n v="150"/>
        <n v="193.2"/>
        <n v="140"/>
        <n v="100"/>
        <n v="200"/>
        <n v="193.67499999999998"/>
        <n v="47.751999999999995"/>
        <n v="195"/>
        <n v="90"/>
        <n v="193"/>
        <n v="194"/>
        <n v="190"/>
      </sharedItems>
      <fieldGroup base="10">
        <rangePr autoStart="0" startNum="60" endNum="200" groupInterval="50"/>
        <groupItems count="5">
          <s v="&lt;60"/>
          <s v="60-110"/>
          <s v="110-160"/>
          <s v="160-210"/>
          <s v="&gt;210"/>
        </groupItems>
      </fieldGroup>
    </cacheField>
    <cacheField name="dv_x000a_[mm]" numFmtId="1">
      <sharedItems containsSemiMixedTypes="0" containsString="0" containsNumber="1" minValue="488" maxValue="3416"/>
    </cacheField>
    <cacheField name="H/L_x000a_-" numFmtId="0">
      <sharedItems containsSemiMixedTypes="0" containsString="0" containsNumber="1" minValue="0.42222222222222222" maxValue="2.2950819672131146" count="31">
        <n v="1.0833333333333335"/>
        <n v="0.828125"/>
        <n v="1"/>
        <n v="2"/>
        <n v="1.1666666666666667"/>
        <n v="1.5"/>
        <n v="1.0465116279069768"/>
        <n v="1.3636363636363635"/>
        <n v="1.9565217391304348"/>
        <n v="1.3138686131386861"/>
        <n v="0.91370558375634514"/>
        <n v="1.0169491525423728"/>
        <n v="1.8556701030927836"/>
        <n v="1.2459016393442623"/>
        <n v="2.2950819672131146"/>
        <n v="0.98051948051948046"/>
        <n v="0.42222222222222222"/>
        <n v="0.49982425307557116"/>
        <n v="0.69980314960629919"/>
        <n v="0.67333333333333334"/>
        <n v="0.5"/>
        <n v="1.4988888888888889"/>
        <n v="0.57692307692307698"/>
        <n v="0.68393782383419688"/>
        <n v="0.9263157894736842"/>
        <n v="0.61826697892271665"/>
        <n v="0.88825541619156212"/>
        <n v="0.75471698113207553"/>
        <n v="0.96984924623115576"/>
        <n v="0.43629343629343631"/>
        <n v="1.9494949494949494"/>
      </sharedItems>
      <fieldGroup base="12">
        <rangePr autoStart="0" autoEnd="0" startNum="0.3" endNum="2.2999999999999998" groupInterval="0.2"/>
        <groupItems count="12">
          <s v="&lt;0.3"/>
          <s v="0.3-0.5"/>
          <s v="0.5-0.7"/>
          <s v="0.7-0.9"/>
          <s v="0.9-1.1"/>
          <s v="1.1-1.3"/>
          <s v="1.3-1.5"/>
          <s v="1.5-1.7"/>
          <s v="1.7-1.9"/>
          <s v="1.9-2.1"/>
          <s v="2.1-2.3"/>
          <s v="&gt;2.3"/>
        </groupItems>
      </fieldGroup>
    </cacheField>
    <cacheField name="M/(V*L)_x000a_-" numFmtId="0">
      <sharedItems containsSemiMixedTypes="0" containsString="0" containsNumber="1" minValue="0.24991212653778558" maxValue="2.2950819672131146"/>
    </cacheField>
    <cacheField name="Heff/L_x000a_-" numFmtId="0">
      <sharedItems containsSemiMixedTypes="0" containsString="0" containsNumber="1" minValue="0.24991212653778558" maxValue="2.2950819672131146"/>
    </cacheField>
    <cacheField name="Anet_x000a_[mm]" numFmtId="0">
      <sharedItems containsSemiMixedTypes="0" containsString="0" containsNumber="1" minValue="24429.011200000001" maxValue="546773.1"/>
    </cacheField>
    <cacheField name="Agross_x000a_[mm]" numFmtId="0">
      <sharedItems containsSemiMixedTypes="0" containsString="0" containsNumber="1" minValue="44828.813567999998" maxValue="824110"/>
    </cacheField>
    <cacheField name="Anet/_x000a_Agross" numFmtId="2">
      <sharedItems containsSemiMixedTypes="0" containsString="0" containsNumber="1" minValue="0.35555555555555551" maxValue="0.8082191780821919" count="70">
        <n v="0.35555555555555551"/>
        <n v="0.45862860892388446"/>
        <n v="0.51016513560804899"/>
        <n v="0.56170166229221341"/>
        <n v="0.61323818897637794"/>
        <n v="0.68170416666666667"/>
        <n v="0.72297916666666662"/>
        <n v="0.46762666666666669"/>
        <n v="0.59658666666666671"/>
        <n v="0.71511373578302706"/>
        <n v="0.60257073844030373"/>
        <n v="0.70714285714285718"/>
        <n v="0.69841269841269837"/>
        <n v="0.70114942528735635"/>
        <n v="0.70542635658914732"/>
        <n v="0.70414201183431968"/>
        <n v="0.71698113207547165"/>
        <n v="0.71621621621621623"/>
        <n v="0.70238095238095233"/>
        <n v="0.70192307692307698"/>
        <n v="0.70940170940170943"/>
        <n v="0.70866141732283461"/>
        <n v="0.70440251572327039"/>
        <n v="0.70769230769230773"/>
        <n v="0.70588235294117652"/>
        <n v="0.70703125"/>
        <n v="0.71755725190839692"/>
        <n v="0.71497584541062786"/>
        <n v="0.71489361702127663"/>
        <n v="0.71808510638297884"/>
        <n v="0.70484581497797361"/>
        <n v="0.70399999999999996"/>
        <n v="0.7071129707112972"/>
        <n v="0.70722433460076051"/>
        <n v="0.8082191780821919"/>
        <n v="0.74056603773584917"/>
        <n v="0.77894736842105261"/>
        <n v="0.54545454545454553"/>
        <n v="0.73469387755102045"/>
        <n v="0.73154362416107388"/>
        <n v="0.59672131147540985"/>
        <n v="0.63587598425196845"/>
        <n v="0.53688524590163944"/>
        <n v="0.54493994499640475"/>
        <n v="0.54485945467961483"/>
        <n v="0.43333333333333335"/>
        <n v="0.43672227479608849"/>
        <n v="0.4731637391479912"/>
        <n v="0.52786757546251228"/>
        <n v="0.73809523809523814"/>
        <n v="0.47499999999999998"/>
        <n v="0.7"/>
        <n v="0.70599999999999996"/>
        <n v="0.75318518518518518"/>
        <n v="0.65881481481481485"/>
        <n v="0.45003193058225588"/>
        <n v="0.49048399677465071"/>
        <n v="0.5321998838773917"/>
        <n v="0.40474611398963728"/>
        <n v="0.61050046359421861"/>
        <n v="0.68873366421234428"/>
        <n v="0.61109790683282572"/>
        <n v="0.66347101721857515"/>
        <n v="0.44998177949664392"/>
        <n v="0.4904293377532748"/>
        <n v="0.5321405760813771"/>
        <n v="0.67825223435948356"/>
        <n v="0.6125915290739411"/>
        <n v="0.60270821842250411"/>
        <n v="0.73935064935064931"/>
      </sharedItems>
      <fieldGroup base="17">
        <rangePr autoStart="0" autoEnd="0" startNum="0.3" endNum="1.6" groupInterval="0.1"/>
        <groupItems count="15">
          <s v="&lt;0.3"/>
          <s v="0.3-0.4"/>
          <s v="0.4-0.5"/>
          <s v="0.5-0.6"/>
          <s v="0.6-0.7"/>
          <s v="0.7-0.8"/>
          <s v="0.8-0.9"/>
          <s v="0.9-1"/>
          <s v="1-1.1"/>
          <s v="1.1-1.2"/>
          <s v="1.2-1.3"/>
          <s v="1.3-1.4"/>
          <s v="1.4-1.5"/>
          <s v="1.5-1.6"/>
          <s v="&gt;1.6"/>
        </groupItems>
      </fieldGroup>
    </cacheField>
    <cacheField name="fblock_x000a_[MPa]" numFmtId="0">
      <sharedItems containsMixedTypes="1" containsNumber="1" minValue="6.36" maxValue="23.3"/>
    </cacheField>
    <cacheField name="fmortar_x000a_[MPa]" numFmtId="0">
      <sharedItems containsMixedTypes="1" containsNumber="1" minValue="4.3" maxValue="25.800300000000004"/>
    </cacheField>
    <cacheField name="fmortar PIVOT TABLE_x000a_[MPa]" numFmtId="164">
      <sharedItems containsSemiMixedTypes="0" containsString="0" containsNumber="1" minValue="0" maxValue="25.800300000000004" count="67">
        <n v="19.856908799999999"/>
        <n v="21.9253368"/>
        <n v="25.800300000000004"/>
        <n v="23.8383"/>
        <n v="20.895300000000002"/>
        <n v="15.696000000000002"/>
        <n v="22.7592"/>
        <n v="21.3858"/>
        <n v="21.974399999999999"/>
        <n v="16.0884"/>
        <n v="21.483900000000002"/>
        <n v="21.680100000000003"/>
        <n v="15.205500000000002"/>
        <n v="20.404800000000002"/>
        <n v="25.702200000000001"/>
        <n v="23.0535"/>
        <n v="24.819300000000002"/>
        <n v="17.559899999999999"/>
        <n v="17.4618"/>
        <n v="17.658000000000001"/>
        <n v="24.132600000000004"/>
        <n v="11.575800000000001"/>
        <n v="15.87173752"/>
        <n v="18.988169039999999"/>
        <n v="20.28438392"/>
        <n v="16.009632719999999"/>
        <n v="0"/>
        <n v="9.3000000000000007"/>
        <n v="7"/>
        <n v="15.8"/>
        <n v="17.2"/>
        <n v="19.600000000000001"/>
        <n v="22.3"/>
        <n v="17.3"/>
        <n v="18.100000000000001"/>
        <n v="17.899999999999999"/>
        <n v="15.513209999999999"/>
        <n v="21.7"/>
        <n v="22.2"/>
        <n v="10"/>
        <n v="23.8"/>
        <n v="14.89"/>
        <n v="13.8"/>
        <n v="9.9"/>
        <n v="6.7"/>
        <n v="6.8"/>
        <n v="6.5"/>
        <n v="4.3"/>
        <n v="7.3"/>
        <n v="7.5"/>
        <n v="4.5999999999999996"/>
        <n v="10.1"/>
        <n v="7.8"/>
        <n v="7.2"/>
        <n v="5"/>
        <n v="6.2"/>
        <n v="6.4"/>
        <n v="5.5"/>
        <n v="6.1"/>
        <n v="12.8"/>
        <n v="13.2"/>
        <n v="15"/>
        <n v="12.5"/>
        <n v="13.7"/>
        <n v="15.3"/>
        <n v="13"/>
        <n v="18.03"/>
      </sharedItems>
      <fieldGroup base="20">
        <rangePr autoStart="0" startNum="1" endNum="25.800300000000004" groupInterval="5"/>
        <groupItems count="7">
          <s v="&lt;1"/>
          <s v="1-6"/>
          <s v="6-11"/>
          <s v="11-16"/>
          <s v="16-21"/>
          <s v="21-26"/>
          <s v="&gt;26"/>
        </groupItems>
      </fieldGroup>
    </cacheField>
    <cacheField name="fgrout_x000a_[MPa]" numFmtId="0">
      <sharedItems containsMixedTypes="1" containsNumber="1" minValue="7" maxValue="47.5393702"/>
    </cacheField>
    <cacheField name="fgrout PIVOT TABLE_x000a_[MPa]" numFmtId="164">
      <sharedItems containsSemiMixedTypes="0" containsString="0" containsNumber="1" minValue="0" maxValue="47.5393702" count="52">
        <n v="31.5090532"/>
        <n v="36.059594799999999"/>
        <n v="0"/>
        <n v="29.331900000000001"/>
        <n v="33.059699999999999"/>
        <n v="13.341600000000001"/>
        <n v="15.892200000000001"/>
        <n v="18.8352"/>
        <n v="10.594799999999999"/>
        <n v="8.1423000000000005"/>
        <n v="11.870100000000001"/>
        <n v="14.518800000000001"/>
        <n v="23.151600000000002"/>
        <n v="12.262499999999999"/>
        <n v="13.9963628"/>
        <n v="26.269035599999999"/>
        <n v="47.229106000000002"/>
        <n v="47.5393702"/>
        <n v="26"/>
        <n v="23"/>
        <n v="9.3000000000000007"/>
        <n v="7"/>
        <n v="21.15"/>
        <n v="10.686878"/>
        <n v="31.026419999999998"/>
        <n v="29.6"/>
        <n v="28.2"/>
        <n v="40.700000000000003"/>
        <n v="35.85"/>
        <n v="22"/>
        <n v="28.6"/>
        <n v="29.2"/>
        <n v="21.8"/>
        <n v="25.7"/>
        <n v="21"/>
        <n v="20"/>
        <n v="23.7"/>
        <n v="25.1"/>
        <n v="21.9"/>
        <n v="24.7"/>
        <n v="22.9"/>
        <n v="23.2"/>
        <n v="26.3"/>
        <n v="25.2"/>
        <n v="22.8"/>
        <n v="21.4"/>
        <n v="23.8"/>
        <n v="11.3"/>
        <n v="11.1"/>
        <n v="15.4"/>
        <n v="11.5"/>
        <n v="31.7"/>
      </sharedItems>
      <fieldGroup base="22">
        <rangePr autoStart="0" startNum="5" endNum="47.5393702" groupInterval="10"/>
        <groupItems count="7">
          <s v="&lt;5"/>
          <s v="5-15"/>
          <s v="15-25"/>
          <s v="25-35"/>
          <s v="35-45"/>
          <s v="45-55"/>
          <s v="&gt;55"/>
        </groupItems>
      </fieldGroup>
    </cacheField>
    <cacheField name="f'm(g)_x000a_[MPa]" numFmtId="0">
      <sharedItems containsSemiMixedTypes="0" containsString="0" containsNumber="1" minValue="5.2" maxValue="26.8"/>
    </cacheField>
    <cacheField name="f'm(n)_x000a_[MPa]" numFmtId="0">
      <sharedItems containsMixedTypes="1" containsNumber="1" minValue="7.4930616546636228" maxValue="39.155319036530074"/>
    </cacheField>
    <cacheField name="# of courses in Prism" numFmtId="0">
      <sharedItems containsMixedTypes="1" containsNumber="1" containsInteger="1" minValue="1" maxValue="5"/>
    </cacheField>
    <cacheField name="h/t Prism" numFmtId="0">
      <sharedItems containsMixedTypes="1" containsNumber="1" minValue="1" maxValue="6.99912510936133"/>
    </cacheField>
    <cacheField name="# of Tests" numFmtId="0">
      <sharedItems containsMixedTypes="1" containsNumber="1" containsInteger="1" minValue="3" maxValue="10"/>
    </cacheField>
    <cacheField name="Dillon_x000a_Correction Factor k" numFmtId="0">
      <sharedItems containsSemiMixedTypes="0" containsString="0" containsNumber="1" minValue="0.7443580131166263" maxValue="1"/>
    </cacheField>
    <cacheField name="f'mcor_x000a_[MPa]" numFmtId="0">
      <sharedItems containsSemiMixedTypes="0" containsString="0" containsNumber="1" minValue="4.1237433926661096" maxValue="26.8" count="47">
        <n v="12.147291793788456"/>
        <n v="13.607641589256922"/>
        <n v="13.253787863062618"/>
        <n v="11.877749346868802"/>
        <n v="13.026773769205752"/>
        <n v="12.333646727991859"/>
        <n v="12.89415791412209"/>
        <n v="11.998984004484729"/>
        <n v="13.238410128748646"/>
        <n v="9.6603569506993541"/>
        <n v="13.524499730979098"/>
        <n v="15.53389428"/>
        <n v="11.7900396"/>
        <n v="14.232352177487659"/>
        <n v="8.9096054591178948"/>
        <n v="14.630510017077805"/>
        <n v="7.5966109704057834"/>
        <n v="8.2531082147618395"/>
        <n v="26.8"/>
        <n v="23.8"/>
        <n v="7.5615849650646245"/>
        <n v="8.1060893411784551"/>
        <n v="7.3859383921246806"/>
        <n v="9.83620808463691"/>
        <n v="9.6605615116969652"/>
        <n v="7.3244620915956995"/>
        <n v="10.078509746703608"/>
        <n v="15.371344888132823"/>
        <n v="5.2"/>
        <n v="13.886754955021535"/>
        <n v="11.775318529111829"/>
        <n v="17.671041294196087"/>
        <n v="5.2693971881983455"/>
        <n v="11.933950515928945"/>
        <n v="14.109438556685173"/>
        <n v="11.369273062590731"/>
        <n v="15.229748061685452"/>
        <n v="15.957640432280712"/>
        <n v="19.765077447702076"/>
        <n v="16.013632153095735"/>
        <n v="18.701234752216696"/>
        <n v="9.9543657442760871"/>
        <n v="10.974960175118699"/>
        <n v="14.338254422332492"/>
        <n v="17.259009952807631"/>
        <n v="12.568099555377863"/>
        <n v="4.1237433926661096"/>
      </sharedItems>
      <fieldGroup base="29">
        <rangePr autoStart="0" startNum="4" endNum="26.8" groupInterval="5"/>
        <groupItems count="7">
          <s v="&lt;4"/>
          <s v="4-9"/>
          <s v="9-14"/>
          <s v="14-19"/>
          <s v="19-24"/>
          <s v="24-29"/>
          <s v="&gt;29"/>
        </groupItems>
      </fieldGroup>
    </cacheField>
    <cacheField name="Vertical Reinf" numFmtId="0">
      <sharedItems containsBlank="1" containsMixedTypes="1" containsNumber="1" containsInteger="1" minValue="0" maxValue="0"/>
    </cacheField>
    <cacheField name="Flexural Reinf" numFmtId="0">
      <sharedItems containsBlank="1"/>
    </cacheField>
    <cacheField name="Av, bar_x000a_[mm2]" numFmtId="0">
      <sharedItems containsMixedTypes="1" containsNumber="1" minValue="0" maxValue="568"/>
    </cacheField>
    <cacheField name="Av, total_x000a_[mm2]" numFmtId="0">
      <sharedItems containsSemiMixedTypes="0" containsString="0" containsNumber="1" minValue="0" maxValue="2039"/>
    </cacheField>
    <cacheField name="ρv_x000a_[unitless]" numFmtId="0">
      <sharedItems containsSemiMixedTypes="0" containsString="0" containsNumber="1" minValue="0" maxValue="7.5649823097806166E-3" count="58">
        <n v="0"/>
        <n v="1.4203525813755939E-3"/>
        <n v="1.8748654074157835E-3"/>
        <n v="2.3293782334559737E-3"/>
        <n v="2.7838910594961642E-3"/>
        <n v="3.5508814534389844E-3"/>
        <n v="3.2421875000000003E-3"/>
        <n v="1.8984375000000002E-3"/>
        <n v="3.3333333333333331E-3"/>
        <n v="4.4083333333333335E-3"/>
        <n v="2.15E-3"/>
        <n v="5.9166666666666666E-4"/>
        <n v="6.1139011166911218E-3"/>
        <n v="2.1226966194443091E-3"/>
        <n v="5.4022628964857664E-3"/>
        <n v="1.7005272734275107E-3"/>
        <n v="3.3659921288462071E-3"/>
        <n v="3.1199999999999999E-3"/>
        <n v="3.8500000000000001E-3"/>
        <n v="4.1099999999999999E-3"/>
        <n v="3.7499999999999999E-3"/>
        <n v="6.0400000000000002E-3"/>
        <n v="3.9500000000000004E-3"/>
        <n v="3.9900000000000005E-3"/>
        <n v="1.48E-3"/>
        <n v="2.7400000000000002E-3"/>
        <n v="2.5500000000000002E-3"/>
        <n v="2.64E-3"/>
        <n v="2.9299999999999999E-3"/>
        <n v="3.218844931956755E-3"/>
        <n v="6.4376898639135101E-3"/>
        <n v="1.5378937007874014E-3"/>
        <n v="1.4823385834024131E-3"/>
        <n v="1.5596936308372477E-3"/>
        <n v="1.5580074755606672E-3"/>
        <n v="1.090830782496456E-3"/>
        <n v="2.559596232706953E-3"/>
        <n v="3.5836866545527956E-3"/>
        <n v="5.1209924627646135E-3"/>
        <n v="7.4404761904761901E-3"/>
        <n v="1.2271846303085129E-3"/>
        <n v="2.3148148148148151E-3"/>
        <n v="2.1913580246913579E-3"/>
        <n v="1.9444444444444444E-3"/>
        <n v="3.3469441654050947E-3"/>
        <n v="3.4103332594468579E-3"/>
        <n v="1.8393782383419688E-3"/>
        <n v="3.1678938278338334E-3"/>
        <n v="3.6360330879010995E-3"/>
        <n v="2.5057334579121722E-3"/>
        <n v="3.0927303393964399E-3"/>
        <n v="4.5599999999999998E-3"/>
        <n v="4.4600000000000004E-3"/>
        <n v="4.5799999999999999E-3"/>
        <n v="3.3101621979476992E-3"/>
        <n v="4.1158697722910075E-3"/>
        <n v="2.1985083724445948E-3"/>
        <n v="7.5649823097806166E-3"/>
      </sharedItems>
      <fieldGroup base="34">
        <rangePr startNum="0" endNum="7.5649823097806166E-3" groupInterval="1E-3"/>
        <groupItems count="10">
          <s v="&lt;0"/>
          <s v="0-0.001"/>
          <s v="0.001-0.002"/>
          <s v="0.002-0.003"/>
          <s v="0.003-0.004"/>
          <s v="0.004-0.005"/>
          <s v="0.005-0.006"/>
          <s v="0.006-0.007"/>
          <s v="0.007-0.008"/>
          <s v="&gt;0.008"/>
        </groupItems>
      </fieldGroup>
    </cacheField>
    <cacheField name="fyv_x000a_[MPa]" numFmtId="0">
      <sharedItems containsSemiMixedTypes="0" containsString="0" containsNumber="1" minValue="0" maxValue="580"/>
    </cacheField>
    <cacheField name="ρvfyv_x000a_[MPa]" numFmtId="0">
      <sharedItems containsSemiMixedTypes="0" containsString="0" containsNumber="1" minValue="0" maxValue="12.363157894736842"/>
    </cacheField>
    <cacheField name="sv_x000a_[mm]" numFmtId="0">
      <sharedItems containsString="0" containsBlank="1" containsNumber="1" minValue="0" maxValue="2645"/>
    </cacheField>
    <cacheField name="Bond Beam Reinf" numFmtId="0">
      <sharedItems/>
    </cacheField>
    <cacheField name="Ah, bond beam_x000a_[mm2]" numFmtId="0">
      <sharedItems containsSemiMixedTypes="0" containsString="0" containsNumber="1" minValue="0" maxValue="904.5"/>
    </cacheField>
    <cacheField name="Joint Reinf" numFmtId="0">
      <sharedItems/>
    </cacheField>
    <cacheField name="Ah, Joint_x000a_[mm2]" numFmtId="0">
      <sharedItems containsSemiMixedTypes="0" containsString="0" containsNumber="1" minValue="0" maxValue="940.96983160321486"/>
    </cacheField>
    <cacheField name="Ah, total_x000a_[mm2]" numFmtId="0">
      <sharedItems containsSemiMixedTypes="0" containsString="0" containsNumber="1" minValue="0" maxValue="940.96983160321486"/>
    </cacheField>
    <cacheField name="ρh_x000a_[unitless]" numFmtId="0">
      <sharedItems containsSemiMixedTypes="0" containsString="0" containsNumber="1" minValue="0" maxValue="3.3500000000000001E-3" count="53">
        <n v="0"/>
        <n v="1.720156233936719E-3"/>
        <n v="6.7128048153628059E-4"/>
        <n v="3.3564024076814029E-4"/>
        <n v="1.3425609630725612E-3"/>
        <n v="1.5733136286006576E-3"/>
        <n v="2.0977515048008766E-3"/>
        <n v="3.2724923474893676E-4"/>
        <n v="1.4555633961903832E-3"/>
        <n v="2.1833450942855752E-3"/>
        <n v="4.0391905546154484E-4"/>
        <n v="1.0097976386538622E-3"/>
        <n v="7.0999999999999991E-4"/>
        <n v="1.48E-3"/>
        <n v="2.2200000000000002E-3"/>
        <n v="3.3500000000000001E-3"/>
        <n v="7.5476763502494793E-4"/>
        <n v="1.3854423602330987E-3"/>
        <n v="2.8274333882308141E-3"/>
        <n v="2.42E-4"/>
        <n v="5.6599999999999999E-4"/>
        <n v="9.3599999999999998E-4"/>
        <n v="2.1800000000000001E-3"/>
        <n v="1.4499999999999999E-3"/>
        <n v="7.5700000000000008E-4"/>
        <n v="2.15E-3"/>
        <n v="1.2094312150673994E-3"/>
        <n v="1.2725447372129068E-3"/>
        <n v="1.2464059804485337E-3"/>
        <n v="7.4406141795547737E-4"/>
        <n v="5.1209924627646148E-4"/>
        <n v="1.1864834649644776E-3"/>
        <n v="5.5999999999999995E-4"/>
        <n v="1.1000000000000001E-3"/>
        <n v="3.1104877758314785E-4"/>
        <n v="3.3528265107212477E-4"/>
        <n v="3.7816764132553603E-4"/>
        <n v="1.2605588044184535E-4"/>
        <n v="2.521117608836907E-4"/>
        <n v="8.4921625674915966E-4"/>
        <n v="1.2053392031278396E-3"/>
        <n v="1.6984325134983193E-3"/>
        <n v="1.6970403557003699E-3"/>
        <n v="1.0757575757575758E-3"/>
        <n v="8.9999999999999998E-4"/>
        <n v="1.8E-3"/>
        <n v="8.4999999999999995E-4"/>
        <n v="1.1999999999999999E-3"/>
        <n v="1.6900000000000001E-3"/>
        <n v="5.6578947368421048E-4"/>
        <n v="9.9210526315789485E-4"/>
        <n v="4.9480084294039239E-4"/>
        <n v="9.8960168588078479E-4"/>
      </sharedItems>
      <fieldGroup base="43">
        <rangePr startNum="0" endNum="3.3500000000000001E-3" groupInterval="1E-3"/>
        <groupItems count="6">
          <s v="&lt;0"/>
          <s v="0-0.001"/>
          <s v="0.001-0.002"/>
          <s v="0.002-0.003"/>
          <s v="0.003-0.004"/>
          <s v="&gt;0.004"/>
        </groupItems>
      </fieldGroup>
    </cacheField>
    <cacheField name="fyh_x000a_[MPa]" numFmtId="0">
      <sharedItems containsSemiMixedTypes="0" containsString="0" containsNumber="1" minValue="0" maxValue="743.7"/>
    </cacheField>
    <cacheField name="ρhfyh_x000a_[MPa]" numFmtId="0">
      <sharedItems containsSemiMixedTypes="0" containsString="0" containsNumber="1" minValue="0" maxValue="1.28975"/>
    </cacheField>
    <cacheField name="Ah, bar_x000a_[mm2]" numFmtId="0">
      <sharedItems containsMixedTypes="1" containsNumber="1" minValue="0" maxValue="400"/>
    </cacheField>
    <cacheField name="sh_x000a_[mm]" numFmtId="0">
      <sharedItems containsSemiMixedTypes="0" containsString="0" containsNumber="1" minValue="0" maxValue="2641.6"/>
    </cacheField>
    <cacheField name="P_x000a_[kN]" numFmtId="0">
      <sharedItems containsSemiMixedTypes="0" containsString="0" containsNumber="1" minValue="0" maxValue="839"/>
    </cacheField>
    <cacheField name="σgross_x000a_[MPa]" numFmtId="0">
      <sharedItems containsSemiMixedTypes="0" containsString="0" containsNumber="1" minValue="0" maxValue="2.7772260840781198" count="58">
        <n v="0.60031348334301626"/>
        <n v="1.4579041738330392"/>
        <n v="1.0291088285880277"/>
        <n v="1.2863860357350343"/>
        <n v="1.2006269666860325"/>
        <n v="1.3935848720462876"/>
        <n v="1.5007837083575402"/>
        <n v="2.2297357952740597"/>
        <n v="2.4012539333720651"/>
        <n v="2.0582176571760553"/>
        <n v="0"/>
        <n v="0.40833333333333338"/>
        <n v="0.204375"/>
        <n v="0.16333333333333333"/>
        <n v="0.32666666666666666"/>
        <n v="0.65333333333333332"/>
        <n v="0.98"/>
        <n v="1.7236899999999999"/>
        <n v="0.7969234993723614"/>
        <n v="0.57031018201529171"/>
        <n v="0.55142573890220259"/>
        <n v="0.58919462512838072"/>
        <n v="0.49"/>
        <n v="1.47"/>
        <n v="0.98360655737704916"/>
        <n v="0.74033842411947126"/>
        <n v="0.68947599999999998"/>
        <n v="1.378952"/>
        <n v="0.66666666666666663"/>
        <n v="0.48127619305123698"/>
        <n v="0.48203109226731272"/>
        <n v="0.47964225179415054"/>
        <n v="0.47947366049299267"/>
        <n v="0.44669897032101757"/>
        <n v="0.47603591907389375"/>
        <n v="0.47767112793474836"/>
        <n v="0.46789824348879466"/>
        <n v="0.46954452017743153"/>
        <n v="0.47857239421387049"/>
        <n v="0.47345043408035531"/>
        <n v="0.48036351833820184"/>
        <n v="1.4186507936507935"/>
        <n v="0.57663690476190477"/>
        <n v="0.5"/>
        <n v="1.25"/>
        <n v="0.75"/>
        <n v="9.5870123258004133E-2"/>
        <n v="0.2833222797927461"/>
        <n v="9.6560831011688553E-2"/>
        <n v="1.377027474346243"/>
        <n v="0.78119827871565706"/>
        <n v="2.0787818603111554"/>
        <n v="1.1684872558755379"/>
        <n v="2.7772260840781198"/>
        <n v="1.5590863952333665"/>
        <n v="1.0427010923535254"/>
        <n v="2.0125786163522013"/>
        <n v="0.56000000000000005"/>
      </sharedItems>
      <fieldGroup base="49">
        <rangePr startNum="0" endNum="2.7772260840781198" groupInterval="0.5"/>
        <groupItems count="8">
          <s v="&lt;0"/>
          <s v="0-0.5"/>
          <s v="0.5-1"/>
          <s v="1-1.5"/>
          <s v="1.5-2"/>
          <s v="2-2.5"/>
          <s v="2.5-3"/>
          <s v="&gt;3"/>
        </groupItems>
      </fieldGroup>
    </cacheField>
    <cacheField name="σgross/f'm_x000a_[MPa]" numFmtId="0">
      <sharedItems containsSemiMixedTypes="0" containsString="0" containsNumber="1" minValue="0" maxValue="0.25305113091657144" count="67">
        <n v="4.9419532644304126E-2"/>
        <n v="0.10713863708638813"/>
        <n v="8.4719198818807059E-2"/>
        <n v="9.7057991951123829E-2"/>
        <n v="0.10108202586397737"/>
        <n v="9.8749395554557626E-2"/>
        <n v="0.11299049687254895"/>
        <n v="0.11639253360731951"/>
        <n v="0.18582704956025242"/>
        <n v="0.18138537105429914"/>
        <n v="0.1715326611325407"/>
        <n v="0"/>
        <n v="4.2268969502599216E-2"/>
        <n v="2.1156050552066239E-2"/>
        <n v="1.6907587801039684E-2"/>
        <n v="2.4153696858628119E-2"/>
        <n v="4.8307393717256238E-2"/>
        <n v="7.2461090575884346E-2"/>
        <n v="0.11096316023080337"/>
        <n v="6.7592945096839316E-2"/>
        <n v="4.8372202415273624E-2"/>
        <n v="4.6770473858476491E-2"/>
        <n v="4.9973930972070757E-2"/>
        <n v="3.349165541242486E-2"/>
        <n v="6.6983310824849721E-2"/>
        <n v="0.10047496623727457"/>
        <n v="6.4502447460966394E-2"/>
        <n v="0.12900489492193279"/>
        <n v="5.9371570958389519E-2"/>
        <n v="3.6701737215561532E-2"/>
        <n v="4.1328006612481059E-2"/>
        <n v="7.3457132326692917E-2"/>
        <n v="4.4854630809324815E-2"/>
        <n v="8.970926161864963E-2"/>
        <n v="0.12820512820512819"/>
        <n v="3.4657210745783672E-2"/>
        <n v="3.4711571841555926E-2"/>
        <n v="3.4539548897326008E-2"/>
        <n v="3.452740845834628E-2"/>
        <n v="3.2167268146363344E-2"/>
        <n v="3.4279853040955134E-2"/>
        <n v="4.056545279465807E-2"/>
        <n v="3.973550629072338E-2"/>
        <n v="3.9875313692499123E-2"/>
        <n v="4.0641991384836665E-2"/>
        <n v="4.02070171528571E-2"/>
        <n v="4.0794099722280208E-2"/>
        <n v="8.0281109077411192E-2"/>
        <n v="3.2631744511360319E-2"/>
        <n v="9.4887514101201109E-2"/>
        <n v="0.23721878525300277"/>
        <n v="6.2845911670149038E-2"/>
        <n v="6.7947511074124235E-3"/>
        <n v="2.4919999566637648E-2"/>
        <n v="9.700349926082685E-3"/>
        <n v="0.12546992903610693"/>
        <n v="5.4483499574320901E-2"/>
        <n v="0.18941133517950759"/>
        <n v="8.1494387075149485E-2"/>
        <n v="0.25305113091657144"/>
        <n v="0.19369345823243744"/>
        <n v="0.10873613686230993"/>
        <n v="9.0334636777919017E-2"/>
        <n v="6.0414884469308892E-2"/>
        <n v="9.50072779960906E-2"/>
        <n v="0.16013388559537811"/>
        <n v="0.13579894447262034"/>
      </sharedItems>
      <fieldGroup base="50">
        <rangePr startNum="0" endNum="0.25305113091657144" groupInterval="0.05"/>
        <groupItems count="8">
          <s v="&lt;0"/>
          <s v="0-0.05"/>
          <s v="0.05-0.1"/>
          <s v="0.1-0.15"/>
          <s v="0.15-0.2"/>
          <s v="0.2-0.25"/>
          <s v="0.25-0.3"/>
          <s v="&gt;0.3"/>
        </groupItems>
      </fieldGroup>
    </cacheField>
    <cacheField name="σnet_x000a_[MPa]" numFmtId="0">
      <sharedItems containsSemiMixedTypes="0" containsString="0" containsNumber="1" minValue="0" maxValue="4.0946803318692044"/>
    </cacheField>
    <cacheField name="Vmin_x000a_[kN]" numFmtId="0">
      <sharedItems containsMixedTypes="1" containsNumber="1" minValue="53" maxValue="330.38"/>
    </cacheField>
    <cacheField name="Vmax_x000a_[kN]" numFmtId="0">
      <sharedItems containsMixedTypes="1" containsNumber="1" minValue="24.465210000000003" maxValue="772.21312"/>
    </cacheField>
    <cacheField name="Vavg_x000a_[kN]" numFmtId="0">
      <sharedItems containsSemiMixedTypes="0" containsString="0" containsNumber="1" minValue="24.465210000000003" maxValue="772.21312"/>
    </cacheField>
    <cacheField name="kavg" numFmtId="0">
      <sharedItems containsSemiMixedTypes="0" containsString="0" containsNumber="1" minValue="0.94" maxValue="1"/>
    </cacheField>
    <cacheField name="kmono" numFmtId="0">
      <sharedItems containsSemiMixedTypes="0" containsString="0" containsNumber="1" minValue="0.81399999999999995" maxValue="1"/>
    </cacheField>
    <cacheField name="krate" numFmtId="0">
      <sharedItems containsSemiMixedTypes="0" containsString="0" containsNumber="1" minValue="0.9" maxValue="1"/>
    </cacheField>
    <cacheField name="Vcor_x000a_[kN]" numFmtId="1">
      <sharedItems containsSemiMixedTypes="0" containsString="0" containsNumber="1" minValue="18.719800083599999" maxValue="590.86659089919988"/>
    </cacheField>
    <cacheField name="vmax,gross_x000a_[MPa]" numFmtId="2">
      <sharedItems containsSemiMixedTypes="0" containsString="0" containsNumber="1" minValue="0.19019137500000002" maxValue="1.6960093473775093" count="228">
        <n v="0.42400233684437733"/>
        <n v="1.0297199609077736"/>
        <n v="0.72686114887607556"/>
        <n v="0.90857643609509431"/>
        <n v="0.84800467368875465"/>
        <n v="0.98429113910301902"/>
        <n v="1.0600058421109435"/>
        <n v="1.57486582256483"/>
        <n v="1.6960093473775093"/>
        <n v="1.4537222977521511"/>
        <n v="0.39190949999999997"/>
        <n v="0.49949250000000001"/>
        <n v="0.65702475000000005"/>
        <n v="0.21132375"/>
        <n v="0.24398287499999999"/>
        <n v="0.51870374999999991"/>
        <n v="0.19019137500000002"/>
        <n v="0.54367837500000005"/>
        <n v="0.42264750000000001"/>
        <n v="0.41267629333333333"/>
        <n v="0.38564063999999992"/>
        <n v="0.61722906666666666"/>
        <n v="0.74169509333333317"/>
        <n v="0.3478927466666667"/>
        <n v="0.51112688000000006"/>
        <n v="0.33182438666666658"/>
        <n v="0.80163262666666657"/>
        <n v="0.87585314666666647"/>
        <n v="0.82356721333333316"/>
        <n v="0.47822499999999996"/>
        <n v="0.67568647999999998"/>
        <n v="0.73773931999999998"/>
        <n v="0.4758879664498461"/>
        <n v="0.88379193769257125"/>
        <n v="0.69494750656168003"/>
        <n v="0.91967237960744075"/>
        <n v="0.33950892857142856"/>
        <n v="0.4464285714285714"/>
        <n v="0.6651785714285714"/>
        <n v="0.44"/>
        <n v="0.61"/>
        <n v="0.45500000000000002"/>
        <n v="0.59500000000000008"/>
        <n v="0.56999999999999995"/>
        <n v="0.53"/>
        <n v="0.29499999999999998"/>
        <n v="0.36500000000000005"/>
        <n v="0.41499999999999998"/>
        <n v="0.45"/>
        <n v="0.55999999999999994"/>
        <n v="0.69000000000000006"/>
        <n v="0.72000000000000008"/>
        <n v="0.90500000000000003"/>
        <n v="0.47000000000000003"/>
        <n v="0.74"/>
        <n v="0.84000000000000008"/>
        <n v="0.95"/>
        <n v="0.67500000000000004"/>
        <n v="0.8"/>
        <n v="0.84500000000000008"/>
        <n v="0.93"/>
        <n v="0.88500000000000012"/>
        <n v="0.78500000000000014"/>
        <n v="0.54"/>
        <n v="0.54500000000000004"/>
        <n v="0.50682950819672135"/>
        <n v="0.62687213114754092"/>
        <n v="0.54458360655737714"/>
        <n v="0.62070819672131139"/>
        <n v="0.4008098360655738"/>
        <n v="0.46321967213114745"/>
        <n v="0.53811147540983606"/>
        <n v="0.6660131147540983"/>
        <n v="0.72179672131147543"/>
        <n v="0.44765573770491801"/>
        <n v="0.55588278543307101"/>
        <n v="0.62760959645669301"/>
        <n v="0.67542747047244078"/>
        <n v="1.0759021653543306"/>
        <n v="0.59712570177165347"/>
        <n v="0.6156551279527559"/>
        <n v="0.66945023622047251"/>
        <n v="0.6037006594488189"/>
        <n v="0.6574957677165354"/>
        <n v="0.62163236220472429"/>
        <n v="0.63956406496063001"/>
        <n v="0.58457350984251955"/>
        <n v="0.48319797910087636"/>
        <n v="0.60282009088608357"/>
        <n v="0.61506487398220711"/>
        <n v="0.8279357185763554"/>
        <n v="0.63861253378244487"/>
        <n v="0.67817260224684395"/>
        <n v="0.50486182611709496"/>
        <n v="0.71584885792722419"/>
        <n v="0.83170334414439351"/>
        <n v="0.676288789462825"/>
        <n v="0.41758410704321414"/>
        <n v="0.51628580507161015"/>
        <n v="0.43988535557071118"/>
        <n v="0.58398573067146142"/>
        <n v="0.23526111111111106"/>
        <n v="0.23711500000000002"/>
        <n v="0.25708999999999999"/>
        <n v="0.26912200000000003"/>
        <n v="0.28085111111111105"/>
        <n v="0.28289300000000001"/>
        <n v="0.31684917308818894"/>
        <n v="0.58121340601655558"/>
        <n v="0.45086371668650144"/>
        <n v="0.40665134513992157"/>
        <n v="0.45548152634766809"/>
        <n v="0.52205272458437013"/>
        <n v="0.44274165202108962"/>
        <n v="0.60137795275590544"/>
        <n v="0.59629268996357609"/>
        <n v="0.41241223919607045"/>
        <n v="0.64123258631132651"/>
        <n v="0.71629701756284025"/>
        <n v="0.53341269841269834"/>
        <n v="0.34690476190476194"/>
        <n v="0.44166666666666665"/>
        <n v="0.52916666666666667"/>
        <n v="0.77500000000000002"/>
        <n v="0.77916666666666656"/>
        <n v="0.5805555555555556"/>
        <n v="0.60771604938271606"/>
        <n v="0.55895061728395079"/>
        <n v="0.73179012345679018"/>
        <n v="0.50432098765432087"/>
        <n v="0.43835971172499766"/>
        <n v="0.46414557712058568"/>
        <n v="0.45309449195104795"/>
        <n v="0.52676839308129964"/>
        <n v="0.63359554972016463"/>
        <n v="0.73673901130251696"/>
        <n v="0.38720207253886008"/>
        <n v="0.23134715025906735"/>
        <n v="0.2934455958549223"/>
        <n v="0.2800518134715026"/>
        <n v="0.3784686773929643"/>
        <n v="0.36552957731115354"/>
        <n v="0.59196382874284159"/>
        <n v="0.4528685028633761"/>
        <n v="0.48359886555767662"/>
        <n v="0.4226324471247771"/>
        <n v="0.52302789433449415"/>
        <n v="0.49226154760893565"/>
        <n v="0.43592064480989939"/>
        <n v="0.44767580826544728"/>
        <n v="0.39967555748862688"/>
        <n v="0.5093904164070735"/>
        <n v="0.58579897886813448"/>
        <n v="0.75224270109235347"/>
        <n v="0.70437271102284005"/>
        <n v="0.69880054286660032"/>
        <n v="0.68411028136378682"/>
        <n v="0.66131504799735175"/>
        <n v="0.6894291691492882"/>
        <n v="0.65194367428003952"/>
        <n v="0.67347250579278373"/>
        <n v="0.65700928169480288"/>
        <n v="0.69677429990069506"/>
        <n v="0.71298424362793755"/>
        <n v="0.70513255213505455"/>
        <n v="0.70589239324726893"/>
        <n v="0.72843434624296588"/>
        <n v="0.70639895398874519"/>
        <n v="0.37865415425355842"/>
        <n v="0.372068864614366"/>
        <n v="0.39815674280039715"/>
        <n v="0.97360974511751053"/>
        <n v="0.87786976497848401"/>
        <n v="1.0627644356173453"/>
        <n v="0.88116240979807992"/>
        <n v="0.85380812975835807"/>
        <n v="0.98804672624958634"/>
        <n v="0.97310318437603416"/>
        <n v="0.91763478318437608"/>
        <n v="0.82316120489903999"/>
        <n v="0.85710077457795408"/>
        <n v="0.90167811982787149"/>
        <n v="0.94701530619000307"/>
        <n v="0.91282245614035074"/>
        <n v="0.88572145647136702"/>
        <n v="0.95689324064879178"/>
        <n v="0.47211461105594171"/>
        <n v="0.50605418073485597"/>
        <n v="0.54581919894074815"/>
        <n v="1.1638233035418732"/>
        <n v="1.0219862959285002"/>
        <n v="1.0982236875206886"/>
        <n v="1.0501004170804369"/>
        <n v="0.99741809996689834"/>
        <n v="1.0181870903674279"/>
        <n v="1.1068352201257861"/>
        <n v="0.99615169811320747"/>
        <n v="1.0782145382323733"/>
        <n v="1.0728956504468719"/>
        <n v="1.0154010062893077"/>
        <n v="1.0280650248262162"/>
        <n v="1.0392093611386959"/>
        <n v="1.1063286593843098"/>
        <n v="1.1230451638530283"/>
        <n v="0.58533093677590187"/>
        <n v="0.63522716981132077"/>
        <n v="0.60078103939093008"/>
        <n v="0.55037824561403503"/>
        <n v="0.52682317113538557"/>
        <n v="0.53214205892088695"/>
        <n v="0.52353052631578934"/>
        <n v="0.53695438596491218"/>
        <n v="0.88825426017874853"/>
        <n v="0.81834887785501476"/>
        <n v="0.85912701754385956"/>
        <n v="0.81151030784508427"/>
        <n v="0.84747612048990395"/>
        <n v="0.84393019529956947"/>
        <n v="0.77665111270638909"/>
        <n v="0.74872577171572152"/>
        <n v="1.0529791816223979"/>
        <n v="1.0765793251974156"/>
        <n v="0.8363072255929398"/>
        <n v="0.92773028130170976"/>
        <n v="0.58141202426916705"/>
        <n v="0.71976911976911973"/>
        <n v="0.93134920634920648"/>
        <n v="0.71544011544011543"/>
      </sharedItems>
      <fieldGroup base="59">
        <rangePr autoStart="0" startNum="0.18" endNum="1.6960093473775093" groupInterval="0.2"/>
        <groupItems count="10">
          <s v="&lt;0.18"/>
          <s v="0.18-0.38"/>
          <s v="0.38-0.58"/>
          <s v="0.58-0.78"/>
          <s v="0.78-0.98"/>
          <s v="0.98-1.18"/>
          <s v="1.18-1.38"/>
          <s v="1.38-1.58"/>
          <s v="1.58-1.78"/>
          <s v="&gt;1.78"/>
        </groupItems>
      </fieldGroup>
    </cacheField>
    <cacheField name="vmax,net_x000a_[MPa]" numFmtId="2">
      <sharedItems containsSemiMixedTypes="0" containsString="0" containsNumber="1" minValue="0.26306619024291855" maxValue="2.7656616594744396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239">
  <r>
    <n v="1"/>
    <s v="Scrivener (1967)"/>
    <s v="C1"/>
    <x v="0"/>
    <x v="0"/>
    <x v="0"/>
    <x v="0"/>
    <n v="2641.6"/>
    <x v="0"/>
    <x v="0"/>
    <x v="0"/>
    <n v="1950.7199999999998"/>
    <x v="0"/>
    <n v="1.0833333333333335"/>
    <n v="1.0833333333333335"/>
    <n v="123870.71999999997"/>
    <n v="348386.39999999997"/>
    <x v="0"/>
    <n v="14.410048399999999"/>
    <n v="19.856908799999999"/>
    <x v="0"/>
    <n v="31.5090532"/>
    <x v="0"/>
    <n v="12.147291793788456"/>
    <s v="-"/>
    <s v="-"/>
    <s v="-"/>
    <s v="-"/>
    <n v="1"/>
    <x v="0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209.14105333333336"/>
    <x v="0"/>
    <x v="0"/>
    <n v="1.6883816719022333"/>
    <s v="-"/>
    <n v="193.05328"/>
    <n v="193.05328"/>
    <n v="0.94"/>
    <n v="0.81399999999999995"/>
    <n v="1"/>
    <n v="147.71664772479997"/>
    <x v="0"/>
    <n v="1.1925065723748114"/>
  </r>
  <r>
    <n v="2"/>
    <s v="Scrivener (1967)"/>
    <s v="D2"/>
    <x v="0"/>
    <x v="0"/>
    <x v="0"/>
    <x v="0"/>
    <n v="2641.6"/>
    <x v="0"/>
    <x v="0"/>
    <x v="0"/>
    <n v="1950.7199999999998"/>
    <x v="0"/>
    <n v="1.0833333333333335"/>
    <n v="1.0833333333333335"/>
    <n v="159779.96999999997"/>
    <n v="348386.39999999997"/>
    <x v="1"/>
    <n v="20.132699199999998"/>
    <n v="21.9253368"/>
    <x v="1"/>
    <n v="36.059594799999999"/>
    <x v="1"/>
    <n v="13.607641589256922"/>
    <s v="-"/>
    <s v="-"/>
    <s v="-"/>
    <s v="-"/>
    <n v="1"/>
    <x v="1"/>
    <s v="(2)5/8&quot;"/>
    <s v="-"/>
    <n v="197.93260902246004"/>
    <n v="395.86521804492008"/>
    <x v="1"/>
    <n v="285"/>
    <n v="0.40480048569204424"/>
    <n v="2238.3999999999996"/>
    <s v="-"/>
    <n v="0"/>
    <s v="-"/>
    <n v="0"/>
    <n v="0"/>
    <x v="0"/>
    <n v="0"/>
    <n v="0"/>
    <n v="0"/>
    <n v="0"/>
    <n v="507.91398666666669"/>
    <x v="1"/>
    <x v="1"/>
    <n v="3.1788339093233446"/>
    <s v="-"/>
    <n v="468.84368000000001"/>
    <n v="468.84368000000001"/>
    <n v="0.94"/>
    <n v="0.81399999999999995"/>
    <n v="1"/>
    <n v="358.74043018879996"/>
    <x v="1"/>
    <n v="2.2452152806687846"/>
  </r>
  <r>
    <n v="3"/>
    <s v="Scrivener (1967)"/>
    <s v="C10"/>
    <x v="0"/>
    <x v="0"/>
    <x v="0"/>
    <x v="0"/>
    <n v="2641.6"/>
    <x v="0"/>
    <x v="0"/>
    <x v="0"/>
    <n v="1950.7199999999998"/>
    <x v="0"/>
    <n v="1.0833333333333335"/>
    <n v="1.0833333333333335"/>
    <n v="123870.71999999997"/>
    <n v="348386.39999999997"/>
    <x v="0"/>
    <n v="14.410048399999999"/>
    <n v="19.856908799999999"/>
    <x v="0"/>
    <n v="31.5090532"/>
    <x v="0"/>
    <n v="12.147291793788456"/>
    <s v="-"/>
    <s v="-"/>
    <s v="-"/>
    <s v="-"/>
    <n v="1"/>
    <x v="0"/>
    <s v="-"/>
    <s v="-"/>
    <n v="0"/>
    <n v="0"/>
    <x v="0"/>
    <n v="0"/>
    <n v="0"/>
    <n v="0"/>
    <s v="(2)5/8&quot;+(2)1/2&quot;"/>
    <n v="649.21895759366896"/>
    <s v="-"/>
    <n v="0"/>
    <n v="649.21895759366896"/>
    <x v="1"/>
    <n v="291.63414634146346"/>
    <n v="0.50165629485808172"/>
    <n v="324.60947879683448"/>
    <n v="1320.8"/>
    <n v="358.52752000000004"/>
    <x v="2"/>
    <x v="2"/>
    <n v="2.8943685804038282"/>
    <s v="-"/>
    <n v="330.94848000000002"/>
    <n v="330.94848000000002"/>
    <n v="0.94"/>
    <n v="0.81399999999999995"/>
    <n v="1"/>
    <n v="253.22853895679995"/>
    <x v="2"/>
    <n v="2.0442969812139626"/>
  </r>
  <r>
    <n v="4"/>
    <s v="Scrivener (1967)"/>
    <s v="C7"/>
    <x v="0"/>
    <x v="0"/>
    <x v="0"/>
    <x v="0"/>
    <n v="2641.6"/>
    <x v="0"/>
    <x v="0"/>
    <x v="0"/>
    <n v="1950.7199999999998"/>
    <x v="0"/>
    <n v="1.0833333333333335"/>
    <n v="1.0833333333333335"/>
    <n v="159779.96999999997"/>
    <n v="348386.39999999997"/>
    <x v="1"/>
    <n v="20.132699199999998"/>
    <n v="21.9253368"/>
    <x v="1"/>
    <n v="31.5090532"/>
    <x v="0"/>
    <n v="13.253787863062618"/>
    <s v="-"/>
    <s v="-"/>
    <s v="-"/>
    <s v="-"/>
    <n v="1"/>
    <x v="2"/>
    <s v="(2)5/8&quot;"/>
    <s v="-"/>
    <n v="197.93260902246004"/>
    <n v="395.86521804492008"/>
    <x v="1"/>
    <n v="285"/>
    <n v="0.40480048569204424"/>
    <n v="2238.3999999999996"/>
    <s v="(2)1/2&quot;"/>
    <n v="253.35373954874885"/>
    <s v="-"/>
    <n v="0"/>
    <n v="253.35373954874885"/>
    <x v="2"/>
    <n v="302"/>
    <n v="0.43580801447596024"/>
    <n v="126.67686977437442"/>
    <n v="1320.8"/>
    <n v="448.15939999999995"/>
    <x v="3"/>
    <x v="3"/>
    <n v="2.8048534494029509"/>
    <s v="-"/>
    <n v="413.68559999999997"/>
    <n v="413.68559999999997"/>
    <n v="0.94"/>
    <n v="0.81399999999999995"/>
    <n v="1"/>
    <n v="316.53567369599995"/>
    <x v="3"/>
    <n v="1.9810723064724571"/>
  </r>
  <r>
    <n v="5"/>
    <s v="Scrivener (1967)"/>
    <s v="C8"/>
    <x v="0"/>
    <x v="0"/>
    <x v="0"/>
    <x v="0"/>
    <n v="2641.6"/>
    <x v="0"/>
    <x v="0"/>
    <x v="0"/>
    <n v="1950.7199999999998"/>
    <x v="0"/>
    <n v="1.0833333333333335"/>
    <n v="1.0833333333333335"/>
    <n v="177734.59499999997"/>
    <n v="348386.39999999997"/>
    <x v="2"/>
    <n v="14.410048399999999"/>
    <n v="19.856908799999999"/>
    <x v="0"/>
    <n v="31.5090532"/>
    <x v="0"/>
    <n v="11.877749346868802"/>
    <s v="-"/>
    <s v="-"/>
    <s v="-"/>
    <s v="-"/>
    <n v="1"/>
    <x v="3"/>
    <s v="(2)5/8&quot;"/>
    <s v="(1)1/2&quot;"/>
    <s v="127, 198"/>
    <n v="522.54208781929447"/>
    <x v="2"/>
    <n v="231.29696969696974"/>
    <n v="0.43365068732494527"/>
    <n v="1119.1999999999998"/>
    <s v="(1)1/2&quot;"/>
    <n v="126.67686977437442"/>
    <s v="-"/>
    <n v="0"/>
    <n v="126.67686977437442"/>
    <x v="3"/>
    <n v="302"/>
    <n v="0.10136335271197837"/>
    <n v="126.67686977437442"/>
    <n v="2641.6"/>
    <n v="418.28210666666672"/>
    <x v="4"/>
    <x v="4"/>
    <n v="2.3534085002791203"/>
    <s v="-"/>
    <n v="386.10656"/>
    <n v="386.10656"/>
    <n v="0.94"/>
    <n v="0.81399999999999995"/>
    <n v="1"/>
    <n v="295.43329544959994"/>
    <x v="4"/>
    <n v="1.6622160443756038"/>
  </r>
  <r>
    <n v="6"/>
    <s v="Scrivener (1967)"/>
    <s v="C9"/>
    <x v="0"/>
    <x v="0"/>
    <x v="0"/>
    <x v="0"/>
    <n v="2641.6"/>
    <x v="0"/>
    <x v="0"/>
    <x v="0"/>
    <n v="1950.7199999999998"/>
    <x v="0"/>
    <n v="1.0833333333333335"/>
    <n v="1.0833333333333335"/>
    <n v="195689.21999999997"/>
    <n v="348386.39999999997"/>
    <x v="3"/>
    <n v="20.132699199999998"/>
    <n v="21.9253368"/>
    <x v="1"/>
    <n v="31.5090532"/>
    <x v="0"/>
    <n v="13.026773769205752"/>
    <s v="-"/>
    <s v="-"/>
    <s v="-"/>
    <s v="-"/>
    <n v="1"/>
    <x v="4"/>
    <s v="(2)5/8&quot;"/>
    <s v="(2)1/2&quot;"/>
    <s v="127, 198"/>
    <n v="649.21895759366896"/>
    <x v="3"/>
    <n v="233.30731707317076"/>
    <n v="0.54346098609625526"/>
    <n v="746.13333333333321"/>
    <s v="-"/>
    <n v="0"/>
    <s v="-"/>
    <n v="0"/>
    <n v="0"/>
    <x v="0"/>
    <n v="0"/>
    <n v="0"/>
    <n v="0"/>
    <n v="0"/>
    <n v="448.15939999999995"/>
    <x v="3"/>
    <x v="5"/>
    <n v="2.2901588549435683"/>
    <s v="-"/>
    <n v="413.68559999999997"/>
    <n v="413.68559999999997"/>
    <n v="0.94"/>
    <n v="0.81399999999999995"/>
    <n v="1"/>
    <n v="316.53567369599995"/>
    <x v="3"/>
    <n v="1.6175427225679575"/>
  </r>
  <r>
    <n v="7"/>
    <s v="Scrivener (1967)"/>
    <s v="D11"/>
    <x v="0"/>
    <x v="0"/>
    <x v="0"/>
    <x v="0"/>
    <n v="2641.6"/>
    <x v="0"/>
    <x v="0"/>
    <x v="0"/>
    <n v="1950.7199999999998"/>
    <x v="0"/>
    <n v="1.0833333333333335"/>
    <n v="1.0833333333333335"/>
    <n v="159779.96999999997"/>
    <n v="348386.39999999997"/>
    <x v="1"/>
    <n v="14.410048399999999"/>
    <n v="19.856908799999999"/>
    <x v="0"/>
    <n v="36.059594799999999"/>
    <x v="1"/>
    <n v="12.333646727991859"/>
    <s v="-"/>
    <s v="-"/>
    <s v="-"/>
    <s v="-"/>
    <n v="1"/>
    <x v="5"/>
    <s v="(2)5/8&quot;+(2)1/2&quot;"/>
    <s v="-"/>
    <s v="127, 198"/>
    <n v="649.21895759366896"/>
    <x v="3"/>
    <n v="235.74634146341464"/>
    <n v="0.54914239642175755"/>
    <n v="2238.3999999999996"/>
    <s v="-"/>
    <n v="0"/>
    <s v="-"/>
    <n v="0"/>
    <n v="0"/>
    <x v="0"/>
    <n v="0"/>
    <n v="0"/>
    <n v="0"/>
    <n v="0"/>
    <n v="485.50601666666671"/>
    <x v="5"/>
    <x v="6"/>
    <n v="3.0385912368531973"/>
    <s v="-"/>
    <n v="448.15940000000001"/>
    <n v="448.15940000000001"/>
    <n v="0.94"/>
    <n v="0.81399999999999995"/>
    <n v="1"/>
    <n v="342.91364650399998"/>
    <x v="5"/>
    <n v="2.1461616653451618"/>
  </r>
  <r>
    <n v="8"/>
    <s v="Scrivener (1967)"/>
    <s v="C3"/>
    <x v="0"/>
    <x v="0"/>
    <x v="0"/>
    <x v="0"/>
    <n v="2641.6"/>
    <x v="0"/>
    <x v="0"/>
    <x v="0"/>
    <n v="1950.7199999999998"/>
    <x v="0"/>
    <n v="1.0833333333333335"/>
    <n v="1.0833333333333335"/>
    <n v="213643.84499999997"/>
    <n v="348386.39999999997"/>
    <x v="4"/>
    <n v="20.132699199999998"/>
    <n v="21.9253368"/>
    <x v="1"/>
    <n v="31.5090532"/>
    <x v="0"/>
    <n v="12.89415791412209"/>
    <s v="-"/>
    <s v="-"/>
    <s v="-"/>
    <s v="-"/>
    <n v="1"/>
    <x v="6"/>
    <s v="(2)5/8&quot;"/>
    <s v="(3)1/2&quot;"/>
    <s v="127, 198"/>
    <n v="775.89582736804346"/>
    <x v="4"/>
    <n v="234.6612244897959"/>
    <n v="0.65327128486756514"/>
    <n v="559.59999999999991"/>
    <s v="-"/>
    <n v="0"/>
    <s v="-"/>
    <n v="0"/>
    <n v="0"/>
    <x v="0"/>
    <n v="0"/>
    <n v="0"/>
    <n v="0"/>
    <n v="0"/>
    <n v="522.8526333333333"/>
    <x v="6"/>
    <x v="7"/>
    <n v="2.4473096022650846"/>
    <s v="-"/>
    <n v="482.63319999999999"/>
    <n v="482.63319999999999"/>
    <n v="0.94"/>
    <n v="0.81399999999999995"/>
    <n v="1"/>
    <n v="369.29161931199991"/>
    <x v="6"/>
    <n v="1.7285385371715247"/>
  </r>
  <r>
    <n v="9"/>
    <s v="Scrivener (1967)"/>
    <s v="D12"/>
    <x v="0"/>
    <x v="0"/>
    <x v="0"/>
    <x v="0"/>
    <n v="2641.6"/>
    <x v="0"/>
    <x v="0"/>
    <x v="0"/>
    <n v="1950.7199999999998"/>
    <x v="0"/>
    <n v="1.0833333333333335"/>
    <n v="1.0833333333333335"/>
    <n v="213643.84499999997"/>
    <n v="348386.39999999997"/>
    <x v="4"/>
    <n v="14.410048399999999"/>
    <n v="19.856908799999999"/>
    <x v="0"/>
    <n v="36.059594799999999"/>
    <x v="1"/>
    <n v="11.998984004484729"/>
    <s v="-"/>
    <s v="-"/>
    <s v="-"/>
    <s v="-"/>
    <n v="1"/>
    <x v="7"/>
    <s v="(2)5/8&quot;"/>
    <s v="(3)1/2&quot;"/>
    <s v="127, 198"/>
    <n v="775.89582736804346"/>
    <x v="4"/>
    <n v="236.70204081632653"/>
    <n v="0.65895269519306754"/>
    <n v="559.59999999999991"/>
    <s v="(2)1/2&quot;"/>
    <n v="253.35373954874885"/>
    <s v="-"/>
    <n v="0"/>
    <n v="253.35373954874885"/>
    <x v="2"/>
    <n v="302"/>
    <n v="0.20272670542395674"/>
    <n v="126.67686977437442"/>
    <n v="1320.8"/>
    <n v="776.80962666666665"/>
    <x v="7"/>
    <x v="8"/>
    <n v="3.6360028376509832"/>
    <s v="-"/>
    <n v="717.05503999999996"/>
    <n v="717.05503999999996"/>
    <n v="0.94"/>
    <n v="0.81399999999999995"/>
    <n v="1"/>
    <n v="548.66183440639986"/>
    <x v="7"/>
    <n v="2.568114398083408"/>
  </r>
  <r>
    <n v="10"/>
    <s v="Scrivener (1967)"/>
    <s v="D4"/>
    <x v="0"/>
    <x v="0"/>
    <x v="0"/>
    <x v="0"/>
    <n v="2641.6"/>
    <x v="0"/>
    <x v="0"/>
    <x v="0"/>
    <n v="1950.7199999999998"/>
    <x v="0"/>
    <n v="1.0833333333333335"/>
    <n v="1.0833333333333335"/>
    <n v="213643.84499999997"/>
    <n v="348386.39999999997"/>
    <x v="4"/>
    <n v="20.132699199999998"/>
    <n v="21.9253368"/>
    <x v="1"/>
    <n v="36.059594799999999"/>
    <x v="1"/>
    <n v="13.238410128748646"/>
    <s v="-"/>
    <s v="-"/>
    <s v="-"/>
    <s v="-"/>
    <n v="1"/>
    <x v="8"/>
    <s v="(2)5/8&quot;"/>
    <s v="(3)1/2&quot;"/>
    <s v="127, 198"/>
    <n v="775.89582736804346"/>
    <x v="4"/>
    <n v="236.70204081632653"/>
    <n v="0.65895269519306754"/>
    <n v="559.59999999999991"/>
    <s v="(4)1/2&quot;"/>
    <n v="506.7074790974977"/>
    <s v="-"/>
    <n v="0"/>
    <n v="506.7074790974977"/>
    <x v="4"/>
    <n v="302"/>
    <n v="0.40545341084791348"/>
    <n v="126.67686977437442"/>
    <n v="660.4"/>
    <n v="836.56421333333344"/>
    <x v="8"/>
    <x v="9"/>
    <n v="3.9156953636241365"/>
    <s v="-"/>
    <n v="772.21312"/>
    <n v="772.21312"/>
    <n v="0.94"/>
    <n v="0.81399999999999995"/>
    <n v="1"/>
    <n v="590.86659089919988"/>
    <x v="8"/>
    <n v="2.7656616594744396"/>
  </r>
  <r>
    <n v="11"/>
    <s v="Scrivener (1967)"/>
    <s v="D13"/>
    <x v="0"/>
    <x v="0"/>
    <x v="0"/>
    <x v="0"/>
    <n v="2641.6"/>
    <x v="0"/>
    <x v="0"/>
    <x v="0"/>
    <n v="1950.7199999999998"/>
    <x v="0"/>
    <n v="1.0833333333333335"/>
    <n v="1.0833333333333335"/>
    <n v="213643.84499999997"/>
    <n v="348386.39999999997"/>
    <x v="4"/>
    <n v="14.410048399999999"/>
    <n v="19.856908799999999"/>
    <x v="0"/>
    <n v="36.059594799999999"/>
    <x v="1"/>
    <n v="11.998984004484729"/>
    <s v="-"/>
    <s v="-"/>
    <s v="-"/>
    <s v="-"/>
    <n v="1"/>
    <x v="7"/>
    <s v="(2)5/8&quot;"/>
    <s v="(3)5/8&quot;"/>
    <n v="197.93260902246004"/>
    <n v="989.66304511230021"/>
    <x v="5"/>
    <n v="302"/>
    <n v="1.0723661989385733"/>
    <n v="559.59999999999991"/>
    <s v="(3)5/8&quot;"/>
    <n v="593.79782706738013"/>
    <s v="-"/>
    <n v="0"/>
    <n v="593.79782706738013"/>
    <x v="5"/>
    <n v="290"/>
    <n v="0.45626095229419072"/>
    <n v="197.93260902246004"/>
    <n v="880.5333333333333"/>
    <n v="717.05504000000008"/>
    <x v="9"/>
    <x v="10"/>
    <n v="3.3563103116778308"/>
    <s v="-"/>
    <n v="661.89696000000004"/>
    <n v="661.89696000000004"/>
    <n v="0.94"/>
    <n v="0.81399999999999995"/>
    <n v="1"/>
    <n v="506.4570779135999"/>
    <x v="9"/>
    <n v="2.3705671366923768"/>
  </r>
  <r>
    <n v="12"/>
    <s v="Scrivener (1967)"/>
    <s v="D14"/>
    <x v="0"/>
    <x v="0"/>
    <x v="0"/>
    <x v="0"/>
    <n v="2641.6"/>
    <x v="0"/>
    <x v="0"/>
    <x v="0"/>
    <n v="1950.7199999999998"/>
    <x v="0"/>
    <n v="1.0833333333333335"/>
    <n v="1.0833333333333335"/>
    <n v="213643.84499999997"/>
    <n v="348386.39999999997"/>
    <x v="4"/>
    <n v="20.132699199999998"/>
    <n v="21.9253368"/>
    <x v="1"/>
    <n v="36.059594799999999"/>
    <x v="1"/>
    <n v="13.238410128748646"/>
    <s v="-"/>
    <s v="-"/>
    <s v="-"/>
    <s v="-"/>
    <n v="1"/>
    <x v="8"/>
    <s v="(2)5/8&quot;"/>
    <s v="(3)5/8&quot;"/>
    <n v="197.93260902246004"/>
    <n v="989.66304511230021"/>
    <x v="5"/>
    <n v="302"/>
    <n v="1.0723661989385733"/>
    <n v="559.59999999999991"/>
    <s v="(4)5/8&quot;"/>
    <n v="791.73043608984017"/>
    <s v="-"/>
    <n v="0"/>
    <n v="791.73043608984017"/>
    <x v="6"/>
    <n v="290"/>
    <n v="0.60834793639225415"/>
    <n v="197.93260902246004"/>
    <n v="660.4"/>
    <n v="836.56421333333344"/>
    <x v="8"/>
    <x v="9"/>
    <n v="3.9156953636241365"/>
    <s v="-"/>
    <n v="772.21312"/>
    <n v="772.21312"/>
    <n v="0.94"/>
    <n v="0.81399999999999995"/>
    <n v="1"/>
    <n v="590.86659089919988"/>
    <x v="8"/>
    <n v="2.7656616594744396"/>
  </r>
  <r>
    <n v="13"/>
    <s v="Meli et al. (1968)"/>
    <s v="Muro 309"/>
    <x v="1"/>
    <x v="0"/>
    <x v="0"/>
    <x v="1"/>
    <n v="2650"/>
    <x v="1"/>
    <x v="1"/>
    <x v="1"/>
    <n v="2560"/>
    <x v="1"/>
    <n v="0.828125"/>
    <n v="0.828125"/>
    <n v="327218"/>
    <n v="480000"/>
    <x v="5"/>
    <s v="-"/>
    <n v="25.800300000000004"/>
    <x v="2"/>
    <s v="-"/>
    <x v="2"/>
    <n v="10.3005"/>
    <s v="-"/>
    <n v="3"/>
    <n v="3.9333333333333331"/>
    <s v="-"/>
    <n v="0.93785320622293622"/>
    <x v="9"/>
    <s v="(3)#3"/>
    <s v="(2)2#4"/>
    <s v="71, 129"/>
    <n v="1245"/>
    <x v="6"/>
    <n v="245.25"/>
    <n v="0.79514648437500002"/>
    <n v="800"/>
    <s v="-"/>
    <n v="0"/>
    <s v="Ø2.5mm"/>
    <n v="9.8174770424681039"/>
    <n v="9.8174770424681039"/>
    <x v="7"/>
    <n v="245.25"/>
    <n v="8.0257874822176736E-2"/>
    <n v="9.8174770424681039"/>
    <n v="200"/>
    <n v="0"/>
    <x v="10"/>
    <x v="11"/>
    <n v="0"/>
    <s v="-"/>
    <n v="200.124"/>
    <n v="200.124"/>
    <n v="0.94"/>
    <n v="1"/>
    <n v="1"/>
    <n v="188.11655999999999"/>
    <x v="10"/>
    <n v="0.57489673550966025"/>
  </r>
  <r>
    <n v="14"/>
    <s v="Meli et al. (1968)"/>
    <s v="Muro 310"/>
    <x v="1"/>
    <x v="0"/>
    <x v="0"/>
    <x v="1"/>
    <n v="2650"/>
    <x v="1"/>
    <x v="1"/>
    <x v="1"/>
    <n v="2560"/>
    <x v="1"/>
    <n v="0.828125"/>
    <n v="0.828125"/>
    <n v="327218"/>
    <n v="480000"/>
    <x v="5"/>
    <s v="-"/>
    <n v="23.8383"/>
    <x v="3"/>
    <s v="-"/>
    <x v="2"/>
    <n v="10.3005"/>
    <s v="-"/>
    <n v="3"/>
    <n v="3.9333333333333331"/>
    <s v="-"/>
    <n v="0.93785320622293622"/>
    <x v="9"/>
    <s v="(3)#3"/>
    <s v="(2)2#4"/>
    <s v="71, 129"/>
    <n v="1245"/>
    <x v="6"/>
    <n v="245.25"/>
    <n v="0.79514648437500002"/>
    <n v="800"/>
    <s v="-"/>
    <n v="0"/>
    <s v="Ø2.5mm"/>
    <n v="9.8174770424681039"/>
    <n v="9.8174770424681039"/>
    <x v="7"/>
    <n v="245.25"/>
    <n v="8.0257874822176736E-2"/>
    <n v="9.8174770424681039"/>
    <n v="200"/>
    <n v="196"/>
    <x v="11"/>
    <x v="12"/>
    <n v="0.59898905316944673"/>
    <s v="-"/>
    <n v="255.06"/>
    <n v="255.06"/>
    <n v="0.94"/>
    <n v="1"/>
    <n v="1"/>
    <n v="239.75639999999999"/>
    <x v="11"/>
    <n v="0.73271152564956687"/>
  </r>
  <r>
    <n v="15"/>
    <s v="Meli et al. (1968)"/>
    <s v="Muro 311"/>
    <x v="1"/>
    <x v="0"/>
    <x v="0"/>
    <x v="1"/>
    <n v="2650"/>
    <x v="1"/>
    <x v="1"/>
    <x v="1"/>
    <n v="2560"/>
    <x v="1"/>
    <n v="0.828125"/>
    <n v="0.828125"/>
    <n v="327218"/>
    <n v="480000"/>
    <x v="5"/>
    <s v="-"/>
    <n v="20.895300000000002"/>
    <x v="4"/>
    <s v="-"/>
    <x v="2"/>
    <n v="10.3005"/>
    <s v="-"/>
    <n v="3"/>
    <n v="3.9333333333333331"/>
    <s v="-"/>
    <n v="0.93785320622293622"/>
    <x v="9"/>
    <s v="(3)#3"/>
    <s v="(2)2#4"/>
    <s v="71, 129"/>
    <n v="1245"/>
    <x v="6"/>
    <n v="245.25"/>
    <n v="0.79514648437500002"/>
    <n v="800"/>
    <s v="-"/>
    <n v="0"/>
    <s v="Ø2.5mm"/>
    <n v="9.8174770424681039"/>
    <n v="9.8174770424681039"/>
    <x v="7"/>
    <n v="245.25"/>
    <n v="8.0257874822176736E-2"/>
    <n v="9.8174770424681039"/>
    <n v="200"/>
    <n v="98.1"/>
    <x v="12"/>
    <x v="13"/>
    <n v="0.29980013324450366"/>
    <s v="-"/>
    <n v="335.50200000000007"/>
    <n v="335.50200000000007"/>
    <n v="0.94"/>
    <n v="1"/>
    <n v="1"/>
    <n v="315.37188000000003"/>
    <x v="12"/>
    <n v="0.96379746835443048"/>
  </r>
  <r>
    <n v="16"/>
    <s v="Meli et al. (1968)"/>
    <s v="Muro 312"/>
    <x v="1"/>
    <x v="0"/>
    <x v="0"/>
    <x v="1"/>
    <n v="2650"/>
    <x v="1"/>
    <x v="1"/>
    <x v="1"/>
    <n v="2560"/>
    <x v="1"/>
    <n v="0.828125"/>
    <n v="0.828125"/>
    <n v="347030"/>
    <n v="480000"/>
    <x v="6"/>
    <s v="-"/>
    <n v="15.696000000000002"/>
    <x v="5"/>
    <s v="-"/>
    <x v="2"/>
    <n v="10.3005"/>
    <s v="-"/>
    <n v="3"/>
    <n v="3.9333333333333331"/>
    <s v="-"/>
    <n v="0.93785320622293622"/>
    <x v="9"/>
    <s v="#3"/>
    <s v="(2)#4"/>
    <s v="71, 129"/>
    <n v="729"/>
    <x v="7"/>
    <n v="245.25"/>
    <n v="0.46559179687500002"/>
    <n v="1400"/>
    <s v="-"/>
    <n v="0"/>
    <s v="Ø2.5mm"/>
    <n v="9.8174770424681039"/>
    <n v="9.8174770424681039"/>
    <x v="7"/>
    <n v="245.25"/>
    <n v="8.0257874822176736E-2"/>
    <n v="9.8174770424681039"/>
    <n v="200"/>
    <n v="0"/>
    <x v="10"/>
    <x v="11"/>
    <n v="0"/>
    <s v="-"/>
    <n v="107.91000000000001"/>
    <n v="107.91000000000001"/>
    <n v="0.94"/>
    <n v="1"/>
    <n v="1"/>
    <n v="101.4354"/>
    <x v="13"/>
    <n v="0.29229576693657605"/>
  </r>
  <r>
    <n v="17"/>
    <s v="Meli et al. (1968)"/>
    <s v="Muro 313"/>
    <x v="1"/>
    <x v="0"/>
    <x v="0"/>
    <x v="1"/>
    <n v="2650"/>
    <x v="1"/>
    <x v="1"/>
    <x v="1"/>
    <n v="2560"/>
    <x v="1"/>
    <n v="0.828125"/>
    <n v="0.828125"/>
    <n v="347030"/>
    <n v="480000"/>
    <x v="6"/>
    <s v="-"/>
    <n v="22.7592"/>
    <x v="6"/>
    <s v="-"/>
    <x v="2"/>
    <n v="10.3005"/>
    <s v="-"/>
    <n v="3"/>
    <n v="3.9333333333333331"/>
    <s v="-"/>
    <n v="0.93785320622293622"/>
    <x v="9"/>
    <s v="#3"/>
    <s v="(2)#4"/>
    <s v="71, 129"/>
    <n v="729"/>
    <x v="7"/>
    <n v="245.25"/>
    <n v="0.46559179687500002"/>
    <n v="1400"/>
    <s v="-"/>
    <n v="0"/>
    <s v="Ø2.5mm"/>
    <n v="9.8174770424681039"/>
    <n v="9.8174770424681039"/>
    <x v="7"/>
    <n v="245.25"/>
    <n v="8.0257874822176736E-2"/>
    <n v="9.8174770424681039"/>
    <n v="200"/>
    <n v="0"/>
    <x v="10"/>
    <x v="11"/>
    <n v="0"/>
    <s v="-"/>
    <n v="124.587"/>
    <n v="124.587"/>
    <n v="0.94"/>
    <n v="1"/>
    <n v="1"/>
    <n v="117.11178"/>
    <x v="14"/>
    <n v="0.33746874909950147"/>
  </r>
  <r>
    <n v="18"/>
    <s v="Meli et al. (1968)"/>
    <s v="Muro 314"/>
    <x v="1"/>
    <x v="0"/>
    <x v="0"/>
    <x v="1"/>
    <n v="2650"/>
    <x v="1"/>
    <x v="1"/>
    <x v="1"/>
    <n v="2560"/>
    <x v="1"/>
    <n v="0.828125"/>
    <n v="0.828125"/>
    <n v="327218"/>
    <n v="480000"/>
    <x v="5"/>
    <s v="-"/>
    <n v="21.3858"/>
    <x v="7"/>
    <s v="-"/>
    <x v="2"/>
    <n v="10.3005"/>
    <s v="-"/>
    <n v="3"/>
    <n v="3.9333333333333331"/>
    <s v="-"/>
    <n v="0.93785320622293622"/>
    <x v="9"/>
    <s v="(3)#3"/>
    <s v="(2)2#4"/>
    <s v="71, 129"/>
    <n v="1245"/>
    <x v="6"/>
    <n v="245.25"/>
    <n v="0.79514648437500002"/>
    <n v="800"/>
    <s v="-"/>
    <n v="0"/>
    <s v="-"/>
    <n v="0"/>
    <n v="0"/>
    <x v="0"/>
    <n v="245.25"/>
    <n v="0"/>
    <n v="0"/>
    <n v="0"/>
    <n v="98.1"/>
    <x v="12"/>
    <x v="13"/>
    <n v="0.29980013324450366"/>
    <s v="-"/>
    <n v="264.87"/>
    <n v="264.87"/>
    <n v="0.94"/>
    <n v="1"/>
    <n v="1"/>
    <n v="248.9778"/>
    <x v="15"/>
    <n v="0.76089273817455039"/>
  </r>
  <r>
    <n v="19"/>
    <s v="Meli et al. (1968)"/>
    <s v="Muro 315"/>
    <x v="1"/>
    <x v="0"/>
    <x v="0"/>
    <x v="1"/>
    <n v="2650"/>
    <x v="1"/>
    <x v="1"/>
    <x v="1"/>
    <n v="2560"/>
    <x v="1"/>
    <n v="0.828125"/>
    <n v="0.828125"/>
    <n v="347030"/>
    <n v="480000"/>
    <x v="6"/>
    <s v="-"/>
    <n v="21.974399999999999"/>
    <x v="8"/>
    <s v="-"/>
    <x v="2"/>
    <n v="10.3005"/>
    <s v="-"/>
    <n v="3"/>
    <n v="3.9333333333333331"/>
    <s v="-"/>
    <n v="0.93785320622293622"/>
    <x v="9"/>
    <s v="#3"/>
    <s v="(2)#4"/>
    <s v="71, 129"/>
    <n v="729"/>
    <x v="7"/>
    <n v="245.25"/>
    <n v="0.46559179687500002"/>
    <n v="1400"/>
    <s v="-"/>
    <n v="0"/>
    <s v="-"/>
    <n v="0"/>
    <n v="0"/>
    <x v="0"/>
    <n v="245.25"/>
    <n v="0"/>
    <n v="0"/>
    <n v="0"/>
    <n v="0"/>
    <x v="10"/>
    <x v="11"/>
    <n v="0"/>
    <s v="-"/>
    <n v="97.119000000000014"/>
    <n v="97.119000000000014"/>
    <n v="0.94"/>
    <n v="1"/>
    <n v="1"/>
    <n v="91.291860000000014"/>
    <x v="16"/>
    <n v="0.26306619024291855"/>
  </r>
  <r>
    <n v="20"/>
    <s v="Meli et al. (1968)"/>
    <s v="Muro 316"/>
    <x v="1"/>
    <x v="0"/>
    <x v="0"/>
    <x v="1"/>
    <n v="2650"/>
    <x v="1"/>
    <x v="1"/>
    <x v="1"/>
    <n v="2560"/>
    <x v="1"/>
    <n v="0.828125"/>
    <n v="0.828125"/>
    <n v="327218"/>
    <n v="480000"/>
    <x v="5"/>
    <s v="-"/>
    <n v="16.0884"/>
    <x v="9"/>
    <s v="-"/>
    <x v="2"/>
    <n v="10.3005"/>
    <s v="-"/>
    <n v="3"/>
    <n v="3.9333333333333331"/>
    <s v="-"/>
    <n v="0.93785320622293622"/>
    <x v="9"/>
    <s v="(3)#3"/>
    <s v="(2)2#4"/>
    <s v="71, 129"/>
    <n v="1245"/>
    <x v="6"/>
    <n v="245.25"/>
    <n v="0.79514648437500002"/>
    <n v="800"/>
    <s v="-"/>
    <n v="0"/>
    <s v="Ø2.5mm"/>
    <n v="9.8174770424681039"/>
    <n v="9.8174770424681039"/>
    <x v="7"/>
    <n v="245.25"/>
    <n v="8.0257874822176736E-2"/>
    <n v="9.8174770424681039"/>
    <n v="200"/>
    <n v="196"/>
    <x v="11"/>
    <x v="12"/>
    <n v="0.59898905316944673"/>
    <s v="-"/>
    <n v="277.62300000000005"/>
    <n v="277.62300000000005"/>
    <n v="0.94"/>
    <n v="1"/>
    <n v="1"/>
    <n v="260.96562"/>
    <x v="17"/>
    <n v="0.79752831445702865"/>
  </r>
  <r>
    <n v="21"/>
    <s v="Meli et al. (1968)"/>
    <s v="Muro 317"/>
    <x v="1"/>
    <x v="0"/>
    <x v="0"/>
    <x v="1"/>
    <n v="2650"/>
    <x v="1"/>
    <x v="1"/>
    <x v="1"/>
    <n v="2560"/>
    <x v="1"/>
    <n v="0.828125"/>
    <n v="0.828125"/>
    <n v="327218"/>
    <n v="480000"/>
    <x v="5"/>
    <s v="-"/>
    <n v="21.483900000000002"/>
    <x v="10"/>
    <s v="-"/>
    <x v="2"/>
    <n v="10.3005"/>
    <s v="-"/>
    <n v="3"/>
    <n v="3.9333333333333331"/>
    <s v="-"/>
    <n v="0.93785320622293622"/>
    <x v="9"/>
    <s v="(3)#3"/>
    <s v="(2)4#4"/>
    <s v="71, 129"/>
    <n v="1245"/>
    <x v="6"/>
    <n v="245.25"/>
    <n v="0.79514648437500002"/>
    <n v="800"/>
    <s v="-"/>
    <n v="0"/>
    <s v="Ø2.5mm"/>
    <n v="9.8174770424681039"/>
    <n v="9.8174770424681039"/>
    <x v="7"/>
    <n v="245.25"/>
    <n v="8.0257874822176736E-2"/>
    <n v="9.8174770424681039"/>
    <n v="200"/>
    <n v="0"/>
    <x v="10"/>
    <x v="11"/>
    <n v="0"/>
    <s v="-"/>
    <n v="255.06"/>
    <n v="255.06"/>
    <n v="0.94"/>
    <n v="1"/>
    <n v="1"/>
    <n v="239.75639999999999"/>
    <x v="11"/>
    <n v="0.73271152564956687"/>
  </r>
  <r>
    <n v="22"/>
    <s v="Meli et al. (1968)"/>
    <s v="Muro 318"/>
    <x v="1"/>
    <x v="0"/>
    <x v="0"/>
    <x v="1"/>
    <n v="2650"/>
    <x v="1"/>
    <x v="1"/>
    <x v="1"/>
    <n v="2560"/>
    <x v="1"/>
    <n v="0.828125"/>
    <n v="0.828125"/>
    <n v="327218"/>
    <n v="480000"/>
    <x v="5"/>
    <s v="-"/>
    <n v="21.680100000000003"/>
    <x v="11"/>
    <s v="-"/>
    <x v="2"/>
    <n v="10.3005"/>
    <s v="-"/>
    <n v="3"/>
    <n v="3.9333333333333331"/>
    <s v="-"/>
    <n v="0.93785320622293622"/>
    <x v="9"/>
    <s v="(3)#3"/>
    <s v="(2)2#4"/>
    <s v="71, 129"/>
    <n v="1245"/>
    <x v="6"/>
    <n v="245.25"/>
    <n v="0.79514648437500002"/>
    <n v="800"/>
    <s v="-"/>
    <n v="0"/>
    <s v="Ø2.5mm"/>
    <n v="9.8174770424681039"/>
    <n v="9.8174770424681039"/>
    <x v="7"/>
    <n v="245.25"/>
    <n v="8.0257874822176736E-2"/>
    <n v="9.8174770424681039"/>
    <n v="200"/>
    <n v="0"/>
    <x v="10"/>
    <x v="11"/>
    <n v="0"/>
    <s v="-"/>
    <n v="215.82000000000002"/>
    <n v="215.82000000000002"/>
    <n v="0.94"/>
    <n v="1"/>
    <n v="1"/>
    <n v="202.8708"/>
    <x v="18"/>
    <n v="0.6199866755496336"/>
  </r>
  <r>
    <n v="23"/>
    <s v="Meli et al. (1969)"/>
    <s v="Muro 501"/>
    <x v="0"/>
    <x v="0"/>
    <x v="0"/>
    <x v="2"/>
    <n v="2000"/>
    <x v="2"/>
    <x v="2"/>
    <x v="1"/>
    <n v="1600"/>
    <x v="2"/>
    <n v="1"/>
    <n v="1"/>
    <n v="140288"/>
    <n v="300000"/>
    <x v="7"/>
    <s v="-"/>
    <n v="15.205500000000002"/>
    <x v="12"/>
    <n v="29.331900000000001"/>
    <x v="3"/>
    <n v="10.3005"/>
    <s v="-"/>
    <n v="3"/>
    <n v="3.9333333333333331"/>
    <s v="-"/>
    <n v="0.93785320622293622"/>
    <x v="9"/>
    <s v="-"/>
    <s v="(2)2#5"/>
    <n v="200"/>
    <n v="800"/>
    <x v="8"/>
    <n v="392"/>
    <n v="1.3066666666666666"/>
    <m/>
    <s v="-"/>
    <n v="0"/>
    <s v="-"/>
    <n v="0"/>
    <n v="0"/>
    <x v="0"/>
    <n v="0"/>
    <n v="0"/>
    <n v="0"/>
    <n v="0"/>
    <n v="0"/>
    <x v="10"/>
    <x v="11"/>
    <n v="0"/>
    <s v="-"/>
    <n v="161.80000000000001"/>
    <n v="161.80000000000001"/>
    <n v="0.94"/>
    <n v="0.81399999999999995"/>
    <n v="1"/>
    <n v="123.802888"/>
    <x v="19"/>
    <n v="0.88249093293795611"/>
  </r>
  <r>
    <n v="24"/>
    <s v="Meli et al. (1969)"/>
    <s v="Muro 504"/>
    <x v="0"/>
    <x v="0"/>
    <x v="0"/>
    <x v="2"/>
    <n v="2000"/>
    <x v="2"/>
    <x v="2"/>
    <x v="1"/>
    <n v="1600"/>
    <x v="2"/>
    <n v="1"/>
    <n v="1"/>
    <n v="140288"/>
    <n v="300000"/>
    <x v="7"/>
    <s v="-"/>
    <n v="20.404800000000002"/>
    <x v="13"/>
    <n v="33.059699999999999"/>
    <x v="4"/>
    <n v="10.3005"/>
    <s v="-"/>
    <n v="3"/>
    <n v="3.9333333333333331"/>
    <s v="-"/>
    <n v="0.93785320622293622"/>
    <x v="9"/>
    <s v="-"/>
    <s v="(2)2#5"/>
    <n v="200"/>
    <n v="800"/>
    <x v="8"/>
    <n v="392"/>
    <n v="1.3066666666666666"/>
    <m/>
    <s v="-"/>
    <n v="0"/>
    <s v="-"/>
    <n v="0"/>
    <n v="0"/>
    <x v="0"/>
    <n v="0"/>
    <n v="0"/>
    <n v="0"/>
    <n v="0"/>
    <n v="49"/>
    <x v="13"/>
    <x v="14"/>
    <n v="0.34928147810218979"/>
    <s v="-"/>
    <n v="151.19999999999999"/>
    <n v="151.19999999999999"/>
    <n v="0.94"/>
    <n v="0.81399999999999995"/>
    <n v="1"/>
    <n v="115.69219199999998"/>
    <x v="20"/>
    <n v="0.82467632299270066"/>
  </r>
  <r>
    <n v="25"/>
    <s v="Meli et al. (1969)"/>
    <s v="Muro 505"/>
    <x v="0"/>
    <x v="0"/>
    <x v="0"/>
    <x v="2"/>
    <n v="2000"/>
    <x v="2"/>
    <x v="2"/>
    <x v="1"/>
    <n v="1600"/>
    <x v="2"/>
    <n v="1"/>
    <n v="1"/>
    <n v="140288"/>
    <n v="300000"/>
    <x v="7"/>
    <s v="-"/>
    <n v="25.702200000000001"/>
    <x v="14"/>
    <n v="13.341600000000001"/>
    <x v="5"/>
    <n v="14.420700000000002"/>
    <s v="-"/>
    <n v="3"/>
    <n v="3.9333333333333331"/>
    <s v="-"/>
    <n v="0.93785320622293622"/>
    <x v="10"/>
    <s v="-"/>
    <s v="(2)2#5"/>
    <n v="200"/>
    <n v="800"/>
    <x v="8"/>
    <n v="392"/>
    <n v="1.3066666666666666"/>
    <m/>
    <s v="-"/>
    <n v="0"/>
    <s v="-"/>
    <n v="0"/>
    <n v="0"/>
    <x v="0"/>
    <n v="0"/>
    <n v="0"/>
    <n v="0"/>
    <n v="0"/>
    <n v="98"/>
    <x v="14"/>
    <x v="15"/>
    <n v="0.69856295620437958"/>
    <s v="-"/>
    <n v="242"/>
    <n v="242"/>
    <n v="0.94"/>
    <n v="0.81399999999999995"/>
    <n v="1"/>
    <n v="185.16871999999998"/>
    <x v="21"/>
    <n v="1.3199184534671531"/>
  </r>
  <r>
    <n v="26"/>
    <s v="Meli et al. (1969)"/>
    <s v="Muro 506"/>
    <x v="0"/>
    <x v="0"/>
    <x v="0"/>
    <x v="2"/>
    <n v="2000"/>
    <x v="2"/>
    <x v="2"/>
    <x v="1"/>
    <n v="1600"/>
    <x v="2"/>
    <n v="1"/>
    <n v="1"/>
    <n v="140288"/>
    <n v="300000"/>
    <x v="7"/>
    <s v="-"/>
    <n v="23.0535"/>
    <x v="15"/>
    <n v="15.892200000000001"/>
    <x v="6"/>
    <n v="14.420700000000002"/>
    <s v="-"/>
    <n v="3"/>
    <n v="3.9333333333333331"/>
    <s v="-"/>
    <n v="0.93785320622293622"/>
    <x v="10"/>
    <s v="-"/>
    <s v="(2)2#5"/>
    <n v="200"/>
    <n v="800"/>
    <x v="8"/>
    <n v="392"/>
    <n v="1.3066666666666666"/>
    <m/>
    <s v="-"/>
    <n v="0"/>
    <s v="-"/>
    <n v="0"/>
    <n v="0"/>
    <x v="0"/>
    <n v="0"/>
    <n v="0"/>
    <n v="0"/>
    <n v="0"/>
    <n v="196"/>
    <x v="15"/>
    <x v="16"/>
    <n v="1.3971259124087592"/>
    <s v="-"/>
    <n v="290.8"/>
    <n v="290.8"/>
    <n v="0.94"/>
    <n v="0.81399999999999995"/>
    <n v="1"/>
    <n v="222.50852799999996"/>
    <x v="22"/>
    <n v="1.5860838275547442"/>
  </r>
  <r>
    <n v="27"/>
    <s v="Meli et al. (1969)"/>
    <s v="Muro 507"/>
    <x v="0"/>
    <x v="0"/>
    <x v="0"/>
    <x v="2"/>
    <n v="2000"/>
    <x v="2"/>
    <x v="2"/>
    <x v="1"/>
    <n v="1600"/>
    <x v="2"/>
    <n v="1"/>
    <n v="1"/>
    <n v="140288"/>
    <n v="300000"/>
    <x v="7"/>
    <s v="-"/>
    <n v="24.819300000000002"/>
    <x v="16"/>
    <n v="18.8352"/>
    <x v="7"/>
    <n v="14.420700000000002"/>
    <s v="-"/>
    <n v="3"/>
    <n v="3.9333333333333331"/>
    <s v="-"/>
    <n v="0.93785320622293622"/>
    <x v="10"/>
    <s v="-"/>
    <s v="(2)2#5"/>
    <n v="200"/>
    <n v="800"/>
    <x v="8"/>
    <n v="392"/>
    <n v="1.3066666666666666"/>
    <m/>
    <s v="-"/>
    <n v="0"/>
    <s v="-"/>
    <n v="0"/>
    <n v="0"/>
    <x v="0"/>
    <n v="0"/>
    <n v="0"/>
    <n v="0"/>
    <n v="0"/>
    <n v="0"/>
    <x v="10"/>
    <x v="11"/>
    <n v="0"/>
    <s v="-"/>
    <n v="136.4"/>
    <n v="136.4"/>
    <n v="0.94"/>
    <n v="0.81399999999999995"/>
    <n v="1"/>
    <n v="104.367824"/>
    <x v="23"/>
    <n v="0.74395403740875921"/>
  </r>
  <r>
    <n v="28"/>
    <s v="Meli et al. (1969)"/>
    <s v="Muro 508"/>
    <x v="0"/>
    <x v="0"/>
    <x v="0"/>
    <x v="2"/>
    <n v="2000"/>
    <x v="2"/>
    <x v="2"/>
    <x v="1"/>
    <n v="1600"/>
    <x v="2"/>
    <n v="1"/>
    <n v="1"/>
    <n v="178976"/>
    <n v="300000"/>
    <x v="8"/>
    <s v="-"/>
    <n v="20.404800000000002"/>
    <x v="13"/>
    <n v="10.594799999999999"/>
    <x v="8"/>
    <n v="14.420700000000002"/>
    <s v="-"/>
    <n v="3"/>
    <n v="3.9333333333333331"/>
    <s v="-"/>
    <n v="0.93785320622293622"/>
    <x v="10"/>
    <s v="(2)#4"/>
    <s v="(2)2#5"/>
    <s v="129, 200"/>
    <n v="1058"/>
    <x v="9"/>
    <n v="392"/>
    <n v="1.7280666666666669"/>
    <m/>
    <s v="-"/>
    <n v="0"/>
    <s v="-"/>
    <n v="0"/>
    <n v="0"/>
    <x v="0"/>
    <n v="0"/>
    <n v="0"/>
    <n v="0"/>
    <n v="0"/>
    <n v="0"/>
    <x v="10"/>
    <x v="11"/>
    <n v="0"/>
    <s v="-"/>
    <n v="200.4"/>
    <n v="200.4"/>
    <n v="0.94"/>
    <n v="0.81399999999999995"/>
    <n v="1"/>
    <n v="153.338064"/>
    <x v="24"/>
    <n v="0.85675210084033615"/>
  </r>
  <r>
    <n v="29"/>
    <s v="Meli et al. (1969)"/>
    <s v="Muro 509"/>
    <x v="0"/>
    <x v="0"/>
    <x v="0"/>
    <x v="2"/>
    <n v="2000"/>
    <x v="2"/>
    <x v="2"/>
    <x v="1"/>
    <n v="1600"/>
    <x v="2"/>
    <n v="1"/>
    <n v="1"/>
    <n v="140288"/>
    <n v="300000"/>
    <x v="7"/>
    <s v="-"/>
    <n v="17.559899999999999"/>
    <x v="17"/>
    <n v="8.1423000000000005"/>
    <x v="9"/>
    <n v="14.420700000000002"/>
    <s v="-"/>
    <n v="3"/>
    <n v="3.9333333333333331"/>
    <s v="-"/>
    <n v="0.93785320622293622"/>
    <x v="10"/>
    <s v="-"/>
    <s v="(2)2#4"/>
    <n v="129"/>
    <n v="516"/>
    <x v="10"/>
    <n v="392"/>
    <n v="0.84279999999999999"/>
    <m/>
    <s v="-"/>
    <n v="0"/>
    <s v="-"/>
    <n v="0"/>
    <n v="0"/>
    <x v="0"/>
    <n v="0"/>
    <n v="0"/>
    <n v="0"/>
    <n v="0"/>
    <n v="0"/>
    <x v="10"/>
    <x v="11"/>
    <n v="0"/>
    <s v="-"/>
    <n v="130.1"/>
    <n v="130.1"/>
    <n v="0.94"/>
    <n v="0.81399999999999995"/>
    <n v="1"/>
    <n v="99.547315999999981"/>
    <x v="25"/>
    <n v="0.7095925239507298"/>
  </r>
  <r>
    <n v="30"/>
    <s v="Meli et al. (1969)"/>
    <s v="Muro 510"/>
    <x v="0"/>
    <x v="0"/>
    <x v="0"/>
    <x v="2"/>
    <n v="2000"/>
    <x v="2"/>
    <x v="2"/>
    <x v="1"/>
    <n v="1600"/>
    <x v="2"/>
    <n v="1"/>
    <n v="1"/>
    <n v="178976"/>
    <n v="300000"/>
    <x v="8"/>
    <s v="-"/>
    <n v="17.4618"/>
    <x v="18"/>
    <n v="11.870100000000001"/>
    <x v="10"/>
    <n v="14.420700000000002"/>
    <s v="-"/>
    <n v="3"/>
    <n v="3.9333333333333331"/>
    <s v="-"/>
    <n v="0.93785320622293622"/>
    <x v="10"/>
    <s v="(2)#4"/>
    <s v="(2)2#5"/>
    <s v="129, 200"/>
    <n v="1058"/>
    <x v="9"/>
    <n v="392"/>
    <n v="1.7280666666666669"/>
    <m/>
    <s v="-"/>
    <n v="0"/>
    <s v="-"/>
    <n v="0"/>
    <n v="0"/>
    <x v="0"/>
    <n v="0"/>
    <n v="0"/>
    <n v="0"/>
    <n v="0"/>
    <n v="294"/>
    <x v="16"/>
    <x v="17"/>
    <n v="1.6426783479349185"/>
    <s v="-"/>
    <n v="314.3"/>
    <n v="314.3"/>
    <n v="0.94"/>
    <n v="0.81399999999999995"/>
    <n v="1"/>
    <n v="240.48978799999998"/>
    <x v="26"/>
    <n v="1.3436985294117645"/>
  </r>
  <r>
    <n v="31"/>
    <s v="Meli et al. (1969)"/>
    <s v="Muro 511"/>
    <x v="0"/>
    <x v="0"/>
    <x v="0"/>
    <x v="2"/>
    <n v="2000"/>
    <x v="2"/>
    <x v="2"/>
    <x v="1"/>
    <n v="1600"/>
    <x v="2"/>
    <n v="1"/>
    <n v="1"/>
    <n v="140288"/>
    <n v="300000"/>
    <x v="7"/>
    <s v="-"/>
    <n v="17.658000000000001"/>
    <x v="19"/>
    <n v="14.518800000000001"/>
    <x v="11"/>
    <n v="14.420700000000002"/>
    <s v="-"/>
    <n v="3"/>
    <n v="3.9333333333333331"/>
    <s v="-"/>
    <n v="0.93785320622293622"/>
    <x v="10"/>
    <s v="-"/>
    <s v="(2)2#5"/>
    <n v="200"/>
    <n v="800"/>
    <x v="8"/>
    <n v="392"/>
    <n v="1.3066666666666666"/>
    <m/>
    <s v="-"/>
    <n v="0"/>
    <s v="-"/>
    <n v="0"/>
    <n v="0"/>
    <x v="0"/>
    <n v="0"/>
    <n v="0"/>
    <n v="0"/>
    <n v="0"/>
    <n v="294"/>
    <x v="16"/>
    <x v="17"/>
    <n v="2.0956888686131383"/>
    <s v="-"/>
    <n v="343.4"/>
    <n v="343.4"/>
    <n v="0.94"/>
    <n v="0.81399999999999995"/>
    <n v="1"/>
    <n v="262.75594399999994"/>
    <x v="27"/>
    <n v="1.8729751938868608"/>
  </r>
  <r>
    <n v="32"/>
    <s v="Meli et al. (1969)"/>
    <s v="Muro 514"/>
    <x v="0"/>
    <x v="0"/>
    <x v="0"/>
    <x v="2"/>
    <n v="2000"/>
    <x v="2"/>
    <x v="2"/>
    <x v="1"/>
    <n v="1600"/>
    <x v="2"/>
    <n v="1"/>
    <n v="1"/>
    <n v="140288"/>
    <n v="300000"/>
    <x v="7"/>
    <s v="-"/>
    <n v="24.132600000000004"/>
    <x v="20"/>
    <n v="23.151600000000002"/>
    <x v="12"/>
    <n v="14.420700000000002"/>
    <s v="-"/>
    <n v="3"/>
    <n v="3.9333333333333331"/>
    <s v="-"/>
    <n v="0.93785320622293622"/>
    <x v="10"/>
    <s v="-"/>
    <s v="(2)#3"/>
    <n v="71"/>
    <n v="142"/>
    <x v="11"/>
    <n v="392"/>
    <n v="0.23193333333333332"/>
    <m/>
    <s v="-"/>
    <n v="0"/>
    <s v="-"/>
    <n v="0"/>
    <n v="0"/>
    <x v="0"/>
    <n v="0"/>
    <n v="0"/>
    <n v="0"/>
    <n v="0"/>
    <n v="294"/>
    <x v="16"/>
    <x v="17"/>
    <n v="2.0956888686131383"/>
    <s v="-"/>
    <n v="322.89999999999998"/>
    <n v="322.89999999999998"/>
    <n v="0.94"/>
    <n v="0.81399999999999995"/>
    <n v="1"/>
    <n v="247.07016399999995"/>
    <x v="28"/>
    <n v="1.7611639199361311"/>
  </r>
  <r>
    <n v="33"/>
    <s v="Meli et al. (1969)"/>
    <s v="Muro 519"/>
    <x v="0"/>
    <x v="0"/>
    <x v="0"/>
    <x v="2"/>
    <n v="2000"/>
    <x v="2"/>
    <x v="2"/>
    <x v="1"/>
    <n v="1600"/>
    <x v="2"/>
    <n v="1"/>
    <n v="1"/>
    <n v="140288"/>
    <n v="300000"/>
    <x v="7"/>
    <s v="-"/>
    <n v="11.575800000000001"/>
    <x v="21"/>
    <n v="12.262499999999999"/>
    <x v="13"/>
    <n v="14.420700000000002"/>
    <s v="-"/>
    <n v="3"/>
    <n v="3.9333333333333331"/>
    <s v="-"/>
    <n v="0.93785320622293622"/>
    <x v="10"/>
    <s v="-"/>
    <s v="(2)2#5"/>
    <n v="200"/>
    <n v="800"/>
    <x v="8"/>
    <n v="392"/>
    <n v="1.3066666666666666"/>
    <m/>
    <s v="-"/>
    <n v="0"/>
    <s v="-"/>
    <n v="0"/>
    <n v="0"/>
    <x v="0"/>
    <n v="0"/>
    <n v="0"/>
    <n v="0"/>
    <n v="0"/>
    <n v="0"/>
    <x v="10"/>
    <x v="11"/>
    <n v="0"/>
    <s v="-"/>
    <n v="187.5"/>
    <n v="187.5"/>
    <n v="0.94"/>
    <n v="0.81399999999999995"/>
    <n v="1"/>
    <n v="143.4675"/>
    <x v="29"/>
    <n v="1.0226640910127736"/>
  </r>
  <r>
    <n v="34"/>
    <s v="Mayes et al. (1976)"/>
    <s v="HCBL-21-11"/>
    <x v="1"/>
    <x v="0"/>
    <x v="1"/>
    <x v="3"/>
    <n v="812.8"/>
    <x v="3"/>
    <x v="3"/>
    <x v="0"/>
    <n v="650.24"/>
    <x v="3"/>
    <n v="1"/>
    <n v="1"/>
    <n v="83045.299999999988"/>
    <n v="116128.79999999999"/>
    <x v="9"/>
    <n v="20.298173439999999"/>
    <n v="15.87173752"/>
    <x v="22"/>
    <n v="13.9963628"/>
    <x v="14"/>
    <n v="15.53389428"/>
    <n v="17.836744119999999"/>
    <n v="5"/>
    <n v="6.99912510936133"/>
    <n v="5"/>
    <n v="1"/>
    <x v="11"/>
    <s v="-"/>
    <s v="2#3"/>
    <n v="284"/>
    <n v="568"/>
    <x v="12"/>
    <n v="515.72804799999994"/>
    <n v="3.6096451303587047"/>
    <n v="1625.6"/>
    <s v="-"/>
    <n v="0"/>
    <s v="-"/>
    <n v="0"/>
    <n v="0"/>
    <x v="0"/>
    <n v="0"/>
    <n v="0"/>
    <n v="0"/>
    <n v="0"/>
    <n v="200.17005127199999"/>
    <x v="17"/>
    <x v="18"/>
    <n v="2.4103718244379877"/>
    <s v="-"/>
    <s v="-"/>
    <n v="78.46666009862399"/>
    <n v="0.94"/>
    <n v="1"/>
    <n v="1"/>
    <n v="73.758660492706539"/>
    <x v="30"/>
    <n v="0.86873975999999997"/>
  </r>
  <r>
    <n v="35"/>
    <s v="Mayes et al. (1976)"/>
    <s v="HCBL-21-12"/>
    <x v="1"/>
    <x v="0"/>
    <x v="1"/>
    <x v="3"/>
    <n v="812.8"/>
    <x v="3"/>
    <x v="3"/>
    <x v="0"/>
    <n v="650.24"/>
    <x v="3"/>
    <n v="1"/>
    <n v="1"/>
    <n v="83045.299999999988"/>
    <n v="116128.79999999999"/>
    <x v="9"/>
    <n v="20.298173439999999"/>
    <n v="15.87173752"/>
    <x v="22"/>
    <n v="13.9963628"/>
    <x v="14"/>
    <n v="15.53389428"/>
    <n v="17.836744119999999"/>
    <n v="5"/>
    <n v="6.99912510936133"/>
    <n v="5"/>
    <n v="1"/>
    <x v="11"/>
    <s v="-"/>
    <s v="(2)2#5"/>
    <n v="284"/>
    <n v="568"/>
    <x v="12"/>
    <n v="515.72804799999994"/>
    <n v="3.6096451303587047"/>
    <n v="1625.6"/>
    <s v="-"/>
    <n v="0"/>
    <s v="-"/>
    <n v="0"/>
    <n v="0"/>
    <x v="0"/>
    <n v="0"/>
    <n v="0"/>
    <n v="0"/>
    <n v="0"/>
    <n v="200.17005127199999"/>
    <x v="17"/>
    <x v="18"/>
    <n v="2.4103718244379877"/>
    <s v="-"/>
    <s v="-"/>
    <n v="85.672781944415988"/>
    <n v="0.94"/>
    <n v="1"/>
    <n v="1"/>
    <n v="80.532415027751028"/>
    <x v="31"/>
    <n v="0.93768735999999997"/>
  </r>
  <r>
    <n v="36"/>
    <s v="Chen et al. (1978) / _x000a_Hidalgo (1978)"/>
    <s v="HCBL-11-2"/>
    <x v="1"/>
    <x v="1"/>
    <x v="1"/>
    <x v="4"/>
    <n v="711.19999999999993"/>
    <x v="4"/>
    <x v="4"/>
    <x v="2"/>
    <n v="975.3599999999999"/>
    <x v="4"/>
    <n v="0.58333333333333337"/>
    <n v="0.58333333333333337"/>
    <n v="141935.19999999998"/>
    <n v="235549.43999999994"/>
    <x v="10"/>
    <s v="-"/>
    <n v="18.988169039999999"/>
    <x v="23"/>
    <n v="26.269035599999999"/>
    <x v="15"/>
    <n v="11.7900396"/>
    <s v="-"/>
    <n v="5"/>
    <n v="5"/>
    <n v="3"/>
    <n v="1"/>
    <x v="1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187.71488400000004"/>
    <x v="18"/>
    <x v="19"/>
    <n v="1.3225393278059288"/>
    <n v="107.20210200000001"/>
    <n v="116.988186"/>
    <n v="112.095144"/>
    <n v="1"/>
    <n v="1"/>
    <n v="0.9"/>
    <n v="100.8856296"/>
    <x v="32"/>
    <n v="0.78976282134382458"/>
  </r>
  <r>
    <n v="37"/>
    <s v="Chen et al. (1978) / _x000a_Hidalgo (1978)"/>
    <s v="HCBL-11-5"/>
    <x v="1"/>
    <x v="1"/>
    <x v="1"/>
    <x v="4"/>
    <n v="711.19999999999993"/>
    <x v="4"/>
    <x v="4"/>
    <x v="2"/>
    <n v="975.3599999999999"/>
    <x v="4"/>
    <n v="0.58333333333333337"/>
    <n v="0.58333333333333337"/>
    <n v="141935.19999999998"/>
    <n v="235549.43999999994"/>
    <x v="10"/>
    <s v="-"/>
    <n v="18.988169039999999"/>
    <x v="23"/>
    <n v="26.269035599999999"/>
    <x v="15"/>
    <n v="11.7900396"/>
    <s v="-"/>
    <n v="5"/>
    <n v="5"/>
    <n v="3"/>
    <n v="1"/>
    <x v="12"/>
    <s v="-"/>
    <s v="#5"/>
    <n v="200"/>
    <n v="400"/>
    <x v="13"/>
    <n v="488.21795559999998"/>
    <n v="4.3320138030168591"/>
    <n v="1066.8"/>
    <s v="#5"/>
    <n v="200"/>
    <s v="-"/>
    <n v="0"/>
    <n v="200"/>
    <x v="8"/>
    <n v="330.32795160000001"/>
    <n v="0.48081327508750854"/>
    <n v="200"/>
    <n v="711.19999999999993"/>
    <n v="134.33624399999999"/>
    <x v="19"/>
    <x v="20"/>
    <n v="0.94646179383267859"/>
    <n v="195.72167999999999"/>
    <n v="220.63171199999999"/>
    <n v="208.17669599999999"/>
    <n v="1"/>
    <n v="1"/>
    <n v="0.9"/>
    <n v="187.3590264"/>
    <x v="33"/>
    <n v="1.4667023824956744"/>
  </r>
  <r>
    <n v="38"/>
    <s v="Chen et al. (1978) / _x000a_Hidalgo (1978)"/>
    <s v="HCBL-11-8"/>
    <x v="1"/>
    <x v="1"/>
    <x v="1"/>
    <x v="4"/>
    <n v="711.19999999999993"/>
    <x v="4"/>
    <x v="4"/>
    <x v="2"/>
    <n v="975.3599999999999"/>
    <x v="4"/>
    <n v="0.58333333333333337"/>
    <n v="0.58333333333333337"/>
    <n v="141935.19999999998"/>
    <n v="235549.43999999994"/>
    <x v="10"/>
    <s v="-"/>
    <n v="20.28438392"/>
    <x v="24"/>
    <n v="47.229106000000002"/>
    <x v="16"/>
    <n v="11.7900396"/>
    <s v="-"/>
    <n v="5"/>
    <n v="5"/>
    <n v="3"/>
    <n v="1"/>
    <x v="12"/>
    <s v="-"/>
    <s v="#8"/>
    <n v="509"/>
    <n v="1018"/>
    <x v="14"/>
    <n v="477.117392"/>
    <n v="4.2335172315882872"/>
    <n v="1066.8"/>
    <s v="-"/>
    <n v="0"/>
    <s v="-"/>
    <n v="0"/>
    <n v="0"/>
    <x v="0"/>
    <n v="0"/>
    <n v="0"/>
    <n v="0"/>
    <n v="0"/>
    <n v="129.888024"/>
    <x v="20"/>
    <x v="21"/>
    <n v="0.9151219993349079"/>
    <n v="158.80145400000004"/>
    <n v="168.587538"/>
    <n v="163.69449600000002"/>
    <n v="1"/>
    <n v="1"/>
    <n v="0.9"/>
    <n v="147.32504640000002"/>
    <x v="34"/>
    <n v="1.1533044375179662"/>
  </r>
  <r>
    <n v="39"/>
    <s v="Chen et al. (1978) / _x000a_Hidalgo (1978)"/>
    <s v="HCBL-11-10"/>
    <x v="1"/>
    <x v="1"/>
    <x v="1"/>
    <x v="4"/>
    <n v="711.19999999999993"/>
    <x v="4"/>
    <x v="4"/>
    <x v="2"/>
    <n v="975.3599999999999"/>
    <x v="4"/>
    <n v="0.58333333333333337"/>
    <n v="0.58333333333333337"/>
    <n v="141935.19999999998"/>
    <n v="235549.43999999994"/>
    <x v="10"/>
    <s v="-"/>
    <n v="16.009632719999999"/>
    <x v="25"/>
    <n v="47.5393702"/>
    <x v="17"/>
    <n v="11.7900396"/>
    <s v="-"/>
    <n v="5"/>
    <n v="5"/>
    <n v="3"/>
    <n v="1"/>
    <x v="12"/>
    <s v="-"/>
    <s v="#8"/>
    <n v="509"/>
    <n v="1018"/>
    <x v="14"/>
    <n v="477.117392"/>
    <n v="4.2335172315882872"/>
    <n v="1066.8"/>
    <s v="(2)#5"/>
    <n v="400"/>
    <s v="-"/>
    <n v="0"/>
    <n v="400"/>
    <x v="9"/>
    <n v="330.32795160000001"/>
    <n v="0.72121991263126295"/>
    <n v="200"/>
    <n v="474.13333333333327"/>
    <n v="138.78446399999999"/>
    <x v="21"/>
    <x v="22"/>
    <n v="0.97780158833044939"/>
    <n v="209.95598400000003"/>
    <n v="223.30064400000001"/>
    <n v="216.62831400000002"/>
    <n v="1"/>
    <n v="1"/>
    <n v="0.9"/>
    <n v="194.96548260000003"/>
    <x v="35"/>
    <n v="1.5262479920414389"/>
  </r>
  <r>
    <n v="40"/>
    <s v="Thurston and Hutchison (1982)"/>
    <s v="UNIT NO. 2"/>
    <x v="1"/>
    <x v="0"/>
    <x v="1"/>
    <x v="5"/>
    <n v="1200"/>
    <x v="5"/>
    <x v="5"/>
    <x v="3"/>
    <n v="1280"/>
    <x v="5"/>
    <n v="0.75"/>
    <n v="0.75"/>
    <n v="158400"/>
    <n v="224000"/>
    <x v="11"/>
    <s v="-"/>
    <s v="-"/>
    <x v="26"/>
    <n v="26"/>
    <x v="18"/>
    <n v="14.9"/>
    <s v="-"/>
    <n v="3"/>
    <n v="4.2142857142857144"/>
    <n v="4"/>
    <n v="0.95519142130789658"/>
    <x v="13"/>
    <s v="D10"/>
    <s v="D12"/>
    <s v="78, 113"/>
    <n v="304.73448739820992"/>
    <x v="15"/>
    <n v="353"/>
    <n v="3.361904761904762"/>
    <n v="800"/>
    <s v="(2)D12"/>
    <n v="226.1946710584651"/>
    <s v="-"/>
    <n v="0"/>
    <n v="226.1946710584651"/>
    <x v="10"/>
    <n v="353"/>
    <n v="0"/>
    <n v="113.09733552923255"/>
    <n v="2000"/>
    <n v="0"/>
    <x v="10"/>
    <x v="11"/>
    <n v="0"/>
    <n v="74.599999999999994"/>
    <n v="77.5"/>
    <n v="76.05"/>
    <n v="1"/>
    <n v="1"/>
    <n v="1"/>
    <n v="76.05"/>
    <x v="36"/>
    <n v="0.4801136363636363"/>
  </r>
  <r>
    <n v="41"/>
    <s v="Thurston and Hutchison (1982)"/>
    <s v="UNIT NO. 4"/>
    <x v="1"/>
    <x v="0"/>
    <x v="1"/>
    <x v="5"/>
    <n v="1200"/>
    <x v="5"/>
    <x v="5"/>
    <x v="3"/>
    <n v="1280"/>
    <x v="5"/>
    <n v="0.75"/>
    <n v="0.75"/>
    <n v="158400"/>
    <n v="224000"/>
    <x v="11"/>
    <s v="-"/>
    <s v="-"/>
    <x v="26"/>
    <n v="26"/>
    <x v="18"/>
    <n v="14.9"/>
    <s v="-"/>
    <n v="3"/>
    <n v="4.2142857142857144"/>
    <n v="4"/>
    <n v="0.95519142130789658"/>
    <x v="13"/>
    <s v="D16"/>
    <s v="D16"/>
    <n v="201.06192982974676"/>
    <n v="603.18578948924028"/>
    <x v="16"/>
    <n v="454"/>
    <n v="4.3238095238095244"/>
    <n v="800"/>
    <s v="-"/>
    <n v="0"/>
    <s v="-"/>
    <n v="0"/>
    <n v="0"/>
    <x v="0"/>
    <n v="0"/>
    <n v="0"/>
    <n v="0"/>
    <n v="0"/>
    <n v="0"/>
    <x v="10"/>
    <x v="11"/>
    <n v="0"/>
    <n v="94"/>
    <n v="106"/>
    <n v="100"/>
    <n v="1"/>
    <n v="1"/>
    <n v="1"/>
    <n v="100"/>
    <x v="37"/>
    <n v="0.63131313131313138"/>
  </r>
  <r>
    <n v="42"/>
    <s v="Thurston and Hutchison (1982)"/>
    <s v="UNIT NO. 5"/>
    <x v="1"/>
    <x v="0"/>
    <x v="1"/>
    <x v="5"/>
    <n v="1200"/>
    <x v="5"/>
    <x v="5"/>
    <x v="3"/>
    <n v="1280"/>
    <x v="5"/>
    <n v="0.75"/>
    <n v="0.75"/>
    <n v="158400"/>
    <n v="224000"/>
    <x v="11"/>
    <s v="-"/>
    <s v="-"/>
    <x v="26"/>
    <n v="26"/>
    <x v="18"/>
    <n v="14.9"/>
    <s v="-"/>
    <n v="3"/>
    <n v="4.2142857142857144"/>
    <n v="4"/>
    <n v="0.95519142130789658"/>
    <x v="13"/>
    <s v="D16"/>
    <s v="D16"/>
    <n v="201.06192982974676"/>
    <n v="603.18578948924028"/>
    <x v="16"/>
    <n v="454"/>
    <n v="4.3238095238095244"/>
    <n v="800"/>
    <s v="(4)D12"/>
    <n v="452.38934211693021"/>
    <s v="-"/>
    <n v="0"/>
    <n v="452.38934211693021"/>
    <x v="11"/>
    <n v="454"/>
    <n v="0"/>
    <n v="113.09733552923255"/>
    <n v="800"/>
    <n v="0"/>
    <x v="10"/>
    <x v="11"/>
    <n v="0"/>
    <n v="146"/>
    <n v="152"/>
    <n v="149"/>
    <n v="1"/>
    <n v="1"/>
    <n v="1"/>
    <n v="149"/>
    <x v="38"/>
    <n v="0.94065656565656564"/>
  </r>
  <r>
    <n v="43"/>
    <s v="Matsumura (1987)"/>
    <s v="CW4-1-1"/>
    <x v="1"/>
    <x v="0"/>
    <x v="1"/>
    <x v="6"/>
    <n v="900"/>
    <x v="6"/>
    <x v="6"/>
    <x v="1"/>
    <n v="1655"/>
    <x v="6"/>
    <n v="0.52325581395348841"/>
    <n v="0.52325581395348841"/>
    <n v="180190.47619047618"/>
    <n v="258000"/>
    <x v="12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4.54"/>
    <x v="17"/>
    <n v="385"/>
    <n v="1.2012"/>
    <n v="400"/>
    <s v="-"/>
    <n v="191.69999999999996"/>
    <s v="-"/>
    <n v="0"/>
    <n v="191.69999999999996"/>
    <x v="12"/>
    <n v="385"/>
    <n v="0.27334999999999998"/>
    <n v="42.599999999999994"/>
    <n v="400"/>
    <n v="0"/>
    <x v="10"/>
    <x v="11"/>
    <n v="0"/>
    <n v="108.36"/>
    <n v="118.68"/>
    <n v="113.52000000000001"/>
    <n v="1"/>
    <n v="1"/>
    <n v="1"/>
    <n v="113.52000000000001"/>
    <x v="39"/>
    <n v="0.63000000000000012"/>
  </r>
  <r>
    <n v="44"/>
    <s v="Matsumura (1987)"/>
    <s v="CW4-1-2"/>
    <x v="1"/>
    <x v="0"/>
    <x v="1"/>
    <x v="6"/>
    <n v="900"/>
    <x v="6"/>
    <x v="6"/>
    <x v="1"/>
    <n v="1655"/>
    <x v="6"/>
    <n v="0.52325581395348841"/>
    <n v="0.52325581395348841"/>
    <n v="180896.55172413794"/>
    <n v="258000"/>
    <x v="13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955.76250000000005"/>
    <x v="18"/>
    <n v="385"/>
    <n v="1.4822500000000001"/>
    <n v="400"/>
    <s v="-"/>
    <n v="191.69999999999996"/>
    <s v="-"/>
    <n v="0"/>
    <n v="191.69999999999996"/>
    <x v="12"/>
    <n v="385"/>
    <n v="0.27334999999999998"/>
    <n v="42.599999999999994"/>
    <n v="400"/>
    <n v="0"/>
    <x v="10"/>
    <x v="11"/>
    <n v="0"/>
    <n v="157.38"/>
    <n v="157.38"/>
    <n v="157.38"/>
    <n v="1"/>
    <n v="1"/>
    <n v="1"/>
    <n v="157.38"/>
    <x v="40"/>
    <n v="0.86999999999999988"/>
  </r>
  <r>
    <n v="45"/>
    <s v="Matsumura (1987)"/>
    <s v="CW3-1-1"/>
    <x v="1"/>
    <x v="0"/>
    <x v="1"/>
    <x v="6"/>
    <n v="900"/>
    <x v="7"/>
    <x v="7"/>
    <x v="1"/>
    <n v="1255"/>
    <x v="7"/>
    <n v="0.68181818181818177"/>
    <n v="0.68181818181818177"/>
    <n v="139674.41860465117"/>
    <n v="198000"/>
    <x v="14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3.70749999999998"/>
    <x v="19"/>
    <n v="385"/>
    <n v="1.5823499999999999"/>
    <n v="400"/>
    <s v="-"/>
    <n v="191.69999999999996"/>
    <s v="-"/>
    <n v="0"/>
    <n v="191.69999999999996"/>
    <x v="12"/>
    <n v="385"/>
    <n v="0.27334999999999998"/>
    <n v="42.599999999999994"/>
    <n v="400"/>
    <n v="0"/>
    <x v="10"/>
    <x v="11"/>
    <n v="0"/>
    <n v="87.12"/>
    <n v="93.06"/>
    <n v="90.09"/>
    <n v="1"/>
    <n v="1"/>
    <n v="1"/>
    <n v="90.09"/>
    <x v="41"/>
    <n v="0.64499999999999991"/>
  </r>
  <r>
    <n v="46"/>
    <s v="Matsumura (1987)"/>
    <s v="CW3-1-2"/>
    <x v="1"/>
    <x v="0"/>
    <x v="1"/>
    <x v="6"/>
    <n v="900"/>
    <x v="7"/>
    <x v="7"/>
    <x v="1"/>
    <n v="1255"/>
    <x v="7"/>
    <n v="0.68181818181818177"/>
    <n v="0.68181818181818177"/>
    <n v="139420.1183431953"/>
    <n v="198000"/>
    <x v="15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705.9375"/>
    <x v="20"/>
    <n v="385"/>
    <n v="1.4437499999999999"/>
    <n v="400"/>
    <s v="-"/>
    <n v="191.69999999999996"/>
    <s v="-"/>
    <n v="0"/>
    <n v="191.69999999999996"/>
    <x v="12"/>
    <n v="385"/>
    <n v="0.27334999999999998"/>
    <n v="42.599999999999994"/>
    <n v="400"/>
    <n v="0"/>
    <x v="10"/>
    <x v="11"/>
    <n v="0"/>
    <n v="142.56"/>
    <n v="93.06"/>
    <n v="117.81"/>
    <n v="1"/>
    <n v="1"/>
    <n v="1"/>
    <n v="117.81"/>
    <x v="42"/>
    <n v="0.84499999999999986"/>
  </r>
  <r>
    <n v="47"/>
    <s v="Matsumura (1987)"/>
    <s v="CW2-1-1"/>
    <x v="1"/>
    <x v="0"/>
    <x v="1"/>
    <x v="6"/>
    <n v="900"/>
    <x v="8"/>
    <x v="8"/>
    <x v="1"/>
    <n v="855"/>
    <x v="8"/>
    <n v="0.97826086956521741"/>
    <n v="0.97826086956521741"/>
    <n v="98943.39622641509"/>
    <n v="138000"/>
    <x v="16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4.63"/>
    <x v="21"/>
    <n v="385"/>
    <n v="2.3254000000000001"/>
    <n v="400"/>
    <s v="-"/>
    <n v="191.69999999999996"/>
    <s v="-"/>
    <n v="0"/>
    <n v="191.69999999999996"/>
    <x v="12"/>
    <n v="385"/>
    <n v="0.27334999999999998"/>
    <n v="42.599999999999994"/>
    <n v="400"/>
    <n v="0"/>
    <x v="10"/>
    <x v="11"/>
    <n v="0"/>
    <n v="84.18"/>
    <n v="73.14"/>
    <n v="78.66"/>
    <n v="1"/>
    <n v="1"/>
    <n v="1"/>
    <n v="78.66"/>
    <x v="43"/>
    <n v="0.79500000000000004"/>
  </r>
  <r>
    <n v="48"/>
    <s v="Matsumura (1987)"/>
    <s v="CW2-1-2"/>
    <x v="1"/>
    <x v="0"/>
    <x v="1"/>
    <x v="6"/>
    <n v="900"/>
    <x v="8"/>
    <x v="8"/>
    <x v="1"/>
    <n v="855"/>
    <x v="8"/>
    <n v="0.97826086956521741"/>
    <n v="0.97826086956521741"/>
    <n v="98837.83783783784"/>
    <n v="138000"/>
    <x v="17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506.58750000000003"/>
    <x v="22"/>
    <n v="385"/>
    <n v="1.52075"/>
    <n v="400"/>
    <s v="-"/>
    <n v="191.69999999999996"/>
    <s v="-"/>
    <n v="0"/>
    <n v="191.69999999999996"/>
    <x v="12"/>
    <n v="385"/>
    <n v="0.27334999999999998"/>
    <n v="42.599999999999994"/>
    <n v="400"/>
    <n v="0"/>
    <x v="10"/>
    <x v="11"/>
    <n v="0"/>
    <n v="73.14"/>
    <n v="73.14"/>
    <n v="73.14"/>
    <n v="1"/>
    <n v="1"/>
    <n v="1"/>
    <n v="73.14"/>
    <x v="44"/>
    <n v="0.74"/>
  </r>
  <r>
    <n v="49"/>
    <s v="Matsumura (1987)"/>
    <s v="CW3-0-1"/>
    <x v="1"/>
    <x v="0"/>
    <x v="1"/>
    <x v="6"/>
    <n v="900"/>
    <x v="7"/>
    <x v="7"/>
    <x v="1"/>
    <n v="1255"/>
    <x v="7"/>
    <n v="0.68181818181818177"/>
    <n v="0.68181818181818177"/>
    <n v="139071.42857142855"/>
    <n v="198000"/>
    <x v="18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3.70749999999998"/>
    <x v="19"/>
    <n v="385"/>
    <n v="1.5823499999999999"/>
    <n v="400"/>
    <s v="-"/>
    <n v="0"/>
    <s v="-"/>
    <n v="0"/>
    <n v="0"/>
    <x v="0"/>
    <n v="0"/>
    <n v="0"/>
    <n v="0"/>
    <n v="400"/>
    <n v="0"/>
    <x v="10"/>
    <x v="11"/>
    <n v="0"/>
    <n v="59.4"/>
    <n v="57.419999999999995"/>
    <n v="58.41"/>
    <n v="1"/>
    <n v="1"/>
    <n v="1"/>
    <n v="58.41"/>
    <x v="45"/>
    <n v="0.42000000000000004"/>
  </r>
  <r>
    <n v="50"/>
    <s v="Matsumura (1987)"/>
    <s v="CW3-0-2"/>
    <x v="1"/>
    <x v="0"/>
    <x v="1"/>
    <x v="6"/>
    <n v="900"/>
    <x v="7"/>
    <x v="7"/>
    <x v="1"/>
    <n v="1255"/>
    <x v="7"/>
    <n v="0.68181818181818177"/>
    <n v="0.68181818181818177"/>
    <n v="138980.76923076925"/>
    <n v="198000"/>
    <x v="19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3.70749999999998"/>
    <x v="19"/>
    <n v="385"/>
    <n v="1.5823499999999999"/>
    <n v="400"/>
    <s v="-"/>
    <n v="0"/>
    <s v="-"/>
    <n v="0"/>
    <n v="0"/>
    <x v="0"/>
    <n v="0"/>
    <n v="0"/>
    <n v="0"/>
    <n v="400"/>
    <n v="0"/>
    <x v="10"/>
    <x v="11"/>
    <n v="0"/>
    <n v="79.2"/>
    <n v="65.34"/>
    <n v="72.27000000000001"/>
    <n v="1"/>
    <n v="1"/>
    <n v="1"/>
    <n v="72.27000000000001"/>
    <x v="46"/>
    <n v="0.51999999999999991"/>
  </r>
  <r>
    <n v="51"/>
    <s v="Matsumura (1987)"/>
    <s v="CW3-1'"/>
    <x v="1"/>
    <x v="0"/>
    <x v="1"/>
    <x v="6"/>
    <n v="900"/>
    <x v="7"/>
    <x v="7"/>
    <x v="1"/>
    <n v="1255"/>
    <x v="7"/>
    <n v="0.68181818181818177"/>
    <n v="0.68181818181818177"/>
    <n v="140461.53846153847"/>
    <n v="198000"/>
    <x v="20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3.70749999999998"/>
    <x v="19"/>
    <n v="385"/>
    <n v="1.5823499999999999"/>
    <n v="400"/>
    <s v="-"/>
    <n v="191.69999999999996"/>
    <s v="-"/>
    <n v="0"/>
    <n v="191.69999999999996"/>
    <x v="12"/>
    <n v="385"/>
    <n v="0.27334999999999998"/>
    <n v="42.599999999999994"/>
    <n v="400"/>
    <n v="0"/>
    <x v="10"/>
    <x v="11"/>
    <n v="0"/>
    <n v="100.98"/>
    <n v="63.36"/>
    <n v="82.17"/>
    <n v="1"/>
    <n v="1"/>
    <n v="1"/>
    <n v="82.17"/>
    <x v="47"/>
    <n v="0.58499999999999996"/>
  </r>
  <r>
    <n v="52"/>
    <s v="Matsumura (1987)"/>
    <s v="CW3-2"/>
    <x v="1"/>
    <x v="0"/>
    <x v="1"/>
    <x v="6"/>
    <n v="900"/>
    <x v="7"/>
    <x v="7"/>
    <x v="1"/>
    <n v="1255"/>
    <x v="7"/>
    <n v="0.68181818181818177"/>
    <n v="0.68181818181818177"/>
    <n v="140314.96062992126"/>
    <n v="198000"/>
    <x v="21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3.70749999999998"/>
    <x v="19"/>
    <n v="385"/>
    <n v="1.5823499999999999"/>
    <n v="400"/>
    <s v="-"/>
    <n v="399.6"/>
    <s v="-"/>
    <n v="0"/>
    <n v="399.6"/>
    <x v="13"/>
    <n v="385"/>
    <n v="0.56979999999999997"/>
    <n v="88.8"/>
    <n v="400"/>
    <n v="0"/>
    <x v="10"/>
    <x v="11"/>
    <n v="0"/>
    <n v="104.94"/>
    <n v="73.260000000000005"/>
    <n v="89.1"/>
    <n v="1"/>
    <n v="1"/>
    <n v="1"/>
    <n v="89.1"/>
    <x v="48"/>
    <n v="0.6349999999999999"/>
  </r>
  <r>
    <n v="53"/>
    <s v="Matsumura (1987)"/>
    <s v="CW3-3"/>
    <x v="1"/>
    <x v="0"/>
    <x v="1"/>
    <x v="6"/>
    <n v="900"/>
    <x v="7"/>
    <x v="7"/>
    <x v="1"/>
    <n v="1255"/>
    <x v="7"/>
    <n v="0.68181818181818177"/>
    <n v="0.68181818181818177"/>
    <n v="139471.69811320753"/>
    <n v="198000"/>
    <x v="22"/>
    <s v="-"/>
    <s v="-"/>
    <x v="26"/>
    <n v="23"/>
    <x v="19"/>
    <n v="9.5"/>
    <n v="16.399999999999999"/>
    <n v="3"/>
    <n v="3.9333333333333331"/>
    <s v="-"/>
    <n v="0.93785320622293622"/>
    <x v="14"/>
    <s v="-"/>
    <s v="-"/>
    <s v="-"/>
    <n v="773.70749999999998"/>
    <x v="19"/>
    <n v="385"/>
    <n v="1.5823499999999999"/>
    <n v="400"/>
    <s v="-"/>
    <n v="599.40000000000009"/>
    <s v="-"/>
    <n v="0"/>
    <n v="599.40000000000009"/>
    <x v="14"/>
    <n v="385"/>
    <n v="0.85470000000000013"/>
    <n v="133.20000000000002"/>
    <n v="400"/>
    <n v="0"/>
    <x v="10"/>
    <x v="11"/>
    <n v="0"/>
    <n v="132.66"/>
    <n v="89.1"/>
    <n v="110.88"/>
    <n v="1"/>
    <n v="1"/>
    <n v="1"/>
    <n v="110.88"/>
    <x v="49"/>
    <n v="0.79500000000000004"/>
  </r>
  <r>
    <n v="54"/>
    <s v="Matsumura (1987)"/>
    <s v="CW3-1-A2"/>
    <x v="1"/>
    <x v="0"/>
    <x v="1"/>
    <x v="6"/>
    <n v="900"/>
    <x v="7"/>
    <x v="7"/>
    <x v="1"/>
    <n v="1255"/>
    <x v="7"/>
    <n v="0.68181818181818177"/>
    <n v="0.68181818181818177"/>
    <n v="140123.07692307694"/>
    <n v="198000"/>
    <x v="23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773.70749999999998"/>
    <x v="19"/>
    <n v="385"/>
    <n v="1.5823499999999999"/>
    <n v="400"/>
    <s v="-"/>
    <n v="191.69999999999996"/>
    <s v="-"/>
    <n v="0"/>
    <n v="191.69999999999996"/>
    <x v="12"/>
    <n v="385"/>
    <n v="0.27334999999999998"/>
    <n v="42.599999999999994"/>
    <n v="400"/>
    <n v="97.02"/>
    <x v="22"/>
    <x v="23"/>
    <n v="0.69"/>
    <n v="172.26"/>
    <n v="100.98"/>
    <n v="136.62"/>
    <n v="1"/>
    <n v="1"/>
    <n v="1"/>
    <n v="136.62"/>
    <x v="50"/>
    <n v="0.97499999999999998"/>
  </r>
  <r>
    <n v="55"/>
    <s v="Matsumura (1987)"/>
    <s v="CW3-1-A3"/>
    <x v="1"/>
    <x v="0"/>
    <x v="1"/>
    <x v="6"/>
    <n v="900"/>
    <x v="7"/>
    <x v="7"/>
    <x v="1"/>
    <n v="1255"/>
    <x v="7"/>
    <n v="0.68181818181818177"/>
    <n v="0.68181818181818177"/>
    <n v="139764.70588235295"/>
    <n v="198000"/>
    <x v="24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773.70749999999998"/>
    <x v="19"/>
    <n v="385"/>
    <n v="1.5823499999999999"/>
    <n v="400"/>
    <s v="-"/>
    <n v="191.69999999999996"/>
    <s v="-"/>
    <n v="0"/>
    <n v="191.69999999999996"/>
    <x v="12"/>
    <n v="385"/>
    <n v="0.27334999999999998"/>
    <n v="42.599999999999994"/>
    <n v="400"/>
    <n v="194.04"/>
    <x v="16"/>
    <x v="24"/>
    <n v="1.39"/>
    <n v="148.5"/>
    <n v="136.62"/>
    <n v="142.56"/>
    <n v="1"/>
    <n v="1"/>
    <n v="1"/>
    <n v="142.56"/>
    <x v="51"/>
    <n v="1.0199999999999998"/>
  </r>
  <r>
    <n v="56"/>
    <s v="Matsumura (1987)"/>
    <s v="CW3-1-A4"/>
    <x v="1"/>
    <x v="0"/>
    <x v="1"/>
    <x v="6"/>
    <n v="900"/>
    <x v="7"/>
    <x v="7"/>
    <x v="1"/>
    <n v="1255"/>
    <x v="7"/>
    <n v="0.68181818181818177"/>
    <n v="0.68181818181818177"/>
    <n v="139992.1875"/>
    <n v="198000"/>
    <x v="25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773.70749999999998"/>
    <x v="19"/>
    <n v="385"/>
    <n v="1.5823499999999999"/>
    <n v="400"/>
    <s v="-"/>
    <n v="191.69999999999996"/>
    <s v="-"/>
    <n v="0"/>
    <n v="191.69999999999996"/>
    <x v="12"/>
    <n v="385"/>
    <n v="0.27334999999999998"/>
    <n v="42.599999999999994"/>
    <n v="400"/>
    <n v="291.06"/>
    <x v="23"/>
    <x v="25"/>
    <n v="2.08"/>
    <n v="192.06"/>
    <n v="166.32"/>
    <n v="179.19"/>
    <n v="1"/>
    <n v="1"/>
    <n v="1"/>
    <n v="179.19"/>
    <x v="52"/>
    <n v="1.2799999999999998"/>
  </r>
  <r>
    <n v="57"/>
    <s v="Matsumura (1987)"/>
    <s v="CW3-0-A2"/>
    <x v="1"/>
    <x v="0"/>
    <x v="1"/>
    <x v="6"/>
    <n v="900"/>
    <x v="9"/>
    <x v="9"/>
    <x v="1"/>
    <n v="1293"/>
    <x v="9"/>
    <n v="0.65693430656934304"/>
    <n v="0.65693430656934304"/>
    <n v="147458.01526717556"/>
    <n v="205500"/>
    <x v="26"/>
    <s v="-"/>
    <s v="-"/>
    <x v="26"/>
    <n v="23"/>
    <x v="19"/>
    <n v="8.1"/>
    <n v="14"/>
    <n v="3"/>
    <n v="3.9333333333333331"/>
    <s v="-"/>
    <n v="0.93785320622293622"/>
    <x v="16"/>
    <s v="-"/>
    <s v="-"/>
    <s v="-"/>
    <n v="773.86050000000012"/>
    <x v="23"/>
    <n v="385"/>
    <n v="1.5361500000000001"/>
    <n v="400"/>
    <s v="-"/>
    <n v="0"/>
    <s v="-"/>
    <n v="0"/>
    <n v="0"/>
    <x v="0"/>
    <n v="0"/>
    <n v="0"/>
    <n v="0"/>
    <n v="400"/>
    <n v="97.02"/>
    <x v="22"/>
    <x v="26"/>
    <n v="0.68"/>
    <n v="108.91500000000001"/>
    <n v="84.254999999999995"/>
    <n v="96.585000000000008"/>
    <n v="1"/>
    <n v="1"/>
    <n v="1"/>
    <n v="96.585000000000008"/>
    <x v="53"/>
    <n v="0.65500000000000014"/>
  </r>
  <r>
    <n v="58"/>
    <s v="Matsumura (1987)"/>
    <s v="CW3-2-A2"/>
    <x v="1"/>
    <x v="0"/>
    <x v="1"/>
    <x v="6"/>
    <n v="900"/>
    <x v="9"/>
    <x v="9"/>
    <x v="1"/>
    <n v="1293"/>
    <x v="9"/>
    <n v="0.65693430656934304"/>
    <n v="0.65693430656934304"/>
    <n v="146927.53623188403"/>
    <n v="205500"/>
    <x v="27"/>
    <s v="-"/>
    <s v="-"/>
    <x v="26"/>
    <n v="23"/>
    <x v="19"/>
    <n v="8.1"/>
    <n v="14"/>
    <n v="3"/>
    <n v="3.9333333333333331"/>
    <s v="-"/>
    <n v="0.93785320622293622"/>
    <x v="16"/>
    <s v="-"/>
    <s v="-"/>
    <s v="-"/>
    <n v="773.86050000000012"/>
    <x v="23"/>
    <n v="385"/>
    <n v="1.5361500000000001"/>
    <n v="400"/>
    <s v="-"/>
    <n v="399.6"/>
    <s v="-"/>
    <n v="0"/>
    <n v="399.6"/>
    <x v="13"/>
    <n v="385"/>
    <n v="0.56979999999999997"/>
    <n v="88.8"/>
    <n v="400"/>
    <n v="100.69499999999999"/>
    <x v="22"/>
    <x v="26"/>
    <n v="0.68"/>
    <n v="154.125"/>
    <n v="150.01499999999999"/>
    <n v="152.07"/>
    <n v="1"/>
    <n v="1"/>
    <n v="1"/>
    <n v="152.07"/>
    <x v="54"/>
    <n v="1.0350000000000001"/>
  </r>
  <r>
    <n v="59"/>
    <s v="Matsumura (1987)"/>
    <s v="CW3-3-A2"/>
    <x v="1"/>
    <x v="0"/>
    <x v="1"/>
    <x v="6"/>
    <n v="900"/>
    <x v="9"/>
    <x v="9"/>
    <x v="1"/>
    <n v="1293"/>
    <x v="9"/>
    <n v="0.65693430656934304"/>
    <n v="0.65693430656934304"/>
    <n v="146910.63829787236"/>
    <n v="205500"/>
    <x v="28"/>
    <s v="-"/>
    <s v="-"/>
    <x v="26"/>
    <n v="23"/>
    <x v="19"/>
    <n v="8.1"/>
    <n v="14"/>
    <n v="3"/>
    <n v="3.9333333333333331"/>
    <s v="-"/>
    <n v="0.93785320622293622"/>
    <x v="16"/>
    <s v="-"/>
    <s v="-"/>
    <s v="-"/>
    <n v="773.86050000000012"/>
    <x v="23"/>
    <n v="385"/>
    <n v="1.5361500000000001"/>
    <n v="400"/>
    <s v="-"/>
    <n v="599.40000000000009"/>
    <s v="-"/>
    <n v="0"/>
    <n v="599.40000000000009"/>
    <x v="14"/>
    <n v="385"/>
    <n v="0.85470000000000013"/>
    <n v="133.20000000000002"/>
    <n v="400"/>
    <n v="100.69499999999999"/>
    <x v="22"/>
    <x v="26"/>
    <n v="0.68"/>
    <n v="160.29"/>
    <n v="184.95"/>
    <n v="172.62"/>
    <n v="1"/>
    <n v="1"/>
    <n v="1"/>
    <n v="172.62"/>
    <x v="55"/>
    <n v="1.1749999999999998"/>
  </r>
  <r>
    <n v="60"/>
    <s v="Matsumura (1987)"/>
    <s v="CW3-4-A2"/>
    <x v="1"/>
    <x v="0"/>
    <x v="1"/>
    <x v="6"/>
    <n v="900"/>
    <x v="9"/>
    <x v="9"/>
    <x v="1"/>
    <n v="1293"/>
    <x v="9"/>
    <n v="0.65693430656934304"/>
    <n v="0.65693430656934304"/>
    <n v="147339.62264150943"/>
    <n v="205500"/>
    <x v="16"/>
    <s v="-"/>
    <s v="-"/>
    <x v="26"/>
    <n v="23"/>
    <x v="19"/>
    <n v="8.1"/>
    <n v="14"/>
    <n v="3"/>
    <n v="3.9333333333333331"/>
    <s v="-"/>
    <n v="0.93785320622293622"/>
    <x v="16"/>
    <s v="-"/>
    <s v="-"/>
    <s v="-"/>
    <n v="773.86050000000012"/>
    <x v="23"/>
    <n v="385"/>
    <n v="1.5361500000000001"/>
    <n v="400"/>
    <s v="-"/>
    <n v="904.5"/>
    <s v="-"/>
    <n v="0"/>
    <n v="904.5"/>
    <x v="15"/>
    <n v="385"/>
    <n v="1.28975"/>
    <n v="201"/>
    <n v="400"/>
    <n v="100.69499999999999"/>
    <x v="22"/>
    <x v="26"/>
    <n v="0.68"/>
    <n v="248.655"/>
    <n v="141.79499999999999"/>
    <n v="195.22499999999999"/>
    <n v="1"/>
    <n v="1"/>
    <n v="1"/>
    <n v="195.22499999999999"/>
    <x v="56"/>
    <n v="1.325"/>
  </r>
  <r>
    <n v="61"/>
    <s v="Matsumura (1987)"/>
    <s v="CWB3-1'-A2"/>
    <x v="1"/>
    <x v="0"/>
    <x v="1"/>
    <x v="6"/>
    <n v="900"/>
    <x v="9"/>
    <x v="9"/>
    <x v="1"/>
    <n v="1293"/>
    <x v="9"/>
    <n v="0.65693430656934304"/>
    <n v="0.65693430656934304"/>
    <n v="147566.48936170214"/>
    <n v="205500"/>
    <x v="29"/>
    <s v="-"/>
    <s v="-"/>
    <x v="26"/>
    <n v="23"/>
    <x v="19"/>
    <n v="8.1"/>
    <n v="14"/>
    <n v="3"/>
    <n v="3.9333333333333331"/>
    <s v="-"/>
    <n v="0.93785320622293622"/>
    <x v="16"/>
    <s v="-"/>
    <s v="-"/>
    <s v="-"/>
    <n v="287.04599999999999"/>
    <x v="24"/>
    <n v="385"/>
    <n v="0.56979999999999997"/>
    <n v="400"/>
    <s v="-"/>
    <n v="191.69999999999996"/>
    <s v="-"/>
    <n v="0"/>
    <n v="191.69999999999996"/>
    <x v="12"/>
    <n v="385"/>
    <n v="0.27334999999999998"/>
    <n v="42.599999999999994"/>
    <n v="400"/>
    <n v="100.69499999999999"/>
    <x v="22"/>
    <x v="26"/>
    <n v="0.68"/>
    <n v="147.96"/>
    <n v="129.465"/>
    <n v="138.71250000000001"/>
    <n v="1"/>
    <n v="1"/>
    <n v="1"/>
    <n v="138.71250000000001"/>
    <x v="57"/>
    <n v="0.94"/>
  </r>
  <r>
    <n v="62"/>
    <s v="Matsumura (1987)"/>
    <s v="CW3-0-A3"/>
    <x v="1"/>
    <x v="0"/>
    <x v="1"/>
    <x v="6"/>
    <n v="900"/>
    <x v="7"/>
    <x v="7"/>
    <x v="1"/>
    <n v="1255"/>
    <x v="7"/>
    <n v="0.68181818181818177"/>
    <n v="0.68181818181818177"/>
    <n v="139559.47136563878"/>
    <n v="198000"/>
    <x v="30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773.70749999999998"/>
    <x v="19"/>
    <n v="385"/>
    <n v="1.5823499999999999"/>
    <n v="400"/>
    <s v="-"/>
    <n v="0"/>
    <s v="-"/>
    <n v="0"/>
    <n v="0"/>
    <x v="0"/>
    <n v="0"/>
    <n v="0"/>
    <n v="0"/>
    <n v="400"/>
    <n v="201.39"/>
    <x v="16"/>
    <x v="24"/>
    <n v="1.39"/>
    <n v="180.18"/>
    <n v="136.62"/>
    <n v="158.4"/>
    <n v="1"/>
    <n v="1"/>
    <n v="1"/>
    <n v="158.4"/>
    <x v="58"/>
    <n v="1.135"/>
  </r>
  <r>
    <n v="63"/>
    <s v="Matsumura (1987)"/>
    <s v="CW3-0'-A3"/>
    <x v="1"/>
    <x v="0"/>
    <x v="1"/>
    <x v="6"/>
    <n v="900"/>
    <x v="7"/>
    <x v="7"/>
    <x v="1"/>
    <n v="1255"/>
    <x v="7"/>
    <n v="0.68181818181818177"/>
    <n v="0.68181818181818177"/>
    <n v="139392"/>
    <n v="198000"/>
    <x v="31"/>
    <s v="-"/>
    <s v="-"/>
    <x v="26"/>
    <n v="23"/>
    <x v="19"/>
    <n v="8.1"/>
    <n v="14"/>
    <n v="3"/>
    <n v="3.9333333333333331"/>
    <s v="-"/>
    <n v="0.93785320622293622"/>
    <x v="16"/>
    <s v="-"/>
    <s v="-"/>
    <s v="-"/>
    <n v="773.70749999999998"/>
    <x v="19"/>
    <n v="385"/>
    <n v="1.5823499999999999"/>
    <n v="400"/>
    <s v="-"/>
    <n v="0"/>
    <s v="-"/>
    <n v="0"/>
    <n v="0"/>
    <x v="0"/>
    <n v="0"/>
    <n v="0"/>
    <n v="0"/>
    <n v="400"/>
    <n v="194.04"/>
    <x v="16"/>
    <x v="27"/>
    <n v="1.39"/>
    <n v="95.04"/>
    <n v="79.2"/>
    <n v="87.12"/>
    <n v="1"/>
    <n v="1"/>
    <n v="1"/>
    <n v="87.12"/>
    <x v="39"/>
    <n v="0.625"/>
  </r>
  <r>
    <n v="64"/>
    <s v="Matsumura (1987)"/>
    <s v="CW3-2-A3"/>
    <x v="1"/>
    <x v="0"/>
    <x v="1"/>
    <x v="6"/>
    <n v="900"/>
    <x v="7"/>
    <x v="7"/>
    <x v="1"/>
    <n v="1255"/>
    <x v="7"/>
    <n v="0.68181818181818177"/>
    <n v="0.68181818181818177"/>
    <n v="140008.36820083685"/>
    <n v="198000"/>
    <x v="32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773.70749999999998"/>
    <x v="19"/>
    <n v="385"/>
    <n v="1.5823499999999999"/>
    <n v="400"/>
    <s v="-"/>
    <n v="399.6"/>
    <s v="-"/>
    <n v="0"/>
    <n v="399.6"/>
    <x v="13"/>
    <n v="385"/>
    <n v="0.56979999999999997"/>
    <n v="88.8"/>
    <n v="400"/>
    <n v="194.04"/>
    <x v="16"/>
    <x v="24"/>
    <n v="1.39"/>
    <n v="196.02"/>
    <n v="138.6"/>
    <n v="167.31"/>
    <n v="1"/>
    <n v="1"/>
    <n v="1"/>
    <n v="167.31"/>
    <x v="59"/>
    <n v="1.1949999999999996"/>
  </r>
  <r>
    <n v="65"/>
    <s v="Matsumura (1987)"/>
    <s v="CW3-3-A3"/>
    <x v="1"/>
    <x v="0"/>
    <x v="1"/>
    <x v="6"/>
    <n v="900"/>
    <x v="7"/>
    <x v="7"/>
    <x v="1"/>
    <n v="1255"/>
    <x v="7"/>
    <n v="0.68181818181818177"/>
    <n v="0.68181818181818177"/>
    <n v="140030.41825095058"/>
    <n v="198000"/>
    <x v="33"/>
    <s v="-"/>
    <s v="-"/>
    <x v="26"/>
    <n v="23"/>
    <x v="19"/>
    <n v="15.6"/>
    <n v="27"/>
    <n v="3"/>
    <n v="3.9333333333333331"/>
    <s v="-"/>
    <n v="0.93785320622293622"/>
    <x v="15"/>
    <s v="-"/>
    <s v="-"/>
    <s v="-"/>
    <n v="773.70749999999998"/>
    <x v="19"/>
    <n v="385"/>
    <n v="1.5823499999999999"/>
    <n v="400"/>
    <s v="-"/>
    <n v="599.40000000000009"/>
    <s v="-"/>
    <n v="0"/>
    <n v="599.40000000000009"/>
    <x v="14"/>
    <n v="385"/>
    <n v="0.85470000000000013"/>
    <n v="133.20000000000002"/>
    <n v="400"/>
    <n v="194.04"/>
    <x v="16"/>
    <x v="24"/>
    <n v="1.39"/>
    <n v="215.82000000000002"/>
    <n v="152.46"/>
    <n v="184.14000000000001"/>
    <n v="1"/>
    <n v="1"/>
    <n v="1"/>
    <n v="184.14000000000001"/>
    <x v="60"/>
    <n v="1.3149999999999999"/>
  </r>
  <r>
    <n v="66"/>
    <s v="Matsumura (1987)"/>
    <s v="CW5-2'-A2-1"/>
    <x v="1"/>
    <x v="0"/>
    <x v="1"/>
    <x v="6"/>
    <n v="900"/>
    <x v="10"/>
    <x v="10"/>
    <x v="1"/>
    <n v="1880"/>
    <x v="10"/>
    <n v="0.45685279187817257"/>
    <n v="0.45685279187817257"/>
    <n v="238828.76712328772"/>
    <n v="295500"/>
    <x v="34"/>
    <s v="-"/>
    <s v="-"/>
    <x v="26"/>
    <n v="23"/>
    <x v="19"/>
    <n v="8.8000000000000007"/>
    <n v="15.2"/>
    <n v="3"/>
    <n v="3.9333333333333331"/>
    <s v="-"/>
    <n v="0.93785320622293622"/>
    <x v="17"/>
    <s v="-"/>
    <s v="-"/>
    <s v="-"/>
    <n v="772.68000000000006"/>
    <x v="25"/>
    <n v="385"/>
    <n v="1.0549000000000002"/>
    <n v="400"/>
    <s v="-"/>
    <n v="399.6"/>
    <s v="-"/>
    <n v="0"/>
    <n v="399.6"/>
    <x v="13"/>
    <n v="385"/>
    <n v="0.56979999999999997"/>
    <n v="88.8"/>
    <n v="400"/>
    <n v="97.02"/>
    <x v="22"/>
    <x v="28"/>
    <n v="0.69"/>
    <n v="292.54500000000002"/>
    <n v="230.49"/>
    <n v="261.51750000000004"/>
    <n v="1"/>
    <n v="1"/>
    <n v="1"/>
    <n v="261.51750000000004"/>
    <x v="61"/>
    <n v="1.095"/>
  </r>
  <r>
    <n v="67"/>
    <s v="Matsumura (1987)"/>
    <s v="CW5-2'-A2-2"/>
    <x v="1"/>
    <x v="0"/>
    <x v="1"/>
    <x v="6"/>
    <n v="900"/>
    <x v="10"/>
    <x v="10"/>
    <x v="1"/>
    <n v="1880"/>
    <x v="10"/>
    <n v="0.45685279187817257"/>
    <n v="0.45685279187817257"/>
    <n v="218837.26415094343"/>
    <n v="295500"/>
    <x v="35"/>
    <s v="-"/>
    <s v="-"/>
    <x v="26"/>
    <n v="23"/>
    <x v="19"/>
    <n v="8.8000000000000007"/>
    <n v="15.2"/>
    <n v="3"/>
    <n v="3.9333333333333331"/>
    <s v="-"/>
    <n v="0.93785320622293622"/>
    <x v="17"/>
    <s v="-"/>
    <s v="-"/>
    <s v="-"/>
    <n v="772.68000000000006"/>
    <x v="25"/>
    <n v="385"/>
    <n v="1.0549000000000002"/>
    <n v="400"/>
    <s v="-"/>
    <n v="399.6"/>
    <s v="-"/>
    <n v="0"/>
    <n v="399.6"/>
    <x v="13"/>
    <n v="385"/>
    <n v="0.56979999999999997"/>
    <n v="88.8"/>
    <n v="400"/>
    <n v="144.79499999999999"/>
    <x v="22"/>
    <x v="28"/>
    <n v="0.69"/>
    <n v="239.35500000000002"/>
    <n v="224.58"/>
    <n v="231.96750000000003"/>
    <n v="1"/>
    <n v="1"/>
    <n v="1"/>
    <n v="231.96750000000003"/>
    <x v="62"/>
    <n v="1.06"/>
  </r>
  <r>
    <n v="68"/>
    <s v="Matsumura (1987)"/>
    <s v="CW4-2'-A2"/>
    <x v="1"/>
    <x v="0"/>
    <x v="1"/>
    <x v="6"/>
    <n v="900"/>
    <x v="11"/>
    <x v="11"/>
    <x v="1"/>
    <n v="1680"/>
    <x v="11"/>
    <n v="0.50847457627118642"/>
    <n v="0.50847457627118642"/>
    <n v="206810.52631578947"/>
    <n v="265500"/>
    <x v="36"/>
    <s v="-"/>
    <s v="-"/>
    <x v="26"/>
    <n v="23"/>
    <x v="19"/>
    <n v="8.8000000000000007"/>
    <n v="15.2"/>
    <n v="3"/>
    <n v="3.9333333333333331"/>
    <s v="-"/>
    <n v="0.93785320622293622"/>
    <x v="17"/>
    <s v="-"/>
    <s v="-"/>
    <s v="-"/>
    <n v="642.6"/>
    <x v="26"/>
    <n v="385"/>
    <n v="0.98175000000000012"/>
    <n v="400"/>
    <s v="-"/>
    <n v="399.6"/>
    <s v="-"/>
    <n v="0"/>
    <n v="399.6"/>
    <x v="13"/>
    <n v="385"/>
    <n v="0.56979999999999997"/>
    <n v="88.8"/>
    <n v="400"/>
    <n v="144.79499999999999"/>
    <x v="22"/>
    <x v="28"/>
    <n v="0.68"/>
    <n v="212.4"/>
    <n v="180.54"/>
    <n v="196.47"/>
    <n v="1"/>
    <n v="1"/>
    <n v="1"/>
    <n v="196.47"/>
    <x v="54"/>
    <n v="0.95"/>
  </r>
  <r>
    <n v="69"/>
    <s v="Matsumura (1987)"/>
    <s v="CW3-2'-A2"/>
    <x v="1"/>
    <x v="0"/>
    <x v="1"/>
    <x v="6"/>
    <n v="900"/>
    <x v="9"/>
    <x v="9"/>
    <x v="1"/>
    <n v="1280"/>
    <x v="9"/>
    <n v="0.65693430656934304"/>
    <n v="0.65693430656934304"/>
    <n v="112090.9090909091"/>
    <n v="205500"/>
    <x v="37"/>
    <s v="-"/>
    <s v="-"/>
    <x v="26"/>
    <n v="23"/>
    <x v="19"/>
    <n v="8.8000000000000007"/>
    <n v="15.2"/>
    <n v="3"/>
    <n v="3.9333333333333331"/>
    <s v="-"/>
    <n v="0.93785320622293622"/>
    <x v="17"/>
    <s v="-"/>
    <s v="-"/>
    <s v="-"/>
    <n v="506.88"/>
    <x v="27"/>
    <n v="385"/>
    <n v="1.0164"/>
    <n v="400"/>
    <s v="-"/>
    <n v="399.6"/>
    <s v="-"/>
    <n v="0"/>
    <n v="399.6"/>
    <x v="13"/>
    <n v="385"/>
    <n v="0.56979999999999997"/>
    <n v="88.8"/>
    <n v="400"/>
    <n v="130.095"/>
    <x v="22"/>
    <x v="28"/>
    <n v="0.67"/>
    <n v="123.3"/>
    <n v="98.64"/>
    <n v="110.97"/>
    <n v="1"/>
    <n v="1"/>
    <n v="1"/>
    <n v="110.97"/>
    <x v="63"/>
    <n v="0.98999999999999977"/>
  </r>
  <r>
    <n v="70"/>
    <s v="Matsumura (1987)"/>
    <s v="CW2-2'-A2-1"/>
    <x v="1"/>
    <x v="0"/>
    <x v="1"/>
    <x v="6"/>
    <n v="900"/>
    <x v="12"/>
    <x v="12"/>
    <x v="1"/>
    <n v="880"/>
    <x v="12"/>
    <n v="0.92783505154639179"/>
    <n v="0.92783505154639179"/>
    <n v="106897.95918367348"/>
    <n v="145500"/>
    <x v="38"/>
    <s v="-"/>
    <s v="-"/>
    <x v="26"/>
    <n v="23"/>
    <x v="19"/>
    <n v="8.8000000000000007"/>
    <n v="15.2"/>
    <n v="3"/>
    <n v="3.9333333333333331"/>
    <s v="-"/>
    <n v="0.93785320622293622"/>
    <x v="17"/>
    <s v="-"/>
    <s v="-"/>
    <s v="-"/>
    <n v="386.76"/>
    <x v="28"/>
    <n v="385"/>
    <n v="1.12805"/>
    <n v="400"/>
    <s v="-"/>
    <n v="399.6"/>
    <s v="-"/>
    <n v="0"/>
    <n v="399.6"/>
    <x v="13"/>
    <n v="385"/>
    <n v="0.56979999999999997"/>
    <n v="88.8"/>
    <n v="400"/>
    <n v="100.69499999999999"/>
    <x v="22"/>
    <x v="28"/>
    <n v="0.67"/>
    <n v="87.3"/>
    <n v="69.84"/>
    <n v="78.569999999999993"/>
    <n v="1"/>
    <n v="1"/>
    <n v="1"/>
    <n v="78.569999999999993"/>
    <x v="63"/>
    <n v="0.73499999999999988"/>
  </r>
  <r>
    <n v="71"/>
    <s v="Matsumura (1987)"/>
    <s v="CW2-2'-A2-2"/>
    <x v="1"/>
    <x v="0"/>
    <x v="1"/>
    <x v="6"/>
    <n v="900"/>
    <x v="12"/>
    <x v="12"/>
    <x v="1"/>
    <n v="880"/>
    <x v="12"/>
    <n v="0.92783505154639179"/>
    <n v="0.92783505154639179"/>
    <n v="106439.59731543624"/>
    <n v="145500"/>
    <x v="39"/>
    <s v="-"/>
    <s v="-"/>
    <x v="26"/>
    <n v="23"/>
    <x v="19"/>
    <n v="8.8000000000000007"/>
    <n v="15.2"/>
    <n v="3"/>
    <n v="3.9333333333333331"/>
    <s v="-"/>
    <n v="0.93785320622293622"/>
    <x v="17"/>
    <s v="-"/>
    <s v="-"/>
    <s v="-"/>
    <n v="386.76"/>
    <x v="28"/>
    <n v="385"/>
    <n v="1.12805"/>
    <n v="400"/>
    <s v="-"/>
    <n v="399.6"/>
    <s v="-"/>
    <n v="0"/>
    <n v="399.6"/>
    <x v="13"/>
    <n v="385"/>
    <n v="0.56979999999999997"/>
    <n v="88.8"/>
    <n v="400"/>
    <n v="71.295000000000002"/>
    <x v="22"/>
    <x v="28"/>
    <n v="0.67"/>
    <n v="90.21"/>
    <n v="68.385000000000005"/>
    <n v="79.297499999999999"/>
    <n v="1"/>
    <n v="1"/>
    <n v="1"/>
    <n v="79.297499999999999"/>
    <x v="64"/>
    <n v="0.745"/>
  </r>
  <r>
    <n v="72"/>
    <s v="Tomaževic and Lutman (1988)"/>
    <s v="CN-0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7.399999999999999"/>
    <n v="9.3000000000000007"/>
    <x v="27"/>
    <n v="9.3000000000000007"/>
    <x v="20"/>
    <n v="26.8"/>
    <s v="-"/>
    <s v="-"/>
    <s v="-"/>
    <s v="-"/>
    <n v="1"/>
    <x v="18"/>
    <s v="-"/>
    <s v="Ø10mm"/>
    <n v="78.539816339744831"/>
    <n v="157.07963267948966"/>
    <x v="29"/>
    <n v="522"/>
    <n v="1.6802370544814262"/>
    <n v="510"/>
    <s v="-"/>
    <n v="0"/>
    <s v="-"/>
    <n v="0"/>
    <n v="0"/>
    <x v="0"/>
    <n v="0"/>
    <n v="0"/>
    <n v="0"/>
    <n v="0"/>
    <n v="60"/>
    <x v="24"/>
    <x v="29"/>
    <n v="1.6483516483516483"/>
    <s v="-"/>
    <n v="32.89"/>
    <n v="32.89"/>
    <n v="0.94"/>
    <n v="1"/>
    <n v="1"/>
    <n v="30.916599999999999"/>
    <x v="65"/>
    <n v="0.84935714285714281"/>
  </r>
  <r>
    <n v="73"/>
    <s v="Tomaževic and Lutman (1988)"/>
    <s v="CN-14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7.399999999999999"/>
    <n v="9.3000000000000007"/>
    <x v="27"/>
    <n v="9.3000000000000007"/>
    <x v="20"/>
    <n v="26.8"/>
    <s v="-"/>
    <s v="-"/>
    <s v="-"/>
    <s v="-"/>
    <n v="1"/>
    <x v="18"/>
    <s v="-"/>
    <s v="Ø10mm"/>
    <n v="78.539816339744831"/>
    <n v="157.07963267948966"/>
    <x v="29"/>
    <n v="522"/>
    <n v="1.6802370544814262"/>
    <n v="510"/>
    <s v="-"/>
    <n v="0"/>
    <s v="2Ø3.1mm"/>
    <n v="15.095352700498958"/>
    <n v="15.095352700498958"/>
    <x v="16"/>
    <n v="323"/>
    <n v="0.24378994611305818"/>
    <n v="7.5476763502494792"/>
    <n v="100"/>
    <n v="60"/>
    <x v="24"/>
    <x v="29"/>
    <n v="1.6483516483516483"/>
    <s v="-"/>
    <n v="40.68"/>
    <n v="40.68"/>
    <n v="0.94"/>
    <n v="1"/>
    <n v="1"/>
    <n v="38.239199999999997"/>
    <x v="66"/>
    <n v="1.0505274725274723"/>
  </r>
  <r>
    <n v="74"/>
    <s v="Tomaževic and Lutman (1988)"/>
    <s v="CN-28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7.399999999999999"/>
    <n v="9.3000000000000007"/>
    <x v="27"/>
    <n v="9.3000000000000007"/>
    <x v="20"/>
    <n v="26.8"/>
    <s v="-"/>
    <s v="-"/>
    <s v="-"/>
    <s v="-"/>
    <n v="1"/>
    <x v="18"/>
    <s v="-"/>
    <s v="Ø10mm"/>
    <n v="78.539816339744831"/>
    <n v="157.07963267948966"/>
    <x v="29"/>
    <n v="522"/>
    <n v="1.6802370544814262"/>
    <n v="510"/>
    <s v="-"/>
    <n v="0"/>
    <s v="2Ø4.2mm"/>
    <n v="27.708847204661975"/>
    <n v="27.708847204661975"/>
    <x v="17"/>
    <n v="391"/>
    <n v="0.54170796285114164"/>
    <n v="13.854423602330987"/>
    <n v="100"/>
    <n v="60"/>
    <x v="24"/>
    <x v="29"/>
    <n v="1.6483516483516483"/>
    <s v="-"/>
    <n v="35.340000000000003"/>
    <n v="35.340000000000003"/>
    <n v="0.94"/>
    <n v="1"/>
    <n v="1"/>
    <n v="33.2196"/>
    <x v="67"/>
    <n v="0.91262637362637355"/>
  </r>
  <r>
    <n v="75"/>
    <s v="Tomaževic and Lutman (1988)"/>
    <s v="CN-50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7.399999999999999"/>
    <n v="9.3000000000000007"/>
    <x v="27"/>
    <n v="9.3000000000000007"/>
    <x v="20"/>
    <n v="26.8"/>
    <s v="-"/>
    <s v="-"/>
    <s v="-"/>
    <s v="-"/>
    <n v="1"/>
    <x v="18"/>
    <s v="-"/>
    <s v="Ø10mm"/>
    <n v="78.539816339744831"/>
    <n v="157.07963267948966"/>
    <x v="29"/>
    <n v="522"/>
    <n v="1.6802370544814262"/>
    <n v="510"/>
    <s v="-"/>
    <n v="0"/>
    <s v="2Ø6mm"/>
    <n v="56.548667764616276"/>
    <n v="56.548667764616276"/>
    <x v="18"/>
    <n v="253"/>
    <n v="0.71534064722239599"/>
    <n v="28.274333882308138"/>
    <n v="100"/>
    <n v="60"/>
    <x v="24"/>
    <x v="29"/>
    <n v="1.6483516483516483"/>
    <s v="-"/>
    <n v="40.28"/>
    <n v="40.28"/>
    <n v="0.94"/>
    <n v="1"/>
    <n v="1"/>
    <n v="37.863199999999999"/>
    <x v="68"/>
    <n v="1.0401978021978022"/>
  </r>
  <r>
    <n v="76"/>
    <s v="Tomaževic and Lutman (1988)"/>
    <s v="CV-0"/>
    <x v="1"/>
    <x v="0"/>
    <x v="0"/>
    <x v="8"/>
    <n v="1400"/>
    <x v="13"/>
    <x v="14"/>
    <x v="4"/>
    <n v="488"/>
    <x v="14"/>
    <n v="2.2950819672131146"/>
    <n v="2.2950819672131146"/>
    <n v="36400"/>
    <n v="61000"/>
    <x v="40"/>
    <n v="17.399999999999999"/>
    <n v="9.3000000000000007"/>
    <x v="27"/>
    <n v="9.3000000000000007"/>
    <x v="20"/>
    <n v="26.8"/>
    <s v="-"/>
    <s v="-"/>
    <s v="-"/>
    <s v="-"/>
    <n v="1"/>
    <x v="18"/>
    <s v="-"/>
    <s v="Ø10mm"/>
    <n v="78.539816339744831"/>
    <n v="157.07963267948966"/>
    <x v="29"/>
    <n v="522"/>
    <n v="1.6802370544814262"/>
    <n v="510"/>
    <s v="-"/>
    <n v="0"/>
    <s v="-"/>
    <n v="0"/>
    <n v="0"/>
    <x v="0"/>
    <n v="0"/>
    <n v="0"/>
    <n v="0"/>
    <n v="0"/>
    <n v="60"/>
    <x v="24"/>
    <x v="29"/>
    <n v="1.6483516483516483"/>
    <s v="-"/>
    <n v="26.01"/>
    <n v="26.01"/>
    <n v="0.94"/>
    <n v="1"/>
    <n v="1"/>
    <n v="24.449400000000001"/>
    <x v="69"/>
    <n v="0.67168681318681323"/>
  </r>
  <r>
    <n v="77"/>
    <s v="Tomaževic and Lutman (1988)"/>
    <s v="DN-0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5.5"/>
    <n v="7"/>
    <x v="28"/>
    <n v="7"/>
    <x v="21"/>
    <n v="23.8"/>
    <s v="-"/>
    <s v="-"/>
    <s v="-"/>
    <s v="-"/>
    <n v="1"/>
    <x v="19"/>
    <s v="-"/>
    <s v="2Ø10mm"/>
    <n v="78.539816339744831"/>
    <n v="314.15926535897933"/>
    <x v="30"/>
    <n v="522"/>
    <n v="3.3604741089628525"/>
    <n v="510"/>
    <s v="-"/>
    <n v="0"/>
    <s v="-"/>
    <n v="0"/>
    <n v="0"/>
    <x v="0"/>
    <n v="0"/>
    <n v="0"/>
    <n v="0"/>
    <n v="0"/>
    <n v="60"/>
    <x v="24"/>
    <x v="30"/>
    <n v="1.6483516483516483"/>
    <s v="-"/>
    <n v="30.06"/>
    <n v="30.06"/>
    <n v="0.94"/>
    <n v="1"/>
    <n v="1"/>
    <n v="28.256399999999996"/>
    <x v="70"/>
    <n v="0.77627472527472507"/>
  </r>
  <r>
    <n v="78"/>
    <s v="Tomaževic and Lutman (1988)"/>
    <s v="DN-14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5.5"/>
    <n v="7"/>
    <x v="28"/>
    <n v="7"/>
    <x v="21"/>
    <n v="23.8"/>
    <s v="-"/>
    <s v="-"/>
    <s v="-"/>
    <s v="-"/>
    <n v="1"/>
    <x v="19"/>
    <s v="-"/>
    <s v="2Ø10mm"/>
    <n v="78.539816339744831"/>
    <n v="314.15926535897933"/>
    <x v="30"/>
    <n v="522"/>
    <n v="3.3604741089628525"/>
    <n v="510"/>
    <s v="-"/>
    <n v="0"/>
    <s v="2Ø3.1mm"/>
    <n v="15.095352700498958"/>
    <n v="15.095352700498958"/>
    <x v="16"/>
    <n v="323"/>
    <n v="0.24378994611305818"/>
    <n v="7.5476763502494792"/>
    <n v="100"/>
    <n v="60"/>
    <x v="24"/>
    <x v="30"/>
    <n v="1.6483516483516483"/>
    <s v="-"/>
    <n v="34.92"/>
    <n v="34.92"/>
    <n v="0.94"/>
    <n v="1"/>
    <n v="1"/>
    <n v="32.824799999999996"/>
    <x v="71"/>
    <n v="0.90178021978021961"/>
  </r>
  <r>
    <n v="79"/>
    <s v="Tomaževic and Lutman (1988)"/>
    <s v="DN-28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5.5"/>
    <n v="7"/>
    <x v="28"/>
    <n v="7"/>
    <x v="21"/>
    <n v="23.8"/>
    <s v="-"/>
    <s v="-"/>
    <s v="-"/>
    <s v="-"/>
    <n v="1"/>
    <x v="19"/>
    <s v="-"/>
    <s v="2Ø10mm"/>
    <n v="78.539816339744831"/>
    <n v="314.15926535897933"/>
    <x v="30"/>
    <n v="522"/>
    <n v="3.3604741089628525"/>
    <n v="510"/>
    <s v="-"/>
    <n v="0"/>
    <s v="2Ø4.2mm"/>
    <n v="27.708847204661975"/>
    <n v="27.708847204661975"/>
    <x v="17"/>
    <n v="391"/>
    <n v="0.54170796285114164"/>
    <n v="13.854423602330987"/>
    <n v="100"/>
    <n v="60"/>
    <x v="24"/>
    <x v="30"/>
    <n v="1.6483516483516483"/>
    <s v="-"/>
    <n v="43.22"/>
    <n v="43.22"/>
    <n v="0.94"/>
    <n v="1"/>
    <n v="1"/>
    <n v="40.626799999999996"/>
    <x v="72"/>
    <n v="1.116120879120879"/>
  </r>
  <r>
    <n v="80"/>
    <s v="Tomaževic and Lutman (1988)"/>
    <s v="DN-50"/>
    <x v="1"/>
    <x v="0"/>
    <x v="0"/>
    <x v="7"/>
    <n v="760"/>
    <x v="13"/>
    <x v="13"/>
    <x v="4"/>
    <n v="488"/>
    <x v="13"/>
    <n v="1.2459016393442623"/>
    <n v="1.2459016393442623"/>
    <n v="36400"/>
    <n v="61000"/>
    <x v="40"/>
    <n v="15.5"/>
    <n v="7"/>
    <x v="28"/>
    <n v="7"/>
    <x v="21"/>
    <n v="23.8"/>
    <s v="-"/>
    <s v="-"/>
    <s v="-"/>
    <s v="-"/>
    <n v="1"/>
    <x v="19"/>
    <s v="-"/>
    <s v="2Ø10mm"/>
    <n v="78.539816339744831"/>
    <n v="314.15926535897933"/>
    <x v="30"/>
    <n v="522"/>
    <n v="3.3604741089628525"/>
    <n v="510"/>
    <s v="-"/>
    <n v="0"/>
    <s v="2Ø6mm"/>
    <n v="56.548667764616276"/>
    <n v="56.548667764616276"/>
    <x v="18"/>
    <n v="253"/>
    <n v="0.71534064722239599"/>
    <n v="28.274333882308138"/>
    <n v="100"/>
    <n v="60"/>
    <x v="24"/>
    <x v="30"/>
    <n v="1.6483516483516483"/>
    <s v="-"/>
    <n v="46.84"/>
    <n v="46.84"/>
    <n v="0.94"/>
    <n v="1"/>
    <n v="1"/>
    <n v="44.029600000000002"/>
    <x v="73"/>
    <n v="1.2096043956043956"/>
  </r>
  <r>
    <n v="81"/>
    <s v="Tomaževic and Lutman (1988)"/>
    <s v="DV-0"/>
    <x v="1"/>
    <x v="0"/>
    <x v="0"/>
    <x v="8"/>
    <n v="1400"/>
    <x v="13"/>
    <x v="14"/>
    <x v="4"/>
    <n v="488"/>
    <x v="14"/>
    <n v="2.2950819672131146"/>
    <n v="2.2950819672131146"/>
    <n v="36400"/>
    <n v="61000"/>
    <x v="40"/>
    <n v="15.5"/>
    <n v="7"/>
    <x v="28"/>
    <n v="7"/>
    <x v="21"/>
    <n v="23.8"/>
    <s v="-"/>
    <s v="-"/>
    <s v="-"/>
    <s v="-"/>
    <n v="1"/>
    <x v="19"/>
    <s v="-"/>
    <s v="2Ø10mm"/>
    <n v="78.539816339744831"/>
    <n v="314.15926535897933"/>
    <x v="30"/>
    <n v="522"/>
    <n v="3.3604741089628525"/>
    <n v="510"/>
    <s v="-"/>
    <n v="0"/>
    <s v="-"/>
    <n v="0"/>
    <n v="0"/>
    <x v="0"/>
    <n v="0"/>
    <n v="0"/>
    <n v="0"/>
    <n v="0"/>
    <n v="60"/>
    <x v="24"/>
    <x v="30"/>
    <n v="1.6483516483516483"/>
    <s v="-"/>
    <n v="29.05"/>
    <n v="29.05"/>
    <n v="0.94"/>
    <n v="1"/>
    <n v="1"/>
    <n v="27.306999999999999"/>
    <x v="74"/>
    <n v="0.7501923076923076"/>
  </r>
  <r>
    <n v="82"/>
    <s v="Johal and Anderson (1988)"/>
    <s v="DM1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5.8"/>
    <x v="29"/>
    <n v="21.15"/>
    <x v="22"/>
    <n v="8.61"/>
    <s v="-"/>
    <n v="3"/>
    <n v="3"/>
    <s v="-"/>
    <n v="0.87823286469972417"/>
    <x v="20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96.13224000000001"/>
    <n v="96.13224000000001"/>
    <n v="0.94"/>
    <n v="1"/>
    <n v="1"/>
    <n v="90.364305600000009"/>
    <x v="75"/>
    <n v="0.93"/>
  </r>
  <r>
    <n v="83"/>
    <s v="Johal and Anderson (1988)"/>
    <s v="DM2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5.8"/>
    <x v="29"/>
    <n v="21.15"/>
    <x v="22"/>
    <n v="8.61"/>
    <s v="-"/>
    <n v="3"/>
    <n v="3"/>
    <s v="-"/>
    <n v="0.87823286469972417"/>
    <x v="20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8.53640000000001"/>
    <n v="108.53640000000001"/>
    <n v="0.94"/>
    <n v="1"/>
    <n v="1"/>
    <n v="102.02421600000001"/>
    <x v="76"/>
    <n v="1.05"/>
  </r>
  <r>
    <n v="84"/>
    <s v="Johal and Anderson (1988)"/>
    <s v="DM3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7.2"/>
    <x v="30"/>
    <n v="21.15"/>
    <x v="22"/>
    <n v="9.23"/>
    <s v="-"/>
    <n v="3"/>
    <n v="3"/>
    <s v="-"/>
    <n v="0.87823286469972417"/>
    <x v="21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16.80583999999998"/>
    <n v="116.80583999999998"/>
    <n v="0.94"/>
    <n v="1"/>
    <n v="1"/>
    <n v="109.79748959999998"/>
    <x v="77"/>
    <n v="1.1299999999999999"/>
  </r>
  <r>
    <n v="85"/>
    <s v="Johal and Anderson (1988)"/>
    <s v="DM4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7.2"/>
    <x v="30"/>
    <n v="21.15"/>
    <x v="22"/>
    <n v="9.23"/>
    <s v="-"/>
    <n v="3"/>
    <n v="3"/>
    <s v="-"/>
    <n v="0.87823286469972417"/>
    <x v="21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86.0624"/>
    <n v="186.0624"/>
    <n v="0.94"/>
    <n v="1"/>
    <n v="1"/>
    <n v="174.89865599999999"/>
    <x v="78"/>
    <n v="1.8"/>
  </r>
  <r>
    <n v="86"/>
    <s v="Johal and Anderson (1988)"/>
    <s v="DM5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9.600000000000001"/>
    <x v="31"/>
    <n v="21.15"/>
    <x v="22"/>
    <n v="8.41"/>
    <s v="-"/>
    <n v="3"/>
    <n v="3"/>
    <s v="-"/>
    <n v="0.87823286469972417"/>
    <x v="22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3.26463199999999"/>
    <n v="103.26463199999999"/>
    <n v="0.94"/>
    <n v="1"/>
    <n v="1"/>
    <n v="97.068754079999991"/>
    <x v="79"/>
    <n v="0.999"/>
  </r>
  <r>
    <n v="87"/>
    <s v="Johal and Anderson (1988)"/>
    <s v="DM6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9.600000000000001"/>
    <x v="31"/>
    <n v="21.15"/>
    <x v="22"/>
    <n v="8.41"/>
    <s v="-"/>
    <n v="3"/>
    <n v="3"/>
    <s v="-"/>
    <n v="0.87823286469972417"/>
    <x v="22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6.46904000000001"/>
    <n v="106.46904000000001"/>
    <n v="0.94"/>
    <n v="1"/>
    <n v="1"/>
    <n v="100.0808976"/>
    <x v="80"/>
    <n v="1.03"/>
  </r>
  <r>
    <n v="88"/>
    <s v="Johal and Anderson (1988)"/>
    <s v="DP1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22.3"/>
    <x v="32"/>
    <n v="21.15"/>
    <x v="22"/>
    <n v="11.2"/>
    <s v="-"/>
    <n v="3"/>
    <n v="3"/>
    <s v="-"/>
    <n v="0.87823286469972417"/>
    <x v="23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15.77216000000001"/>
    <n v="115.77216000000001"/>
    <n v="0.94"/>
    <n v="1"/>
    <n v="1"/>
    <n v="108.8258304"/>
    <x v="81"/>
    <n v="1.1200000000000001"/>
  </r>
  <r>
    <n v="89"/>
    <s v="Johal and Anderson (1988)"/>
    <s v="DP2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22.3"/>
    <x v="32"/>
    <n v="21.15"/>
    <x v="22"/>
    <n v="11.2"/>
    <s v="-"/>
    <n v="3"/>
    <n v="3"/>
    <s v="-"/>
    <n v="0.87823286469972417"/>
    <x v="23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4.40168000000001"/>
    <n v="104.40168000000001"/>
    <n v="0.94"/>
    <n v="1"/>
    <n v="1"/>
    <n v="98.137579200000005"/>
    <x v="82"/>
    <n v="1.01"/>
  </r>
  <r>
    <n v="90"/>
    <s v="Johal and Anderson (1988)"/>
    <s v="DS1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7.3"/>
    <x v="33"/>
    <n v="21.15"/>
    <x v="22"/>
    <n v="9.23"/>
    <s v="-"/>
    <n v="3"/>
    <n v="3"/>
    <s v="-"/>
    <n v="0.87823286469972417"/>
    <x v="21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13.70480000000001"/>
    <n v="113.70480000000001"/>
    <n v="0.94"/>
    <n v="1"/>
    <n v="1"/>
    <n v="106.88251200000001"/>
    <x v="83"/>
    <n v="1.1000000000000001"/>
  </r>
  <r>
    <n v="91"/>
    <s v="Johal and Anderson (1988)"/>
    <s v="DS2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7.3"/>
    <x v="33"/>
    <n v="21.15"/>
    <x v="22"/>
    <n v="9.23"/>
    <s v="-"/>
    <n v="3"/>
    <n v="3"/>
    <s v="-"/>
    <n v="0.87823286469972417"/>
    <x v="21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7.50272"/>
    <n v="107.50272"/>
    <n v="0.94"/>
    <n v="1"/>
    <n v="1"/>
    <n v="101.05255679999999"/>
    <x v="84"/>
    <n v="1.04"/>
  </r>
  <r>
    <n v="92"/>
    <s v="Johal and Anderson (1988)"/>
    <s v="DS3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8.100000000000001"/>
    <x v="34"/>
    <n v="21.15"/>
    <x v="22"/>
    <n v="11"/>
    <s v="-"/>
    <n v="3"/>
    <n v="3"/>
    <s v="-"/>
    <n v="0.87823286469972417"/>
    <x v="24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10.60376000000001"/>
    <n v="110.60376000000001"/>
    <n v="0.94"/>
    <n v="1"/>
    <n v="1"/>
    <n v="103.96753440000001"/>
    <x v="85"/>
    <n v="1.07"/>
  </r>
  <r>
    <n v="93"/>
    <s v="Johal and Anderson (1988)"/>
    <s v="DS4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8.100000000000001"/>
    <x v="34"/>
    <n v="21.15"/>
    <x v="22"/>
    <n v="11"/>
    <s v="-"/>
    <n v="3"/>
    <n v="3"/>
    <s v="-"/>
    <n v="0.87823286469972417"/>
    <x v="24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8.53640000000001"/>
    <n v="108.53640000000001"/>
    <n v="0.94"/>
    <n v="1"/>
    <n v="1"/>
    <n v="102.02421600000001"/>
    <x v="76"/>
    <n v="1.05"/>
  </r>
  <r>
    <n v="94"/>
    <s v="Johal and Anderson (1988)"/>
    <s v="DS5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9.600000000000001"/>
    <x v="31"/>
    <n v="21.15"/>
    <x v="22"/>
    <n v="8.41"/>
    <s v="-"/>
    <n v="3"/>
    <n v="3"/>
    <s v="-"/>
    <n v="0.87823286469972417"/>
    <x v="22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8.53640000000001"/>
    <n v="108.53640000000001"/>
    <n v="0.94"/>
    <n v="1"/>
    <n v="1"/>
    <n v="102.02421600000001"/>
    <x v="76"/>
    <n v="1.05"/>
  </r>
  <r>
    <n v="95"/>
    <s v="Johal and Anderson (1988)"/>
    <s v="DS6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9.600000000000001"/>
    <x v="31"/>
    <n v="21.15"/>
    <x v="22"/>
    <n v="8.41"/>
    <s v="-"/>
    <n v="3"/>
    <n v="3"/>
    <s v="-"/>
    <n v="0.87823286469972417"/>
    <x v="22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6.46904000000001"/>
    <n v="106.46904000000001"/>
    <n v="0.94"/>
    <n v="1"/>
    <n v="1"/>
    <n v="100.0808976"/>
    <x v="80"/>
    <n v="1.03"/>
  </r>
  <r>
    <n v="96"/>
    <s v="Johal and Anderson (1988)"/>
    <s v="DP3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7.899999999999999"/>
    <x v="35"/>
    <n v="21.15"/>
    <x v="22"/>
    <n v="8.34"/>
    <s v="-"/>
    <n v="3"/>
    <n v="3"/>
    <s v="-"/>
    <n v="0.87823286469972417"/>
    <x v="25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4.40168000000001"/>
    <n v="104.40168000000001"/>
    <n v="0.94"/>
    <n v="1"/>
    <n v="1"/>
    <n v="98.137579200000005"/>
    <x v="82"/>
    <n v="1.01"/>
  </r>
  <r>
    <n v="97"/>
    <s v="Johal and Anderson (1988)"/>
    <s v="DP4"/>
    <x v="1"/>
    <x v="0"/>
    <x v="1"/>
    <x v="9"/>
    <n v="406.4"/>
    <x v="3"/>
    <x v="15"/>
    <x v="5"/>
    <n v="650.24"/>
    <x v="2"/>
    <n v="0.5"/>
    <n v="0.5"/>
    <n v="103368"/>
    <n v="162560"/>
    <x v="41"/>
    <n v="19.3"/>
    <n v="17.899999999999999"/>
    <x v="35"/>
    <n v="21.15"/>
    <x v="22"/>
    <n v="8.34"/>
    <s v="-"/>
    <n v="3"/>
    <n v="3"/>
    <s v="-"/>
    <n v="0.87823286469972417"/>
    <x v="25"/>
    <s v="-"/>
    <s v="#5"/>
    <n v="200"/>
    <n v="200"/>
    <x v="31"/>
    <n v="345"/>
    <n v="0.53057332677165348"/>
    <n v="600"/>
    <s v="-"/>
    <n v="0"/>
    <s v="-"/>
    <n v="0"/>
    <n v="0"/>
    <x v="0"/>
    <n v="0"/>
    <n v="0"/>
    <n v="0"/>
    <n v="0"/>
    <n v="0"/>
    <x v="10"/>
    <x v="11"/>
    <n v="0"/>
    <s v="-"/>
    <n v="101.09390399999999"/>
    <n v="101.09390399999999"/>
    <n v="0.94"/>
    <n v="1"/>
    <n v="1"/>
    <n v="95.028269759999986"/>
    <x v="86"/>
    <n v="0.97799999999999998"/>
  </r>
  <r>
    <n v="98"/>
    <s v="Yancey and Scribner (1989)"/>
    <s v="R1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174.815046"/>
    <x v="25"/>
    <x v="31"/>
    <n v="1.378952"/>
    <n v="105.867636"/>
    <n v="122.32605000000001"/>
    <n v="114.09684300000001"/>
    <n v="1"/>
    <n v="1"/>
    <n v="1"/>
    <n v="114.09684300000001"/>
    <x v="87"/>
    <n v="0.90000234275277724"/>
  </r>
  <r>
    <n v="99"/>
    <s v="Yancey and Scribner (1989)"/>
    <s v="R2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-"/>
    <n v="0"/>
    <s v="9-ga Ladder"/>
    <n v="39.78"/>
    <n v="39.78"/>
    <x v="19"/>
    <n v="693.09574899999996"/>
    <n v="0.16772917125799999"/>
    <n v="13.26"/>
    <n v="406.4"/>
    <n v="174.815046"/>
    <x v="25"/>
    <x v="31"/>
    <n v="1.378952"/>
    <n v="128.55355800000001"/>
    <n v="156.13252199999999"/>
    <n v="142.34304"/>
    <n v="1"/>
    <n v="1"/>
    <n v="1"/>
    <n v="142.34304"/>
    <x v="88"/>
    <n v="1.1228099402763692"/>
  </r>
  <r>
    <n v="100"/>
    <s v="Yancey and Scribner (1989)"/>
    <s v="R4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-"/>
    <n v="0"/>
    <s v="9-ga Ladder"/>
    <n v="39.78"/>
    <n v="39.78"/>
    <x v="20"/>
    <n v="693.09574899999996"/>
    <n v="0.39229219393399994"/>
    <n v="13.26"/>
    <n v="203.2"/>
    <n v="174.815046"/>
    <x v="25"/>
    <x v="31"/>
    <n v="1.378952"/>
    <n v="141.89821800000001"/>
    <n v="148.570548"/>
    <n v="145.23438300000001"/>
    <n v="1"/>
    <n v="1"/>
    <n v="1"/>
    <n v="145.23438300000001"/>
    <x v="89"/>
    <n v="1.1456170171882332"/>
  </r>
  <r>
    <n v="101"/>
    <s v="Yancey and Scribner (1989)"/>
    <s v="R5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(2)#4"/>
    <n v="258"/>
    <s v="-"/>
    <n v="0"/>
    <n v="258"/>
    <x v="21"/>
    <n v="336.11955"/>
    <n v="0.31460789880000001"/>
    <n v="0"/>
    <n v="0"/>
    <n v="174.815046"/>
    <x v="25"/>
    <x v="31"/>
    <n v="1.378952"/>
    <n v="189.04935"/>
    <n v="201.94918799999999"/>
    <n v="195.499269"/>
    <n v="1"/>
    <n v="1"/>
    <n v="1"/>
    <n v="195.499269"/>
    <x v="90"/>
    <n v="1.5421092773483258"/>
  </r>
  <r>
    <n v="102"/>
    <s v="Yancey and Scribner (1989)"/>
    <s v="R6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(3)#5"/>
    <n v="600"/>
    <s v="-"/>
    <n v="0"/>
    <n v="600"/>
    <x v="22"/>
    <n v="437.3576093333333"/>
    <n v="0.95343958834666664"/>
    <n v="0"/>
    <n v="0"/>
    <n v="174.815046"/>
    <x v="25"/>
    <x v="31"/>
    <n v="1.378952"/>
    <n v="145.45679400000003"/>
    <n v="156.13252199999999"/>
    <n v="150.79465800000003"/>
    <n v="1"/>
    <n v="1"/>
    <n v="1"/>
    <n v="150.79465800000003"/>
    <x v="91"/>
    <n v="1.1894767804802788"/>
  </r>
  <r>
    <n v="103"/>
    <s v="Yancey and Scribner (1989)"/>
    <s v="R7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(1)#5"/>
    <n v="200"/>
    <s v="-"/>
    <n v="0"/>
    <n v="200"/>
    <x v="23"/>
    <n v="384.72760799999998"/>
    <n v="0.55785503159999994"/>
    <n v="0"/>
    <n v="0"/>
    <n v="174.815046"/>
    <x v="25"/>
    <x v="31"/>
    <n v="1.378952"/>
    <n v="156.57734400000001"/>
    <n v="163.69449600000002"/>
    <n v="160.13592"/>
    <n v="1"/>
    <n v="1"/>
    <n v="1"/>
    <n v="160.13592"/>
    <x v="92"/>
    <n v="1.2631611828109153"/>
  </r>
  <r>
    <n v="104"/>
    <s v="Yancey and Scribner (1989)"/>
    <s v="R8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(3)#5"/>
    <n v="600"/>
    <s v="-"/>
    <n v="0"/>
    <n v="600"/>
    <x v="22"/>
    <n v="373.52362299999999"/>
    <n v="0.81428149813999995"/>
    <n v="0"/>
    <n v="0"/>
    <n v="174.815046"/>
    <x v="25"/>
    <x v="31"/>
    <n v="1.378952"/>
    <n v="119.21229600000001"/>
    <n v="119.21229600000001"/>
    <n v="119.21229600000001"/>
    <n v="1"/>
    <n v="1"/>
    <n v="1"/>
    <n v="119.21229600000001"/>
    <x v="93"/>
    <n v="0.94035332498145929"/>
  </r>
  <r>
    <n v="105"/>
    <s v="Yancey and Scribner (1989)"/>
    <s v="R9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(1)#3"/>
    <n v="71"/>
    <s v="9-ga Ladder"/>
    <n v="39.78"/>
    <n v="110.78"/>
    <x v="24"/>
    <n v="372.66177799999997"/>
    <n v="0.28210496594599999"/>
    <n v="13.26"/>
    <n v="406.4"/>
    <n v="174.815046"/>
    <x v="25"/>
    <x v="31"/>
    <n v="1.378952"/>
    <n v="161.47038599999999"/>
    <n v="176.594334"/>
    <n v="169.03235999999998"/>
    <n v="1"/>
    <n v="1"/>
    <n v="1"/>
    <n v="169.03235999999998"/>
    <x v="94"/>
    <n v="1.3333368040781881"/>
  </r>
  <r>
    <n v="106"/>
    <s v="Yancey and Scribner (1989)"/>
    <s v="R10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(2)#4, (1)#5"/>
    <n v="458"/>
    <s v="9-ga Ladder"/>
    <n v="39.78"/>
    <n v="497.78"/>
    <x v="25"/>
    <n v="341.29061999999999"/>
    <n v="0.73377483300000002"/>
    <n v="13.26"/>
    <n v="203.2"/>
    <n v="174.815046"/>
    <x v="25"/>
    <x v="31"/>
    <n v="1.378952"/>
    <n v="191.71828200000002"/>
    <n v="201.05954400000002"/>
    <n v="196.388913"/>
    <n v="1"/>
    <n v="1"/>
    <n v="1"/>
    <n v="196.388913"/>
    <x v="95"/>
    <n v="1.549126839475053"/>
  </r>
  <r>
    <n v="107"/>
    <s v="Yancey and Scribner (1989)"/>
    <s v="R11"/>
    <x v="1"/>
    <x v="2"/>
    <x v="1"/>
    <x v="4"/>
    <n v="711.19999999999993"/>
    <x v="4"/>
    <x v="4"/>
    <x v="6"/>
    <n v="1219.1999999999998"/>
    <x v="4"/>
    <n v="0.58333333333333337"/>
    <n v="0.58333333333333337"/>
    <n v="126773.93999999999"/>
    <n v="236128.55999999994"/>
    <x v="42"/>
    <n v="12.50019988"/>
    <s v="-"/>
    <x v="26"/>
    <n v="10.686878"/>
    <x v="23"/>
    <n v="12.410568"/>
    <n v="23.115867114503811"/>
    <n v="2"/>
    <n v="2"/>
    <s v="-"/>
    <n v="0.81209093304219504"/>
    <x v="26"/>
    <s v="-"/>
    <s v="-"/>
    <n v="0"/>
    <n v="0"/>
    <x v="0"/>
    <n v="0"/>
    <n v="0"/>
    <n v="0"/>
    <s v="(1)#5"/>
    <n v="200"/>
    <s v="-"/>
    <n v="0"/>
    <n v="200"/>
    <x v="23"/>
    <n v="372.66177799999997"/>
    <n v="0.5403595780999999"/>
    <n v="0"/>
    <n v="0"/>
    <n v="174.815046"/>
    <x v="25"/>
    <x v="31"/>
    <n v="1.378952"/>
    <n v="147.680904"/>
    <n v="171.701292"/>
    <n v="159.69109800000001"/>
    <n v="1"/>
    <n v="1"/>
    <n v="1"/>
    <n v="159.69109800000001"/>
    <x v="96"/>
    <n v="1.2596524017475519"/>
  </r>
  <r>
    <n v="108"/>
    <s v="Ghanem et al (1992)"/>
    <s v="SWA"/>
    <x v="0"/>
    <x v="0"/>
    <x v="0"/>
    <x v="10"/>
    <n v="920.49599999999998"/>
    <x v="14"/>
    <x v="16"/>
    <x v="7"/>
    <n v="751.02719999999999"/>
    <x v="15"/>
    <n v="0.98051948051948046"/>
    <n v="0.98051948051948046"/>
    <n v="24429.011200000001"/>
    <n v="44828.813567999998"/>
    <x v="43"/>
    <n v="19.305327999999999"/>
    <n v="15.513209999999999"/>
    <x v="36"/>
    <n v="31.026419999999998"/>
    <x v="24"/>
    <n v="15.857948"/>
    <n v="29.100358939744496"/>
    <n v="3"/>
    <n v="4.4484451718494276"/>
    <n v="6"/>
    <n v="0.9693148752999331"/>
    <x v="27"/>
    <s v="-"/>
    <s v="2#4/3"/>
    <n v="13.290296"/>
    <n v="53.161183999999999"/>
    <x v="32"/>
    <n v="442.64359200000001"/>
    <n v="9.4537995382323032"/>
    <n v="0"/>
    <s v="(2)2#4/3"/>
    <n v="53.161183999999999"/>
    <s v="-"/>
    <n v="0"/>
    <n v="53.161183999999999"/>
    <x v="26"/>
    <n v="442.64359200000001"/>
    <n v="0.53534697731435821"/>
    <n v="13.290296"/>
    <n v="873.75999999999988"/>
    <n v="30.908391063610363"/>
    <x v="26"/>
    <x v="32"/>
    <n v="1.2652329973801955"/>
    <s v="-"/>
    <n v="24.465210000000003"/>
    <n v="24.465210000000003"/>
    <n v="0.94"/>
    <n v="0.81399999999999995"/>
    <n v="1"/>
    <n v="18.719800083599999"/>
    <x v="97"/>
    <n v="0.7662938106803111"/>
  </r>
  <r>
    <n v="109"/>
    <s v="Ghanem et al (1992)"/>
    <s v="SWB"/>
    <x v="0"/>
    <x v="0"/>
    <x v="0"/>
    <x v="10"/>
    <n v="920.49599999999998"/>
    <x v="14"/>
    <x v="16"/>
    <x v="7"/>
    <n v="751.02719999999999"/>
    <x v="15"/>
    <n v="0.98051948051948046"/>
    <n v="0.98051948051948046"/>
    <n v="24429.011200000001"/>
    <n v="44828.813567999998"/>
    <x v="43"/>
    <n v="19.305327999999999"/>
    <n v="15.513209999999999"/>
    <x v="36"/>
    <n v="31.026419999999998"/>
    <x v="24"/>
    <n v="15.857948"/>
    <n v="29.100358939744496"/>
    <n v="3"/>
    <n v="4.4484451718494276"/>
    <n v="6"/>
    <n v="0.9693148752999331"/>
    <x v="27"/>
    <s v="#5/3"/>
    <s v="#5/3"/>
    <n v="18.645123999999999"/>
    <n v="55.935371999999994"/>
    <x v="33"/>
    <n v="446.78044799999992"/>
    <n v="9.5421528049447524"/>
    <n v="0"/>
    <s v="(3)#5/3"/>
    <n v="55.935371999999994"/>
    <s v="-"/>
    <n v="0"/>
    <n v="55.935371999999994"/>
    <x v="27"/>
    <n v="446.78044799999992"/>
    <n v="0.56854810779202469"/>
    <n v="18.645123999999999"/>
    <n v="431.79999999999995"/>
    <n v="30.908391063610363"/>
    <x v="26"/>
    <x v="32"/>
    <n v="1.2652329973801955"/>
    <s v="-"/>
    <n v="30.247896000000001"/>
    <n v="30.247896000000001"/>
    <n v="0.94"/>
    <n v="0.81399999999999995"/>
    <n v="1"/>
    <n v="23.144480103359999"/>
    <x v="98"/>
    <n v="0.94741780229565731"/>
  </r>
  <r>
    <n v="110"/>
    <s v="Ghanem et al (1993)"/>
    <s v="SWA-2"/>
    <x v="0"/>
    <x v="0"/>
    <x v="0"/>
    <x v="11"/>
    <n v="939.8"/>
    <x v="15"/>
    <x v="17"/>
    <x v="7"/>
    <n v="751.84"/>
    <x v="2"/>
    <n v="1"/>
    <n v="1"/>
    <n v="24451.837333333333"/>
    <n v="44877.32959999999"/>
    <x v="44"/>
    <n v="19.305327999999999"/>
    <n v="15.513209999999999"/>
    <x v="36"/>
    <n v="31.026419999999998"/>
    <x v="24"/>
    <n v="15.857948"/>
    <n v="29.104657841212834"/>
    <n v="3"/>
    <n v="4.4484451718494276"/>
    <n v="6"/>
    <n v="0.9693148752999331"/>
    <x v="27"/>
    <s v="#5/3"/>
    <s v="#5/3"/>
    <n v="18.645123999999999"/>
    <n v="55.935372000000001"/>
    <x v="34"/>
    <n v="446.78044799999992"/>
    <n v="9.3562667113419327"/>
    <n v="406.4"/>
    <s v="(3)#5/3"/>
    <n v="55.935371999999994"/>
    <s v="-"/>
    <n v="0"/>
    <n v="55.935371999999994"/>
    <x v="28"/>
    <n v="446.78044799999992"/>
    <n v="0.55686982233467497"/>
    <n v="18.645123999999999"/>
    <n v="435.60999999999996"/>
    <n v="30.941841703289594"/>
    <x v="26"/>
    <x v="32"/>
    <n v="1.2654199061396882"/>
    <s v="-"/>
    <n v="25.799676000000002"/>
    <n v="25.799676000000002"/>
    <n v="0.94"/>
    <n v="0.81399999999999995"/>
    <n v="1"/>
    <n v="19.740880088159997"/>
    <x v="99"/>
    <n v="0.80733728999778487"/>
  </r>
  <r>
    <n v="111"/>
    <s v="Ghanem et al (1993)"/>
    <s v="SWA-3"/>
    <x v="0"/>
    <x v="0"/>
    <x v="0"/>
    <x v="11"/>
    <n v="939.8"/>
    <x v="15"/>
    <x v="17"/>
    <x v="7"/>
    <n v="751.84"/>
    <x v="2"/>
    <n v="1"/>
    <n v="1"/>
    <n v="24451.837333333333"/>
    <n v="44877.32959999999"/>
    <x v="44"/>
    <n v="19.305327999999999"/>
    <n v="15.513209999999999"/>
    <x v="36"/>
    <n v="31.026419999999998"/>
    <x v="24"/>
    <n v="15.857948"/>
    <n v="29.104657841212834"/>
    <n v="3"/>
    <n v="4.4484451718494276"/>
    <n v="6"/>
    <n v="0.9693148752999331"/>
    <x v="27"/>
    <s v="#5/3"/>
    <s v="#5/3"/>
    <n v="18.645123999999999"/>
    <n v="55.935372000000001"/>
    <x v="34"/>
    <n v="446.78044799999992"/>
    <n v="9.3562667113419327"/>
    <n v="406.4"/>
    <s v="(3)#5/3"/>
    <n v="55.935371999999994"/>
    <s v="-"/>
    <n v="0"/>
    <n v="55.935371999999994"/>
    <x v="28"/>
    <n v="446.78044799999992"/>
    <n v="0.55686982233467497"/>
    <n v="18.645123999999999"/>
    <n v="435.60999999999996"/>
    <n v="61.883683406579188"/>
    <x v="27"/>
    <x v="33"/>
    <n v="2.5308398122793765"/>
    <s v="-"/>
    <n v="34.251294000000001"/>
    <n v="34.251294000000001"/>
    <n v="0.94"/>
    <n v="0.81399999999999995"/>
    <n v="1"/>
    <n v="26.207720117039997"/>
    <x v="100"/>
    <n v="1.0718098505143006"/>
  </r>
  <r>
    <n v="112"/>
    <s v="Tomazevic et al. (1996)"/>
    <s v="V2-BS"/>
    <x v="1"/>
    <x v="0"/>
    <x v="0"/>
    <x v="7"/>
    <n v="760"/>
    <x v="16"/>
    <x v="18"/>
    <x v="4"/>
    <n v="1440"/>
    <x v="16"/>
    <n v="0.42222222222222222"/>
    <n v="0.42222222222222222"/>
    <n v="78000"/>
    <n v="180000"/>
    <x v="45"/>
    <s v="-"/>
    <s v="-"/>
    <x v="26"/>
    <s v="-"/>
    <x v="2"/>
    <n v="5.2"/>
    <n v="12"/>
    <s v="-"/>
    <s v="-"/>
    <s v="-"/>
    <n v="1"/>
    <x v="28"/>
    <s v="-"/>
    <s v="D10"/>
    <n v="78.539816339744831"/>
    <n v="157.07963267948966"/>
    <x v="35"/>
    <n v="522"/>
    <n v="12.363157894736842"/>
    <n v="1600"/>
    <s v="-"/>
    <n v="0"/>
    <s v="6mm Ladder"/>
    <n v="56.548667764616276"/>
    <n v="56.548667764616276"/>
    <x v="29"/>
    <n v="253"/>
    <n v="0.18824753874273578"/>
    <n v="28.274333882308138"/>
    <n v="100"/>
    <n v="120"/>
    <x v="28"/>
    <x v="34"/>
    <n v="1.5384615384615385"/>
    <s v="-"/>
    <n v="45.05"/>
    <n v="45.05"/>
    <n v="0.94"/>
    <n v="1"/>
    <n v="1"/>
    <n v="42.346999999999994"/>
    <x v="101"/>
    <n v="0.54291025641025636"/>
  </r>
  <r>
    <n v="113"/>
    <s v="Tomazevic et al. (1996)"/>
    <s v="V2-BD"/>
    <x v="1"/>
    <x v="1"/>
    <x v="0"/>
    <x v="7"/>
    <n v="760"/>
    <x v="16"/>
    <x v="18"/>
    <x v="4"/>
    <n v="1440"/>
    <x v="16"/>
    <n v="0.42222222222222222"/>
    <n v="0.42222222222222222"/>
    <n v="78000"/>
    <n v="180000"/>
    <x v="45"/>
    <s v="-"/>
    <s v="-"/>
    <x v="26"/>
    <s v="-"/>
    <x v="2"/>
    <n v="5.2"/>
    <n v="12"/>
    <s v="-"/>
    <s v="-"/>
    <s v="-"/>
    <n v="1"/>
    <x v="28"/>
    <s v="-"/>
    <s v="D10"/>
    <n v="78.539816339744831"/>
    <n v="157.07963267948966"/>
    <x v="35"/>
    <n v="522"/>
    <n v="12.363157894736842"/>
    <n v="1600"/>
    <s v="-"/>
    <n v="0"/>
    <s v="6mm Ladder"/>
    <n v="56.548667764616276"/>
    <n v="56.548667764616276"/>
    <x v="29"/>
    <n v="253"/>
    <n v="0.18824753874273578"/>
    <n v="28.274333882308138"/>
    <n v="100"/>
    <n v="120"/>
    <x v="28"/>
    <x v="34"/>
    <n v="1.5384615384615385"/>
    <s v="-"/>
    <n v="50.45"/>
    <n v="50.45"/>
    <n v="0.94"/>
    <n v="1"/>
    <n v="0.9"/>
    <n v="42.680700000000002"/>
    <x v="102"/>
    <n v="0.54718846153846157"/>
  </r>
  <r>
    <n v="114"/>
    <s v="Tomazevic et al. (1996)"/>
    <s v="V2-CS"/>
    <x v="2"/>
    <x v="0"/>
    <x v="0"/>
    <x v="7"/>
    <n v="760"/>
    <x v="16"/>
    <x v="18"/>
    <x v="4"/>
    <n v="1440"/>
    <x v="16"/>
    <n v="0.42222222222222222"/>
    <n v="0.42222222222222222"/>
    <n v="78000"/>
    <n v="180000"/>
    <x v="45"/>
    <s v="-"/>
    <s v="-"/>
    <x v="26"/>
    <s v="-"/>
    <x v="2"/>
    <n v="5.2"/>
    <n v="12"/>
    <s v="-"/>
    <s v="-"/>
    <s v="-"/>
    <n v="1"/>
    <x v="28"/>
    <s v="-"/>
    <s v="D10"/>
    <n v="78.539816339744831"/>
    <n v="157.07963267948966"/>
    <x v="35"/>
    <n v="522"/>
    <n v="12.363157894736842"/>
    <n v="1600"/>
    <s v="-"/>
    <n v="0"/>
    <s v="6mm Ladder"/>
    <n v="56.548667764616276"/>
    <n v="56.548667764616276"/>
    <x v="29"/>
    <n v="253"/>
    <n v="0.18824753874273578"/>
    <n v="28.274333882308138"/>
    <n v="100"/>
    <n v="120"/>
    <x v="28"/>
    <x v="34"/>
    <n v="1.5384615384615385"/>
    <s v="-"/>
    <n v="49.23"/>
    <n v="49.23"/>
    <n v="0.94"/>
    <n v="1"/>
    <n v="1"/>
    <n v="46.276199999999996"/>
    <x v="103"/>
    <n v="0.59328461538461541"/>
  </r>
  <r>
    <n v="115"/>
    <s v="Tomazevic et al. (1996)"/>
    <s v="V2-CD"/>
    <x v="2"/>
    <x v="1"/>
    <x v="0"/>
    <x v="7"/>
    <n v="760"/>
    <x v="16"/>
    <x v="18"/>
    <x v="4"/>
    <n v="1440"/>
    <x v="16"/>
    <n v="0.42222222222222222"/>
    <n v="0.42222222222222222"/>
    <n v="78000"/>
    <n v="180000"/>
    <x v="45"/>
    <s v="-"/>
    <s v="-"/>
    <x v="26"/>
    <s v="-"/>
    <x v="2"/>
    <n v="5.2"/>
    <n v="12"/>
    <s v="-"/>
    <s v="-"/>
    <s v="-"/>
    <n v="1"/>
    <x v="28"/>
    <s v="-"/>
    <s v="D10"/>
    <n v="78.539816339744831"/>
    <n v="157.07963267948966"/>
    <x v="35"/>
    <n v="522"/>
    <n v="12.363157894736842"/>
    <n v="1600"/>
    <s v="-"/>
    <n v="0"/>
    <s v="6mm Ladder"/>
    <n v="56.548667764616276"/>
    <n v="56.548667764616276"/>
    <x v="29"/>
    <n v="253"/>
    <n v="0.18824753874273578"/>
    <n v="28.274333882308138"/>
    <n v="100"/>
    <n v="120"/>
    <x v="28"/>
    <x v="34"/>
    <n v="1.5384615384615385"/>
    <s v="-"/>
    <n v="57.26"/>
    <n v="57.26"/>
    <n v="0.94"/>
    <n v="1"/>
    <n v="0.9"/>
    <n v="48.441960000000002"/>
    <x v="104"/>
    <n v="0.6210507692307693"/>
  </r>
  <r>
    <n v="116"/>
    <s v="Tomazevic et al. (1996)"/>
    <s v="V2-DS"/>
    <x v="3"/>
    <x v="0"/>
    <x v="0"/>
    <x v="7"/>
    <n v="760"/>
    <x v="16"/>
    <x v="18"/>
    <x v="4"/>
    <n v="1440"/>
    <x v="16"/>
    <n v="0.42222222222222222"/>
    <n v="0.42222222222222222"/>
    <n v="78000"/>
    <n v="180000"/>
    <x v="45"/>
    <s v="-"/>
    <s v="-"/>
    <x v="26"/>
    <s v="-"/>
    <x v="2"/>
    <n v="5.2"/>
    <n v="12"/>
    <s v="-"/>
    <s v="-"/>
    <s v="-"/>
    <n v="1"/>
    <x v="28"/>
    <s v="-"/>
    <s v="D10"/>
    <n v="78.539816339744831"/>
    <n v="157.07963267948966"/>
    <x v="35"/>
    <n v="522"/>
    <n v="12.363157894736842"/>
    <n v="1600"/>
    <s v="-"/>
    <n v="0"/>
    <s v="6mm Ladder"/>
    <n v="56.548667764616276"/>
    <n v="56.548667764616276"/>
    <x v="29"/>
    <n v="253"/>
    <n v="0.18824753874273578"/>
    <n v="28.274333882308138"/>
    <n v="100"/>
    <n v="120"/>
    <x v="28"/>
    <x v="34"/>
    <n v="1.5384615384615385"/>
    <s v="-"/>
    <n v="53.78"/>
    <n v="53.78"/>
    <n v="0.94"/>
    <n v="1"/>
    <n v="1"/>
    <n v="50.553199999999997"/>
    <x v="105"/>
    <n v="0.64811794871794859"/>
  </r>
  <r>
    <n v="117"/>
    <s v="Tomazevic et al. (1996)"/>
    <s v="V2-DD"/>
    <x v="3"/>
    <x v="1"/>
    <x v="0"/>
    <x v="7"/>
    <n v="760"/>
    <x v="16"/>
    <x v="18"/>
    <x v="4"/>
    <n v="1440"/>
    <x v="16"/>
    <n v="0.42222222222222222"/>
    <n v="0.42222222222222222"/>
    <n v="78000"/>
    <n v="180000"/>
    <x v="45"/>
    <s v="-"/>
    <s v="-"/>
    <x v="26"/>
    <s v="-"/>
    <x v="2"/>
    <n v="5.2"/>
    <n v="12"/>
    <s v="-"/>
    <s v="-"/>
    <s v="-"/>
    <n v="1"/>
    <x v="28"/>
    <s v="-"/>
    <s v="D10"/>
    <n v="78.539816339744831"/>
    <n v="157.07963267948966"/>
    <x v="35"/>
    <n v="522"/>
    <n v="12.363157894736842"/>
    <n v="1600"/>
    <s v="-"/>
    <n v="0"/>
    <s v="6mm Ladder"/>
    <n v="56.548667764616276"/>
    <n v="56.548667764616276"/>
    <x v="29"/>
    <n v="253"/>
    <n v="0.18824753874273578"/>
    <n v="28.274333882308138"/>
    <n v="100"/>
    <n v="120"/>
    <x v="28"/>
    <x v="34"/>
    <n v="1.5384615384615385"/>
    <s v="-"/>
    <n v="60.19"/>
    <n v="60.19"/>
    <n v="0.94"/>
    <n v="1"/>
    <n v="0.9"/>
    <n v="50.920739999999995"/>
    <x v="106"/>
    <n v="0.65283000000000002"/>
  </r>
  <r>
    <n v="118"/>
    <s v="Schultz (1996)"/>
    <n v="1"/>
    <x v="2"/>
    <x v="0"/>
    <x v="1"/>
    <x v="12"/>
    <n v="711"/>
    <x v="17"/>
    <x v="19"/>
    <x v="8"/>
    <n v="2276"/>
    <x v="17"/>
    <n v="0.24991212653778558"/>
    <n v="0.24991212653778558"/>
    <n v="242282.6"/>
    <n v="554775"/>
    <x v="46"/>
    <s v="-"/>
    <n v="21.7"/>
    <x v="37"/>
    <n v="29.6"/>
    <x v="25"/>
    <n v="17.100000000000001"/>
    <n v="39.155319036530074"/>
    <n v="2"/>
    <n v="2"/>
    <s v="-"/>
    <n v="0.81209093304219504"/>
    <x v="29"/>
    <s v="-"/>
    <s v="2#6"/>
    <n v="568"/>
    <n v="1136"/>
    <x v="36"/>
    <n v="400"/>
    <n v="8.2080132713044112"/>
    <n v="2645"/>
    <s v="2#3"/>
    <n v="142"/>
    <s v="-"/>
    <n v="0"/>
    <n v="142"/>
    <x v="30"/>
    <n v="400"/>
    <n v="0.20483969851058459"/>
    <n v="71"/>
    <n v="700"/>
    <n v="267"/>
    <x v="29"/>
    <x v="35"/>
    <n v="1.1020188820823287"/>
    <s v="-"/>
    <s v="-"/>
    <n v="187"/>
    <n v="0.94"/>
    <n v="1"/>
    <n v="1"/>
    <n v="175.78"/>
    <x v="107"/>
    <n v="0.72551640109524995"/>
  </r>
  <r>
    <n v="119"/>
    <s v="Schultz (1996)"/>
    <n v="3"/>
    <x v="2"/>
    <x v="0"/>
    <x v="1"/>
    <x v="12"/>
    <n v="711"/>
    <x v="18"/>
    <x v="20"/>
    <x v="8"/>
    <n v="1625.6000000000001"/>
    <x v="18"/>
    <n v="0.3499015748031496"/>
    <n v="0.3499015748031496"/>
    <n v="187486.40000000002"/>
    <n v="396240"/>
    <x v="47"/>
    <s v="-"/>
    <n v="21.7"/>
    <x v="37"/>
    <n v="29.6"/>
    <x v="25"/>
    <n v="17.100000000000001"/>
    <n v="36.13970933358366"/>
    <n v="2"/>
    <n v="2"/>
    <s v="-"/>
    <n v="0.81209093304219504"/>
    <x v="29"/>
    <s v="-"/>
    <s v="2#6"/>
    <n v="568"/>
    <n v="1136"/>
    <x v="37"/>
    <n v="400"/>
    <n v="5.8624544700494061"/>
    <n v="1832"/>
    <s v="2#3"/>
    <n v="142"/>
    <s v="-"/>
    <n v="0"/>
    <n v="142"/>
    <x v="30"/>
    <n v="400"/>
    <n v="0.20483969851058459"/>
    <n v="71"/>
    <n v="700"/>
    <n v="191"/>
    <x v="30"/>
    <x v="36"/>
    <n v="1.0187405593152357"/>
    <s v="-"/>
    <s v="-"/>
    <n v="245"/>
    <n v="0.94"/>
    <n v="1"/>
    <n v="1"/>
    <n v="230.29999999999998"/>
    <x v="108"/>
    <n v="1.2283557634047053"/>
  </r>
  <r>
    <n v="120"/>
    <s v="Schultz (1996)"/>
    <n v="5"/>
    <x v="2"/>
    <x v="0"/>
    <x v="1"/>
    <x v="12"/>
    <n v="711"/>
    <x v="19"/>
    <x v="21"/>
    <x v="8"/>
    <n v="1137.6000000000001"/>
    <x v="2"/>
    <n v="0.5"/>
    <n v="0.5"/>
    <n v="146372.40000000002"/>
    <n v="277290"/>
    <x v="48"/>
    <s v="-"/>
    <n v="21.7"/>
    <x v="37"/>
    <n v="29.6"/>
    <x v="25"/>
    <n v="17.100000000000001"/>
    <n v="32.394488305172281"/>
    <n v="2"/>
    <n v="2"/>
    <s v="-"/>
    <n v="0.81209093304219504"/>
    <x v="29"/>
    <s v="-"/>
    <s v="2#6"/>
    <n v="568"/>
    <n v="1136"/>
    <x v="38"/>
    <n v="400"/>
    <n v="4.1025641025641022"/>
    <n v="1222"/>
    <s v="2#3"/>
    <n v="142"/>
    <s v="-"/>
    <n v="0"/>
    <n v="142"/>
    <x v="30"/>
    <n v="400"/>
    <n v="0.20483969851058459"/>
    <n v="71"/>
    <n v="700"/>
    <n v="133"/>
    <x v="31"/>
    <x v="37"/>
    <n v="0.9086412465738074"/>
    <s v="-"/>
    <s v="-"/>
    <n v="133"/>
    <n v="0.94"/>
    <n v="1"/>
    <n v="1"/>
    <n v="125.02"/>
    <x v="109"/>
    <n v="0.85412277177937901"/>
  </r>
  <r>
    <n v="121"/>
    <s v="Schultz (1996)"/>
    <n v="7"/>
    <x v="2"/>
    <x v="0"/>
    <x v="1"/>
    <x v="12"/>
    <n v="711"/>
    <x v="17"/>
    <x v="19"/>
    <x v="8"/>
    <n v="2276"/>
    <x v="17"/>
    <n v="0.24991212653778558"/>
    <n v="0.24991212653778558"/>
    <n v="242282.6"/>
    <n v="554775"/>
    <x v="46"/>
    <s v="-"/>
    <n v="21.7"/>
    <x v="37"/>
    <n v="29.6"/>
    <x v="25"/>
    <n v="17.100000000000001"/>
    <n v="39.155319036530074"/>
    <n v="2"/>
    <n v="2"/>
    <s v="-"/>
    <n v="0.81209093304219504"/>
    <x v="29"/>
    <s v="-"/>
    <s v="2#6"/>
    <n v="568"/>
    <n v="1136"/>
    <x v="36"/>
    <n v="400"/>
    <n v="8.2080132713044112"/>
    <n v="2645"/>
    <s v="1#4, 1#5"/>
    <n v="329"/>
    <s v="-"/>
    <n v="0"/>
    <n v="329"/>
    <x v="31"/>
    <n v="400"/>
    <n v="0.47459338598579104"/>
    <s v="129, 200"/>
    <n v="700"/>
    <n v="266"/>
    <x v="32"/>
    <x v="38"/>
    <n v="1.0978914705389491"/>
    <s v="-"/>
    <s v="-"/>
    <n v="240"/>
    <n v="0.94"/>
    <n v="1"/>
    <n v="1"/>
    <n v="225.6"/>
    <x v="110"/>
    <n v="0.93114404418641694"/>
  </r>
  <r>
    <n v="122"/>
    <s v="Schultz (1996)"/>
    <n v="9"/>
    <x v="2"/>
    <x v="0"/>
    <x v="1"/>
    <x v="12"/>
    <n v="711"/>
    <x v="18"/>
    <x v="20"/>
    <x v="8"/>
    <n v="1625.6000000000001"/>
    <x v="18"/>
    <n v="0.3499015748031496"/>
    <n v="0.3499015748031496"/>
    <n v="187486.40000000002"/>
    <n v="396240"/>
    <x v="47"/>
    <s v="-"/>
    <n v="21.7"/>
    <x v="37"/>
    <n v="29.6"/>
    <x v="25"/>
    <n v="17.100000000000001"/>
    <n v="36.13970933358366"/>
    <n v="2"/>
    <n v="2"/>
    <s v="-"/>
    <n v="0.81209093304219504"/>
    <x v="29"/>
    <s v="-"/>
    <s v="2#6"/>
    <n v="568"/>
    <n v="1136"/>
    <x v="37"/>
    <n v="400"/>
    <n v="5.8624544700494061"/>
    <n v="1832"/>
    <s v="1#4, 1#5"/>
    <n v="329"/>
    <s v="-"/>
    <n v="0"/>
    <n v="329"/>
    <x v="31"/>
    <n v="400"/>
    <n v="0.47459338598579104"/>
    <s v="129, 200"/>
    <n v="700"/>
    <n v="177"/>
    <x v="33"/>
    <x v="39"/>
    <n v="0.94406847643349046"/>
    <s v="-"/>
    <s v="-"/>
    <n v="192"/>
    <n v="0.94"/>
    <n v="1"/>
    <n v="1"/>
    <n v="180.48"/>
    <x v="111"/>
    <n v="0.9626298227498099"/>
  </r>
  <r>
    <n v="123"/>
    <s v="Schultz (1996)"/>
    <n v="11"/>
    <x v="2"/>
    <x v="0"/>
    <x v="1"/>
    <x v="12"/>
    <n v="711"/>
    <x v="19"/>
    <x v="21"/>
    <x v="8"/>
    <n v="1137.6000000000001"/>
    <x v="2"/>
    <n v="0.5"/>
    <n v="0.5"/>
    <n v="146372.40000000002"/>
    <n v="277290"/>
    <x v="48"/>
    <s v="-"/>
    <n v="21.7"/>
    <x v="37"/>
    <n v="29.6"/>
    <x v="25"/>
    <n v="17.100000000000001"/>
    <n v="32.394488305172281"/>
    <n v="2"/>
    <n v="2"/>
    <s v="-"/>
    <n v="0.81209093304219504"/>
    <x v="29"/>
    <s v="-"/>
    <s v="2#6"/>
    <n v="568"/>
    <n v="1136"/>
    <x v="38"/>
    <n v="400"/>
    <n v="4.1025641025641022"/>
    <n v="1222"/>
    <s v="1#4, 1#5"/>
    <n v="329"/>
    <s v="-"/>
    <n v="0"/>
    <n v="329"/>
    <x v="31"/>
    <n v="400"/>
    <n v="0.47459338598579104"/>
    <s v="129, 200"/>
    <n v="700"/>
    <n v="132"/>
    <x v="34"/>
    <x v="40"/>
    <n v="0.901809357501824"/>
    <s v="-"/>
    <s v="-"/>
    <n v="154"/>
    <n v="0.94"/>
    <n v="1"/>
    <n v="1"/>
    <n v="144.76"/>
    <x v="112"/>
    <n v="0.98898426206033352"/>
  </r>
  <r>
    <n v="124"/>
    <s v="Schultz et al. (1998)"/>
    <n v="2"/>
    <x v="2"/>
    <x v="0"/>
    <x v="1"/>
    <x v="12"/>
    <n v="711"/>
    <x v="17"/>
    <x v="19"/>
    <x v="8"/>
    <n v="2276"/>
    <x v="17"/>
    <n v="0.24991212653778558"/>
    <n v="0.24991212653778558"/>
    <n v="242282.6"/>
    <n v="554775"/>
    <x v="46"/>
    <n v="23.3"/>
    <n v="22.2"/>
    <x v="38"/>
    <n v="28.2"/>
    <x v="26"/>
    <n v="14.5"/>
    <n v="33.201878715186318"/>
    <n v="2"/>
    <n v="2"/>
    <s v="-"/>
    <n v="0.81209093304219504"/>
    <x v="30"/>
    <s v="-"/>
    <s v="2#6"/>
    <n v="568"/>
    <n v="1136"/>
    <x v="36"/>
    <n v="400"/>
    <n v="8.2080132713044112"/>
    <n v="2645"/>
    <s v="-"/>
    <n v="0"/>
    <s v="9-ga Ladder"/>
    <n v="155.2824"/>
    <n v="155.2824"/>
    <x v="32"/>
    <n v="400"/>
    <n v="0.22399999999999998"/>
    <n v="24.757163826981689"/>
    <n v="200"/>
    <n v="265"/>
    <x v="35"/>
    <x v="41"/>
    <n v="1.0937640589955695"/>
    <s v="-"/>
    <s v="-"/>
    <n v="261.3"/>
    <n v="0.94"/>
    <n v="1"/>
    <n v="1"/>
    <n v="245.62199999999999"/>
    <x v="113"/>
    <n v="1.0137830781079613"/>
  </r>
  <r>
    <n v="125"/>
    <s v="Schultz et al. (1998)"/>
    <n v="4"/>
    <x v="2"/>
    <x v="0"/>
    <x v="1"/>
    <x v="12"/>
    <n v="711"/>
    <x v="18"/>
    <x v="20"/>
    <x v="8"/>
    <n v="1625.6000000000001"/>
    <x v="18"/>
    <n v="0.3499015748031496"/>
    <n v="0.3499015748031496"/>
    <n v="187486.40000000002"/>
    <n v="396240"/>
    <x v="47"/>
    <n v="23.3"/>
    <n v="22.2"/>
    <x v="38"/>
    <n v="28.2"/>
    <x v="26"/>
    <n v="14.5"/>
    <n v="30.644782768243452"/>
    <n v="2"/>
    <n v="2"/>
    <s v="-"/>
    <n v="0.81209093304219504"/>
    <x v="30"/>
    <s v="-"/>
    <s v="2#6"/>
    <n v="568"/>
    <n v="1136"/>
    <x v="37"/>
    <n v="400"/>
    <n v="5.8624544700494061"/>
    <n v="1832"/>
    <s v="-"/>
    <n v="0"/>
    <s v="9-ga Ladder"/>
    <n v="155.2824"/>
    <n v="155.2824"/>
    <x v="32"/>
    <n v="400"/>
    <n v="0.22399999999999998"/>
    <n v="24.757163826981689"/>
    <n v="200"/>
    <n v="185.4"/>
    <x v="36"/>
    <x v="42"/>
    <n v="0.98887172616253749"/>
    <s v="-"/>
    <s v="-"/>
    <n v="253.5"/>
    <n v="0.94"/>
    <n v="1"/>
    <n v="1"/>
    <n v="238.29"/>
    <x v="114"/>
    <n v="1.2709721878493585"/>
  </r>
  <r>
    <n v="126"/>
    <s v="Schultz et al. (1998)"/>
    <n v="6"/>
    <x v="2"/>
    <x v="0"/>
    <x v="1"/>
    <x v="12"/>
    <n v="711"/>
    <x v="19"/>
    <x v="21"/>
    <x v="8"/>
    <n v="1137.6000000000001"/>
    <x v="2"/>
    <n v="0.5"/>
    <n v="0.5"/>
    <n v="146372.40000000002"/>
    <n v="277290"/>
    <x v="48"/>
    <n v="23.3"/>
    <n v="22.2"/>
    <x v="38"/>
    <n v="28.2"/>
    <x v="26"/>
    <n v="14.5"/>
    <n v="27.469010551169475"/>
    <n v="2"/>
    <n v="2"/>
    <s v="-"/>
    <n v="0.81209093304219504"/>
    <x v="30"/>
    <s v="-"/>
    <s v="2#6"/>
    <n v="568"/>
    <n v="1136"/>
    <x v="38"/>
    <n v="400"/>
    <n v="4.1025641025641022"/>
    <n v="1222"/>
    <s v="-"/>
    <n v="0"/>
    <s v="9-ga Ladder"/>
    <n v="155.2824"/>
    <n v="155.2824"/>
    <x v="32"/>
    <n v="400"/>
    <n v="0.22399999999999998"/>
    <n v="24.757163826981689"/>
    <n v="200"/>
    <n v="130.19999999999999"/>
    <x v="37"/>
    <x v="43"/>
    <n v="0.88951195717225351"/>
    <s v="-"/>
    <s v="-"/>
    <n v="175.9"/>
    <n v="0.94"/>
    <n v="1"/>
    <n v="1"/>
    <n v="165.346"/>
    <x v="115"/>
    <n v="1.1296255304961862"/>
  </r>
  <r>
    <n v="127"/>
    <s v="Schultz et al. (1998)"/>
    <n v="8"/>
    <x v="2"/>
    <x v="0"/>
    <x v="1"/>
    <x v="12"/>
    <n v="711"/>
    <x v="17"/>
    <x v="19"/>
    <x v="8"/>
    <n v="2276"/>
    <x v="17"/>
    <n v="0.24991212653778558"/>
    <n v="0.24991212653778558"/>
    <n v="242282.6"/>
    <n v="554775"/>
    <x v="46"/>
    <n v="23.3"/>
    <n v="22.2"/>
    <x v="38"/>
    <n v="28.2"/>
    <x v="26"/>
    <n v="14.5"/>
    <n v="33.201878715186318"/>
    <n v="2"/>
    <n v="2"/>
    <s v="-"/>
    <n v="0.81209093304219504"/>
    <x v="30"/>
    <s v="-"/>
    <s v="2#6"/>
    <n v="568"/>
    <n v="1136"/>
    <x v="36"/>
    <n v="400"/>
    <n v="8.2080132713044112"/>
    <n v="2645"/>
    <s v="-"/>
    <n v="0"/>
    <s v="9-ga Ladder"/>
    <n v="305.01900000000006"/>
    <n v="305.01900000000006"/>
    <x v="33"/>
    <n v="400"/>
    <n v="0.44"/>
    <n v="24.757163826981689"/>
    <n v="200"/>
    <n v="265.5"/>
    <x v="38"/>
    <x v="44"/>
    <n v="1.0958277647672594"/>
    <s v="-"/>
    <s v="-"/>
    <n v="243.4"/>
    <n v="0.94"/>
    <n v="1"/>
    <n v="1"/>
    <n v="228.79599999999999"/>
    <x v="116"/>
    <n v="0.94433525147905784"/>
  </r>
  <r>
    <n v="128"/>
    <s v="Schultz et al. (1998)"/>
    <n v="10"/>
    <x v="2"/>
    <x v="0"/>
    <x v="1"/>
    <x v="12"/>
    <n v="711"/>
    <x v="18"/>
    <x v="20"/>
    <x v="8"/>
    <n v="1625.6000000000001"/>
    <x v="18"/>
    <n v="0.3499015748031496"/>
    <n v="0.3499015748031496"/>
    <n v="187486.40000000002"/>
    <n v="396240"/>
    <x v="47"/>
    <n v="23.3"/>
    <n v="22.2"/>
    <x v="38"/>
    <n v="28.2"/>
    <x v="26"/>
    <n v="14.5"/>
    <n v="30.644782768243452"/>
    <n v="2"/>
    <n v="2"/>
    <s v="-"/>
    <n v="0.81209093304219504"/>
    <x v="30"/>
    <s v="-"/>
    <s v="2#6"/>
    <n v="568"/>
    <n v="1136"/>
    <x v="37"/>
    <n v="400"/>
    <n v="5.8624544700494061"/>
    <n v="1832"/>
    <s v="-"/>
    <n v="0"/>
    <s v="9-ga Ladder"/>
    <n v="305.01900000000006"/>
    <n v="305.01900000000006"/>
    <x v="33"/>
    <n v="400"/>
    <n v="0.44"/>
    <n v="24.757163826981689"/>
    <n v="200"/>
    <n v="187.6"/>
    <x v="39"/>
    <x v="45"/>
    <n v="1.0006059106153831"/>
    <s v="-"/>
    <s v="-"/>
    <n v="270.3"/>
    <n v="0.94"/>
    <n v="1"/>
    <n v="1"/>
    <n v="254.08199999999999"/>
    <x v="117"/>
    <n v="1.3552022973399669"/>
  </r>
  <r>
    <n v="129"/>
    <s v="Schultz et al. (1998)"/>
    <n v="12"/>
    <x v="2"/>
    <x v="0"/>
    <x v="1"/>
    <x v="12"/>
    <n v="711"/>
    <x v="19"/>
    <x v="21"/>
    <x v="8"/>
    <n v="1137.6000000000001"/>
    <x v="2"/>
    <n v="0.5"/>
    <n v="0.5"/>
    <n v="146372.40000000002"/>
    <n v="277290"/>
    <x v="48"/>
    <n v="23.3"/>
    <n v="22.2"/>
    <x v="38"/>
    <n v="28.2"/>
    <x v="26"/>
    <n v="14.5"/>
    <n v="27.469010551169475"/>
    <n v="2"/>
    <n v="2"/>
    <s v="-"/>
    <n v="0.81209093304219504"/>
    <x v="30"/>
    <s v="-"/>
    <s v="2#6"/>
    <n v="568"/>
    <n v="1136"/>
    <x v="38"/>
    <n v="400"/>
    <n v="4.1025641025641022"/>
    <n v="1222"/>
    <s v="-"/>
    <n v="0"/>
    <s v="9-ga Ladder"/>
    <n v="305.01900000000006"/>
    <n v="305.01900000000006"/>
    <x v="33"/>
    <n v="400"/>
    <n v="0.44"/>
    <n v="24.757163826981689"/>
    <n v="200"/>
    <n v="133.19999999999999"/>
    <x v="40"/>
    <x v="46"/>
    <n v="0.91000762438820415"/>
    <s v="-"/>
    <s v="-"/>
    <n v="211.3"/>
    <n v="0.94"/>
    <n v="1"/>
    <n v="1"/>
    <n v="198.62199999999999"/>
    <x v="118"/>
    <n v="1.3569634712555096"/>
  </r>
  <r>
    <n v="130"/>
    <s v="Voon and Ingham (2006)"/>
    <n v="5"/>
    <x v="1"/>
    <x v="0"/>
    <x v="0"/>
    <x v="6"/>
    <n v="1800"/>
    <x v="16"/>
    <x v="22"/>
    <x v="3"/>
    <n v="1440"/>
    <x v="2"/>
    <n v="1"/>
    <n v="1"/>
    <n v="186000"/>
    <n v="252000"/>
    <x v="49"/>
    <s v="-"/>
    <s v="-"/>
    <x v="26"/>
    <s v="-"/>
    <x v="2"/>
    <n v="18.5"/>
    <n v="25.064516129032256"/>
    <n v="3"/>
    <n v="4.2142857142857144"/>
    <s v="-"/>
    <n v="0.95519142130789658"/>
    <x v="31"/>
    <s v="(3)D20"/>
    <s v="D20"/>
    <n v="300"/>
    <n v="1500"/>
    <x v="39"/>
    <n v="320"/>
    <n v="2.2857142857142856"/>
    <n v="320"/>
    <s v="-"/>
    <n v="0"/>
    <s v="-"/>
    <n v="0"/>
    <n v="0"/>
    <x v="0"/>
    <n v="0"/>
    <n v="0"/>
    <n v="0"/>
    <n v="0"/>
    <n v="357.5"/>
    <x v="41"/>
    <x v="47"/>
    <n v="1.9220430107526882"/>
    <s v="-"/>
    <n v="143"/>
    <n v="143"/>
    <n v="0.94"/>
    <n v="1"/>
    <n v="1"/>
    <n v="134.41999999999999"/>
    <x v="119"/>
    <n v="0.72268817204301072"/>
  </r>
  <r>
    <n v="131"/>
    <s v="Voon and Ingham (2006)"/>
    <n v="6"/>
    <x v="1"/>
    <x v="0"/>
    <x v="0"/>
    <x v="6"/>
    <n v="1800"/>
    <x v="16"/>
    <x v="22"/>
    <x v="3"/>
    <n v="1440"/>
    <x v="2"/>
    <n v="1"/>
    <n v="1"/>
    <n v="186000"/>
    <n v="252000"/>
    <x v="49"/>
    <s v="-"/>
    <s v="-"/>
    <x v="26"/>
    <s v="-"/>
    <x v="2"/>
    <n v="18.5"/>
    <n v="25.064516129032256"/>
    <n v="3"/>
    <n v="4.2142857142857144"/>
    <s v="-"/>
    <n v="0.95519142130789658"/>
    <x v="31"/>
    <s v="D20"/>
    <s v="D20"/>
    <n v="300"/>
    <n v="1500"/>
    <x v="39"/>
    <n v="320"/>
    <n v="2.2857142857142856"/>
    <n v="320"/>
    <s v="-"/>
    <n v="0"/>
    <s v="-"/>
    <n v="0"/>
    <n v="0"/>
    <x v="0"/>
    <n v="0"/>
    <n v="0"/>
    <n v="0"/>
    <n v="0"/>
    <n v="145.3125"/>
    <x v="42"/>
    <x v="48"/>
    <n v="0.78125"/>
    <s v="-"/>
    <n v="93"/>
    <n v="93"/>
    <n v="0.94"/>
    <n v="1"/>
    <n v="1"/>
    <n v="87.42"/>
    <x v="120"/>
    <n v="0.47"/>
  </r>
  <r>
    <n v="132"/>
    <s v="Haach et al. (2007)"/>
    <s v="N60-B1"/>
    <x v="1"/>
    <x v="0"/>
    <x v="0"/>
    <x v="13"/>
    <n v="808"/>
    <x v="20"/>
    <x v="23"/>
    <x v="4"/>
    <n v="960"/>
    <x v="19"/>
    <n v="0.67333333333333334"/>
    <n v="0.67333333333333334"/>
    <n v="57000"/>
    <n v="120000"/>
    <x v="50"/>
    <n v="11.4"/>
    <n v="10"/>
    <x v="39"/>
    <s v="-"/>
    <x v="2"/>
    <n v="6"/>
    <n v="12.631578947368421"/>
    <n v="3"/>
    <n v="3"/>
    <s v="-"/>
    <n v="0.87823286469972417"/>
    <x v="32"/>
    <s v="Ø5mm truss"/>
    <s v="Ø5mm tr."/>
    <n v="39.269908169872416"/>
    <n v="117.80972450961724"/>
    <x v="40"/>
    <n v="580"/>
    <n v="8.6138613861386144"/>
    <n v="250"/>
    <s v="-"/>
    <n v="0"/>
    <s v="Ø4mm truss"/>
    <n v="25.132741228718345"/>
    <n v="25.132741228718345"/>
    <x v="34"/>
    <n v="580"/>
    <n v="0.18040829099822575"/>
    <n v="0"/>
    <n v="150"/>
    <n v="60"/>
    <x v="43"/>
    <x v="49"/>
    <n v="1.0526315789473684"/>
    <n v="53"/>
    <n v="53"/>
    <n v="53"/>
    <n v="1"/>
    <n v="1"/>
    <n v="1"/>
    <n v="53"/>
    <x v="121"/>
    <n v="0.92982456140350878"/>
  </r>
  <r>
    <n v="133"/>
    <s v="Haach et al. (2007)"/>
    <s v="N60-B2"/>
    <x v="1"/>
    <x v="0"/>
    <x v="0"/>
    <x v="13"/>
    <n v="808"/>
    <x v="20"/>
    <x v="23"/>
    <x v="4"/>
    <n v="960"/>
    <x v="19"/>
    <n v="0.67333333333333334"/>
    <n v="0.67333333333333334"/>
    <n v="84000"/>
    <n v="120000"/>
    <x v="51"/>
    <n v="11.4"/>
    <n v="10"/>
    <x v="39"/>
    <s v="-"/>
    <x v="2"/>
    <n v="6"/>
    <n v="8.5714285714285712"/>
    <n v="3"/>
    <n v="3"/>
    <s v="-"/>
    <n v="0.87823286469972417"/>
    <x v="32"/>
    <s v="Ø5mm truss"/>
    <s v="Ø5mm tr."/>
    <n v="39.269908169872416"/>
    <n v="117.80972450961724"/>
    <x v="40"/>
    <n v="580"/>
    <n v="8.6138613861386144"/>
    <n v="250"/>
    <s v="-"/>
    <n v="0"/>
    <s v="Ø4mm truss"/>
    <n v="25.132741228718345"/>
    <n v="25.132741228718345"/>
    <x v="34"/>
    <n v="580"/>
    <n v="0.18040829099822575"/>
    <n v="0"/>
    <n v="150"/>
    <n v="60"/>
    <x v="43"/>
    <x v="49"/>
    <n v="0.7142857142857143"/>
    <n v="62"/>
    <n v="65"/>
    <n v="63.5"/>
    <n v="1"/>
    <n v="1"/>
    <n v="1"/>
    <n v="63.5"/>
    <x v="122"/>
    <n v="0.75595238095238093"/>
  </r>
  <r>
    <n v="134"/>
    <s v="Haach et al. (2007)"/>
    <s v="N150-B1"/>
    <x v="1"/>
    <x v="0"/>
    <x v="0"/>
    <x v="13"/>
    <n v="808"/>
    <x v="20"/>
    <x v="23"/>
    <x v="4"/>
    <n v="960"/>
    <x v="19"/>
    <n v="0.67333333333333334"/>
    <n v="0.67333333333333334"/>
    <n v="84000"/>
    <n v="120000"/>
    <x v="51"/>
    <n v="11.4"/>
    <n v="10"/>
    <x v="39"/>
    <s v="-"/>
    <x v="2"/>
    <n v="6"/>
    <n v="8.5714285714285712"/>
    <n v="3"/>
    <n v="3"/>
    <s v="-"/>
    <n v="0.87823286469972417"/>
    <x v="32"/>
    <s v="Ø5mm truss"/>
    <s v="Ø5mm tr."/>
    <n v="39.269908169872416"/>
    <n v="117.80972450961724"/>
    <x v="40"/>
    <n v="580"/>
    <n v="8.6138613861386144"/>
    <n v="250"/>
    <s v="-"/>
    <n v="0"/>
    <s v="Ø4mm truss"/>
    <n v="25.132741228718345"/>
    <n v="25.132741228718345"/>
    <x v="34"/>
    <n v="580"/>
    <n v="0.18040829099822575"/>
    <n v="0"/>
    <n v="150"/>
    <n v="150"/>
    <x v="44"/>
    <x v="50"/>
    <n v="1.7857142857142856"/>
    <n v="93"/>
    <n v="93"/>
    <n v="93"/>
    <n v="1"/>
    <n v="1"/>
    <n v="1"/>
    <n v="93"/>
    <x v="123"/>
    <n v="1.1071428571428572"/>
  </r>
  <r>
    <n v="135"/>
    <s v="Haach et al. (2007)"/>
    <s v="N150-B2"/>
    <x v="1"/>
    <x v="0"/>
    <x v="0"/>
    <x v="13"/>
    <n v="808"/>
    <x v="20"/>
    <x v="23"/>
    <x v="4"/>
    <n v="960"/>
    <x v="19"/>
    <n v="0.67333333333333334"/>
    <n v="0.67333333333333334"/>
    <n v="84000"/>
    <n v="120000"/>
    <x v="51"/>
    <n v="11.4"/>
    <n v="10"/>
    <x v="39"/>
    <s v="-"/>
    <x v="2"/>
    <n v="6"/>
    <n v="8.5714285714285712"/>
    <n v="3"/>
    <n v="3"/>
    <s v="-"/>
    <n v="0.87823286469972417"/>
    <x v="32"/>
    <s v="Ø5mm truss"/>
    <s v="Ø5mm tr."/>
    <n v="39.269908169872416"/>
    <n v="117.80972450961724"/>
    <x v="40"/>
    <n v="580"/>
    <n v="8.6138613861386144"/>
    <n v="250"/>
    <s v="-"/>
    <n v="0"/>
    <s v="Ø4mm truss"/>
    <n v="25.132741228718345"/>
    <n v="25.132741228718345"/>
    <x v="34"/>
    <n v="580"/>
    <n v="0.18040829099822575"/>
    <n v="0"/>
    <n v="150"/>
    <n v="150"/>
    <x v="44"/>
    <x v="50"/>
    <n v="1.7857142857142856"/>
    <n v="93"/>
    <n v="94"/>
    <n v="93.5"/>
    <n v="1"/>
    <n v="1"/>
    <n v="1"/>
    <n v="93.5"/>
    <x v="124"/>
    <n v="1.1130952380952381"/>
  </r>
  <r>
    <n v="136"/>
    <s v="Maleki et al. (2009)"/>
    <s v="Wall #1"/>
    <x v="1"/>
    <x v="0"/>
    <x v="1"/>
    <x v="6"/>
    <n v="900"/>
    <x v="16"/>
    <x v="22"/>
    <x v="9"/>
    <n v="1440"/>
    <x v="2"/>
    <n v="0.5"/>
    <n v="0.5"/>
    <n v="114372"/>
    <n v="162000"/>
    <x v="52"/>
    <s v="-"/>
    <n v="23.8"/>
    <x v="40"/>
    <n v="40.700000000000003"/>
    <x v="27"/>
    <n v="12.4"/>
    <n v="17.563739376770538"/>
    <n v="4"/>
    <n v="4.333333333333333"/>
    <n v="6"/>
    <n v="0.96241536418781815"/>
    <x v="33"/>
    <s v="#10"/>
    <s v="#10"/>
    <n v="100"/>
    <n v="300"/>
    <x v="41"/>
    <n v="491.7"/>
    <n v="1.1381944444444445"/>
    <n v="855"/>
    <s v="(3)D4"/>
    <n v="77.400000000000006"/>
    <s v="-"/>
    <n v="0"/>
    <n v="77.400000000000006"/>
    <x v="35"/>
    <n v="743.7"/>
    <n v="0.24934970760233921"/>
    <n v="25.8"/>
    <n v="855"/>
    <n v="121.5"/>
    <x v="45"/>
    <x v="51"/>
    <n v="1.0623229461756376"/>
    <n v="91.2"/>
    <n v="96.9"/>
    <n v="94.050000000000011"/>
    <n v="1"/>
    <n v="1"/>
    <n v="1"/>
    <n v="94.050000000000011"/>
    <x v="125"/>
    <n v="0.822316650928549"/>
  </r>
  <r>
    <n v="137"/>
    <s v="Maleki et al. (2009)"/>
    <s v="Wall #2"/>
    <x v="1"/>
    <x v="0"/>
    <x v="1"/>
    <x v="6"/>
    <n v="900"/>
    <x v="16"/>
    <x v="22"/>
    <x v="9"/>
    <n v="1440"/>
    <x v="2"/>
    <n v="0.5"/>
    <n v="0.5"/>
    <n v="122016"/>
    <n v="162000"/>
    <x v="53"/>
    <s v="-"/>
    <n v="23.8"/>
    <x v="40"/>
    <n v="40.700000000000003"/>
    <x v="27"/>
    <n v="12.4"/>
    <n v="16.463414634146343"/>
    <n v="4"/>
    <n v="4.333333333333333"/>
    <n v="6"/>
    <n v="0.96241536418781815"/>
    <x v="33"/>
    <s v="2#3"/>
    <s v="#3"/>
    <n v="71"/>
    <n v="284"/>
    <x v="42"/>
    <n v="502.9"/>
    <n v="1.1020339506172838"/>
    <n v="570"/>
    <s v="(4)D3"/>
    <n v="77.599999999999994"/>
    <s v="-"/>
    <n v="0"/>
    <n v="77.599999999999994"/>
    <x v="36"/>
    <n v="690.7"/>
    <n v="0.26120038986354777"/>
    <n v="19.399999999999999"/>
    <n v="570"/>
    <n v="121.5"/>
    <x v="45"/>
    <x v="51"/>
    <n v="0.99577104642014169"/>
    <n v="93.2"/>
    <n v="103.7"/>
    <n v="98.45"/>
    <n v="1"/>
    <n v="1"/>
    <n v="1"/>
    <n v="98.45"/>
    <x v="126"/>
    <n v="0.80686139522685552"/>
  </r>
  <r>
    <n v="138"/>
    <s v="Maleki et al. (2009)"/>
    <s v="Wall #3"/>
    <x v="1"/>
    <x v="0"/>
    <x v="1"/>
    <x v="6"/>
    <n v="900"/>
    <x v="16"/>
    <x v="22"/>
    <x v="9"/>
    <n v="1440"/>
    <x v="2"/>
    <n v="0.5"/>
    <n v="0.5"/>
    <n v="106728"/>
    <n v="162000"/>
    <x v="54"/>
    <s v="-"/>
    <n v="23.8"/>
    <x v="40"/>
    <n v="40.700000000000003"/>
    <x v="27"/>
    <n v="12.4"/>
    <n v="18.821677535417134"/>
    <n v="4"/>
    <n v="4.333333333333333"/>
    <n v="6"/>
    <n v="0.96241536418781815"/>
    <x v="33"/>
    <n v="0"/>
    <s v="#4"/>
    <n v="126"/>
    <n v="252"/>
    <x v="43"/>
    <n v="564.70000000000005"/>
    <n v="1.0980277777777778"/>
    <n v="1710"/>
    <s v="(2)2D3"/>
    <n v="77.599999999999994"/>
    <s v="-"/>
    <n v="0"/>
    <n v="77.599999999999994"/>
    <x v="37"/>
    <n v="690.7"/>
    <n v="8.7066796621182593E-2"/>
    <n v="19.399999999999999"/>
    <n v="1710"/>
    <n v="121.5"/>
    <x v="45"/>
    <x v="51"/>
    <n v="1.1384079154486171"/>
    <n v="84.4"/>
    <n v="96.7"/>
    <n v="90.550000000000011"/>
    <n v="1"/>
    <n v="1"/>
    <n v="1"/>
    <n v="90.550000000000011"/>
    <x v="127"/>
    <n v="0.84841840941458679"/>
  </r>
  <r>
    <n v="139"/>
    <s v="Maleki et al. (2009)"/>
    <s v="Wall #4"/>
    <x v="1"/>
    <x v="0"/>
    <x v="1"/>
    <x v="14"/>
    <n v="450"/>
    <x v="16"/>
    <x v="24"/>
    <x v="9"/>
    <n v="1440"/>
    <x v="20"/>
    <n v="0.25"/>
    <n v="0.25"/>
    <n v="114372"/>
    <n v="162000"/>
    <x v="52"/>
    <s v="-"/>
    <n v="23.8"/>
    <x v="40"/>
    <n v="40.700000000000003"/>
    <x v="27"/>
    <n v="12.4"/>
    <n v="17.563739376770538"/>
    <n v="4"/>
    <n v="4.333333333333333"/>
    <n v="6"/>
    <n v="0.96241536418781815"/>
    <x v="33"/>
    <s v="#10"/>
    <s v="#10"/>
    <n v="100"/>
    <n v="300"/>
    <x v="41"/>
    <n v="491.7"/>
    <n v="1.1381944444444445"/>
    <n v="855"/>
    <s v="(2)D3"/>
    <n v="38.799999999999997"/>
    <s v="-"/>
    <n v="0"/>
    <n v="38.799999999999997"/>
    <x v="38"/>
    <n v="690.7"/>
    <n v="0.17413359324236519"/>
    <n v="19.399999999999999"/>
    <n v="855"/>
    <n v="121.5"/>
    <x v="45"/>
    <x v="51"/>
    <n v="1.0623229461756376"/>
    <n v="114.2"/>
    <n v="122.9"/>
    <n v="118.55000000000001"/>
    <n v="1"/>
    <n v="1"/>
    <n v="1"/>
    <n v="118.55000000000001"/>
    <x v="128"/>
    <n v="1.0365299199104676"/>
  </r>
  <r>
    <n v="140"/>
    <s v="Maleki et al. (2009)"/>
    <s v="Wall #5"/>
    <x v="1"/>
    <x v="0"/>
    <x v="1"/>
    <x v="15"/>
    <n v="1349"/>
    <x v="16"/>
    <x v="25"/>
    <x v="9"/>
    <n v="1440"/>
    <x v="21"/>
    <n v="0.74944444444444447"/>
    <n v="0.74944444444444447"/>
    <n v="114372"/>
    <n v="162000"/>
    <x v="52"/>
    <s v="-"/>
    <n v="23.8"/>
    <x v="40"/>
    <n v="40.700000000000003"/>
    <x v="27"/>
    <n v="12.4"/>
    <n v="17.563739376770538"/>
    <n v="4"/>
    <n v="4.333333333333333"/>
    <n v="6"/>
    <n v="0.96241536418781815"/>
    <x v="33"/>
    <s v="#10"/>
    <s v="#10"/>
    <n v="100"/>
    <n v="300"/>
    <x v="41"/>
    <n v="491.7"/>
    <n v="1.1381944444444445"/>
    <n v="855"/>
    <s v="(4)D4"/>
    <n v="103.2"/>
    <s v="-"/>
    <n v="0"/>
    <n v="103.2"/>
    <x v="35"/>
    <n v="743.7"/>
    <n v="0.24934970760233921"/>
    <n v="25.8"/>
    <n v="855"/>
    <n v="121.5"/>
    <x v="45"/>
    <x v="51"/>
    <n v="1.0623229461756376"/>
    <n v="79.099999999999994"/>
    <n v="84.3"/>
    <n v="81.699999999999989"/>
    <n v="1"/>
    <n v="1"/>
    <n v="1"/>
    <n v="81.699999999999989"/>
    <x v="129"/>
    <n v="0.71433567656419394"/>
  </r>
  <r>
    <n v="141"/>
    <s v="Elmapruk (2010)"/>
    <s v="PG127-48"/>
    <x v="1"/>
    <x v="0"/>
    <x v="1"/>
    <x v="16"/>
    <n v="762"/>
    <x v="21"/>
    <x v="26"/>
    <x v="2"/>
    <n v="2634"/>
    <x v="22"/>
    <n v="0.28846153846153849"/>
    <n v="0.28846153846153849"/>
    <n v="229677"/>
    <n v="510357.11999999994"/>
    <x v="55"/>
    <s v="-"/>
    <n v="14.89"/>
    <x v="41"/>
    <n v="35.85"/>
    <x v="28"/>
    <n v="17.440000000000001"/>
    <n v="24.4"/>
    <n v="2"/>
    <n v="1.9543147208121827"/>
    <n v="5"/>
    <n v="0.80902744017690209"/>
    <x v="34"/>
    <s v="2#6"/>
    <s v="2#6"/>
    <n v="283.87039999999996"/>
    <n v="1703.2224000000001"/>
    <x v="44"/>
    <n v="427"/>
    <n v="7.6618357487922699"/>
    <n v="1219"/>
    <s v="#5"/>
    <n v="399.99919999999997"/>
    <s v="-"/>
    <n v="0"/>
    <n v="399.99919999999997"/>
    <x v="39"/>
    <n v="452"/>
    <n v="0.38384574805062016"/>
    <n v="199.99959999999999"/>
    <n v="1219"/>
    <n v="48.927999999999997"/>
    <x v="46"/>
    <x v="52"/>
    <n v="0.21302960244168984"/>
    <s v="-"/>
    <n v="238"/>
    <n v="238"/>
    <n v="0.94"/>
    <n v="1"/>
    <n v="1"/>
    <n v="223.72"/>
    <x v="130"/>
    <n v="0.97406357623967577"/>
  </r>
  <r>
    <n v="142"/>
    <s v="Elmapruk (2010)"/>
    <s v="PG127-48I"/>
    <x v="1"/>
    <x v="0"/>
    <x v="1"/>
    <x v="16"/>
    <n v="762"/>
    <x v="21"/>
    <x v="26"/>
    <x v="2"/>
    <n v="2634"/>
    <x v="22"/>
    <n v="0.28846153846153849"/>
    <n v="0.28846153846153849"/>
    <n v="229677"/>
    <n v="510357.11999999994"/>
    <x v="55"/>
    <s v="-"/>
    <n v="14.89"/>
    <x v="41"/>
    <n v="35.85"/>
    <x v="28"/>
    <n v="17.440000000000001"/>
    <n v="24.4"/>
    <n v="2"/>
    <n v="1.9543147208121827"/>
    <n v="5"/>
    <n v="0.80902744017690209"/>
    <x v="34"/>
    <s v="2#6"/>
    <s v="2#6"/>
    <n v="283.87039999999996"/>
    <n v="1703.2224000000001"/>
    <x v="44"/>
    <n v="427"/>
    <n v="7.6618357487922699"/>
    <n v="1219"/>
    <s v="#6"/>
    <n v="567.74079999999992"/>
    <s v="-"/>
    <n v="0"/>
    <n v="567.74079999999992"/>
    <x v="40"/>
    <n v="427"/>
    <n v="0.51467983973558751"/>
    <n v="283.87039999999996"/>
    <n v="1219"/>
    <n v="48.927999999999997"/>
    <x v="46"/>
    <x v="52"/>
    <n v="0.21302960244168984"/>
    <s v="-"/>
    <n v="252"/>
    <n v="252"/>
    <n v="0.94"/>
    <n v="1"/>
    <n v="1"/>
    <n v="236.88"/>
    <x v="131"/>
    <n v="1.031361433665539"/>
  </r>
  <r>
    <n v="143"/>
    <s v="Elmapruk (2010)"/>
    <s v="PG180-48"/>
    <x v="1"/>
    <x v="0"/>
    <x v="1"/>
    <x v="16"/>
    <n v="762"/>
    <x v="21"/>
    <x v="26"/>
    <x v="2"/>
    <n v="2634"/>
    <x v="22"/>
    <n v="0.28846153846153849"/>
    <n v="0.28846153846153849"/>
    <n v="229677"/>
    <n v="510357.11999999994"/>
    <x v="55"/>
    <s v="-"/>
    <n v="14.89"/>
    <x v="41"/>
    <n v="35.85"/>
    <x v="28"/>
    <n v="17.440000000000001"/>
    <n v="24.4"/>
    <n v="2"/>
    <n v="1.9543147208121827"/>
    <n v="5"/>
    <n v="0.80902744017690209"/>
    <x v="34"/>
    <s v="2#6"/>
    <s v="2#6"/>
    <n v="283.87039999999996"/>
    <n v="1703.2224000000001"/>
    <x v="44"/>
    <n v="427"/>
    <n v="7.6618357487922699"/>
    <n v="1219"/>
    <s v="2#5"/>
    <n v="799.99839999999995"/>
    <s v="-"/>
    <n v="0"/>
    <n v="799.99839999999995"/>
    <x v="41"/>
    <n v="452"/>
    <n v="0.76769149610124032"/>
    <n v="399.99919999999997"/>
    <n v="1219"/>
    <n v="48.927999999999997"/>
    <x v="46"/>
    <x v="52"/>
    <n v="0.21302960244168984"/>
    <s v="-"/>
    <n v="246"/>
    <n v="246"/>
    <n v="0.94"/>
    <n v="1"/>
    <n v="1"/>
    <n v="231.23999999999998"/>
    <x v="132"/>
    <n v="1.0068052090544546"/>
  </r>
  <r>
    <n v="144"/>
    <s v="Elmapruk (2010)"/>
    <s v="PG254-48"/>
    <x v="1"/>
    <x v="0"/>
    <x v="1"/>
    <x v="16"/>
    <n v="762"/>
    <x v="21"/>
    <x v="26"/>
    <x v="2"/>
    <n v="2634"/>
    <x v="22"/>
    <n v="0.28846153846153849"/>
    <n v="0.28846153846153849"/>
    <n v="229677"/>
    <n v="510357.11999999994"/>
    <x v="55"/>
    <s v="-"/>
    <n v="14.89"/>
    <x v="41"/>
    <n v="35.85"/>
    <x v="28"/>
    <n v="17.440000000000001"/>
    <n v="24.4"/>
    <n v="2"/>
    <n v="1.9543147208121827"/>
    <n v="5"/>
    <n v="0.80902744017690209"/>
    <x v="34"/>
    <s v="2#6"/>
    <s v="2#6"/>
    <n v="283.87039999999996"/>
    <n v="1703.2224000000001"/>
    <x v="44"/>
    <n v="427"/>
    <n v="7.6618357487922699"/>
    <n v="1219"/>
    <s v="#5"/>
    <n v="399.99919999999997"/>
    <s v="-"/>
    <n v="0"/>
    <n v="399.99919999999997"/>
    <x v="39"/>
    <n v="452"/>
    <n v="0.38384574805062016"/>
    <n v="199.99959999999999"/>
    <n v="1219"/>
    <n v="48.927999999999997"/>
    <x v="46"/>
    <x v="52"/>
    <n v="0.21302960244168984"/>
    <s v="-"/>
    <n v="286"/>
    <n v="286"/>
    <n v="0.94"/>
    <n v="1"/>
    <n v="1"/>
    <n v="268.83999999999997"/>
    <x v="133"/>
    <n v="1.1705133731283499"/>
  </r>
  <r>
    <n v="145"/>
    <s v="Elmapruk (2010)"/>
    <s v="PG127-32"/>
    <x v="1"/>
    <x v="0"/>
    <x v="1"/>
    <x v="16"/>
    <n v="762"/>
    <x v="21"/>
    <x v="26"/>
    <x v="2"/>
    <n v="2634"/>
    <x v="22"/>
    <n v="0.28846153846153849"/>
    <n v="0.28846153846153849"/>
    <n v="250322"/>
    <n v="510357.11999999994"/>
    <x v="56"/>
    <s v="-"/>
    <n v="14.89"/>
    <x v="41"/>
    <n v="35.85"/>
    <x v="28"/>
    <n v="17.440000000000001"/>
    <n v="24.4"/>
    <n v="2"/>
    <n v="1.9543147208121827"/>
    <n v="5"/>
    <n v="0.80902744017690209"/>
    <x v="34"/>
    <s v="(2)#6"/>
    <s v="2#6"/>
    <s v="200, 284"/>
    <n v="1703.2224000000001"/>
    <x v="44"/>
    <n v="427"/>
    <n v="7.6618357487922699"/>
    <n v="610"/>
    <s v="#5"/>
    <n v="399.99919999999997"/>
    <s v="-"/>
    <n v="0"/>
    <n v="399.99919999999997"/>
    <x v="42"/>
    <n v="452"/>
    <n v="0.76706224077656715"/>
    <n v="199.99959999999999"/>
    <n v="610"/>
    <n v="48.927999999999997"/>
    <x v="46"/>
    <x v="52"/>
    <n v="0.19546024720160432"/>
    <s v="-"/>
    <n v="344"/>
    <n v="344"/>
    <n v="0.94"/>
    <n v="1"/>
    <n v="1"/>
    <n v="323.35999999999996"/>
    <x v="134"/>
    <n v="1.2917761922643634"/>
  </r>
  <r>
    <n v="146"/>
    <s v="Elmapruk (2010)"/>
    <s v="PG127-24"/>
    <x v="1"/>
    <x v="0"/>
    <x v="1"/>
    <x v="16"/>
    <n v="762"/>
    <x v="21"/>
    <x v="26"/>
    <x v="2"/>
    <n v="2634"/>
    <x v="22"/>
    <n v="0.28846153846153849"/>
    <n v="0.28846153846153849"/>
    <n v="271612"/>
    <n v="510357.11999999994"/>
    <x v="57"/>
    <s v="-"/>
    <n v="14.89"/>
    <x v="41"/>
    <n v="35.85"/>
    <x v="28"/>
    <n v="17.440000000000001"/>
    <n v="24.4"/>
    <n v="2"/>
    <n v="1.9543147208121827"/>
    <n v="5"/>
    <n v="0.80902744017690209"/>
    <x v="34"/>
    <s v="(3)#5"/>
    <s v="2#6"/>
    <n v="283.87039999999996"/>
    <n v="1735.4803999999999"/>
    <x v="45"/>
    <n v="443.35687732342006"/>
    <n v="7.9553338926217538"/>
    <n v="610"/>
    <s v="#5"/>
    <n v="399.99919999999997"/>
    <s v="-"/>
    <n v="0"/>
    <n v="399.99919999999997"/>
    <x v="39"/>
    <n v="452"/>
    <n v="0.38384574805062016"/>
    <n v="199.99959999999999"/>
    <n v="1219"/>
    <n v="48.927999999999997"/>
    <x v="46"/>
    <x v="52"/>
    <n v="0.18013931637777417"/>
    <s v="-"/>
    <n v="400"/>
    <n v="400"/>
    <n v="0.94"/>
    <n v="1"/>
    <n v="1"/>
    <n v="376"/>
    <x v="135"/>
    <n v="1.3843276438448964"/>
  </r>
  <r>
    <n v="147"/>
    <s v="Minaie et al. (2010)"/>
    <s v="PCL 1"/>
    <x v="1"/>
    <x v="0"/>
    <x v="0"/>
    <x v="17"/>
    <n v="2640"/>
    <x v="22"/>
    <x v="27"/>
    <x v="5"/>
    <n v="3088"/>
    <x v="23"/>
    <n v="0.68393782383419688"/>
    <n v="0.68393782383419688"/>
    <n v="312464"/>
    <n v="772000"/>
    <x v="58"/>
    <s v="-"/>
    <n v="13.8"/>
    <x v="42"/>
    <n v="22"/>
    <x v="29"/>
    <n v="14"/>
    <n v="34.589584720159763"/>
    <n v="2"/>
    <n v="2"/>
    <s v="≥ 3"/>
    <n v="0.81209093304219504"/>
    <x v="35"/>
    <s v="(2)#6"/>
    <s v="#6"/>
    <n v="284"/>
    <n v="1136"/>
    <x v="46"/>
    <n v="414"/>
    <n v="3.0265909090909093"/>
    <n v="1220"/>
    <s v="(3)#6"/>
    <n v="852"/>
    <s v="-"/>
    <n v="0"/>
    <n v="852"/>
    <x v="43"/>
    <n v="321"/>
    <n v="0.34531818181818186"/>
    <n v="284"/>
    <n v="1320"/>
    <n v="218.72479999999999"/>
    <x v="47"/>
    <x v="53"/>
    <n v="0.7"/>
    <s v="-"/>
    <n v="318"/>
    <n v="318"/>
    <n v="0.94"/>
    <n v="1"/>
    <n v="1"/>
    <n v="298.91999999999996"/>
    <x v="136"/>
    <n v="0.9566542065645961"/>
  </r>
  <r>
    <n v="148"/>
    <s v="Minaie et al. (2010)"/>
    <s v="MC 1"/>
    <x v="1"/>
    <x v="0"/>
    <x v="0"/>
    <x v="17"/>
    <n v="2640"/>
    <x v="22"/>
    <x v="27"/>
    <x v="5"/>
    <n v="3088"/>
    <x v="23"/>
    <n v="0.68393782383419688"/>
    <n v="0.68393782383419688"/>
    <n v="312464"/>
    <n v="772000"/>
    <x v="58"/>
    <s v="-"/>
    <n v="13.8"/>
    <x v="42"/>
    <n v="22"/>
    <x v="29"/>
    <n v="14"/>
    <n v="34.589584720159763"/>
    <n v="2"/>
    <n v="2"/>
    <s v="≥ 3"/>
    <n v="0.81209093304219504"/>
    <x v="35"/>
    <s v="(2)#6"/>
    <s v="#6"/>
    <n v="284"/>
    <n v="1136"/>
    <x v="46"/>
    <n v="414"/>
    <n v="3.0265909090909093"/>
    <n v="1220"/>
    <s v="(3)#6"/>
    <n v="852"/>
    <s v="-"/>
    <n v="0"/>
    <n v="852"/>
    <x v="43"/>
    <n v="321"/>
    <n v="0.34531818181818186"/>
    <n v="284"/>
    <n v="1320"/>
    <n v="218.72479999999999"/>
    <x v="47"/>
    <x v="53"/>
    <n v="0.7"/>
    <s v="-"/>
    <n v="190"/>
    <n v="190"/>
    <n v="0.94"/>
    <n v="1"/>
    <n v="1"/>
    <n v="178.6"/>
    <x v="137"/>
    <n v="0.5715858466895386"/>
  </r>
  <r>
    <n v="149"/>
    <s v="Minaie et al. (2010)"/>
    <s v="PCL 2"/>
    <x v="1"/>
    <x v="0"/>
    <x v="1"/>
    <x v="17"/>
    <n v="1320"/>
    <x v="22"/>
    <x v="27"/>
    <x v="5"/>
    <n v="3088"/>
    <x v="23"/>
    <n v="0.34196891191709844"/>
    <n v="0.34196891191709844"/>
    <n v="312464"/>
    <n v="772000"/>
    <x v="58"/>
    <s v="-"/>
    <n v="13.8"/>
    <x v="42"/>
    <n v="22"/>
    <x v="29"/>
    <n v="14"/>
    <n v="34.589584720159763"/>
    <n v="2"/>
    <n v="2"/>
    <s v="≥ 3"/>
    <n v="0.81209093304219504"/>
    <x v="35"/>
    <s v="(2)#6"/>
    <s v="#6"/>
    <n v="284"/>
    <n v="1136"/>
    <x v="46"/>
    <n v="414"/>
    <n v="6.0531818181818187"/>
    <n v="1220"/>
    <s v="(3)#6"/>
    <n v="852"/>
    <s v="-"/>
    <n v="0"/>
    <n v="852"/>
    <x v="43"/>
    <n v="321"/>
    <n v="0.34531818181818186"/>
    <n v="284"/>
    <n v="1320"/>
    <n v="218.72479999999999"/>
    <x v="47"/>
    <x v="53"/>
    <n v="0.7"/>
    <s v="-"/>
    <n v="241"/>
    <n v="241"/>
    <n v="0.94"/>
    <n v="1"/>
    <n v="1"/>
    <n v="226.54"/>
    <x v="138"/>
    <n v="0.72501152132725688"/>
  </r>
  <r>
    <n v="150"/>
    <s v="Minaie et al. (2010)"/>
    <s v="MC 2"/>
    <x v="1"/>
    <x v="0"/>
    <x v="1"/>
    <x v="17"/>
    <n v="1320"/>
    <x v="22"/>
    <x v="27"/>
    <x v="5"/>
    <n v="3088"/>
    <x v="23"/>
    <n v="0.34196891191709844"/>
    <n v="0.34196891191709844"/>
    <n v="312464"/>
    <n v="772000"/>
    <x v="58"/>
    <s v="-"/>
    <n v="13.8"/>
    <x v="42"/>
    <n v="22"/>
    <x v="29"/>
    <n v="14"/>
    <n v="34.589584720159763"/>
    <n v="2"/>
    <n v="2"/>
    <s v="≥ 3"/>
    <n v="0.81209093304219504"/>
    <x v="35"/>
    <s v="(2)#6"/>
    <s v="#6"/>
    <n v="284"/>
    <n v="1136"/>
    <x v="46"/>
    <n v="414"/>
    <n v="6.0531818181818187"/>
    <n v="1220"/>
    <s v="(3)#6"/>
    <n v="852"/>
    <s v="-"/>
    <n v="0"/>
    <n v="852"/>
    <x v="43"/>
    <n v="321"/>
    <n v="0.34531818181818186"/>
    <n v="284"/>
    <n v="1320"/>
    <n v="218.72479999999999"/>
    <x v="47"/>
    <x v="53"/>
    <n v="0.7"/>
    <s v="-"/>
    <n v="230"/>
    <n v="230"/>
    <n v="0.94"/>
    <n v="1"/>
    <n v="1"/>
    <n v="216.2"/>
    <x v="139"/>
    <n v="0.69191970915049417"/>
  </r>
  <r>
    <n v="151"/>
    <s v="Baenziger &amp; Porter (2011)"/>
    <s v="A-1 (DR)"/>
    <x v="1"/>
    <x v="0"/>
    <x v="0"/>
    <x v="17"/>
    <n v="2640"/>
    <x v="23"/>
    <x v="28"/>
    <x v="10"/>
    <n v="2280"/>
    <x v="24"/>
    <n v="0.9263157894736842"/>
    <n v="0.9263157894736842"/>
    <n v="335805.77999999997"/>
    <n v="550050"/>
    <x v="59"/>
    <s v="-"/>
    <n v="9.9"/>
    <x v="43"/>
    <n v="28.6"/>
    <x v="30"/>
    <n v="18.753747199999999"/>
    <n v="30.718645305509636"/>
    <n v="2"/>
    <n v="2"/>
    <s v="≥ 3"/>
    <n v="0.81209093304219504"/>
    <x v="36"/>
    <s v="(2)#4"/>
    <s v="2#6"/>
    <s v="129, 284"/>
    <n v="1394"/>
    <x v="47"/>
    <n v="461"/>
    <n v="2.5786033914272255"/>
    <n v="1220"/>
    <s v="(2)#4"/>
    <n v="258"/>
    <s v="-"/>
    <n v="0"/>
    <n v="258"/>
    <x v="33"/>
    <n v="445"/>
    <n v="0.48950000000000005"/>
    <n v="258"/>
    <n v="1320"/>
    <n v="0"/>
    <x v="10"/>
    <x v="11"/>
    <n v="0"/>
    <s v="-"/>
    <s v="-"/>
    <n v="208.17669599999999"/>
    <n v="1"/>
    <n v="1"/>
    <n v="1"/>
    <n v="208.17669599999999"/>
    <x v="140"/>
    <n v="0.61993184274552993"/>
  </r>
  <r>
    <n v="152"/>
    <s v="Baenziger &amp; Porter (2011)"/>
    <s v="A-2 (JR)"/>
    <x v="1"/>
    <x v="0"/>
    <x v="0"/>
    <x v="17"/>
    <n v="2640"/>
    <x v="23"/>
    <x v="28"/>
    <x v="10"/>
    <n v="2280"/>
    <x v="24"/>
    <n v="0.9263157894736842"/>
    <n v="0.9263157894736842"/>
    <n v="335805.77999999997"/>
    <n v="550050"/>
    <x v="59"/>
    <s v="-"/>
    <n v="9.9"/>
    <x v="43"/>
    <n v="28.6"/>
    <x v="30"/>
    <n v="18.753747199999999"/>
    <n v="30.718645305509636"/>
    <n v="2"/>
    <n v="2"/>
    <s v="≥ 3"/>
    <n v="0.81209093304219504"/>
    <x v="36"/>
    <s v="(2)#4"/>
    <s v="2#6"/>
    <s v="129, 284"/>
    <n v="1394"/>
    <x v="47"/>
    <n v="461"/>
    <n v="2.5786033914272255"/>
    <n v="1220"/>
    <s v="-"/>
    <n v="0"/>
    <s v="(2)3/16&quot;"/>
    <n v="470.48491580160743"/>
    <n v="470.48491580160743"/>
    <x v="44"/>
    <n v="606.4"/>
    <n v="0.54575999999999991"/>
    <n v="36.191147369354418"/>
    <n v="203.2"/>
    <n v="0"/>
    <x v="10"/>
    <x v="11"/>
    <n v="0"/>
    <s v="-"/>
    <s v="-"/>
    <n v="201.05954400000002"/>
    <n v="1"/>
    <n v="1"/>
    <n v="1"/>
    <n v="201.05954400000002"/>
    <x v="141"/>
    <n v="0.59873759171149477"/>
  </r>
  <r>
    <n v="153"/>
    <s v="Baenziger &amp; Porter (2011)"/>
    <s v="A-6 (JRx2)"/>
    <x v="1"/>
    <x v="0"/>
    <x v="0"/>
    <x v="17"/>
    <n v="2640"/>
    <x v="23"/>
    <x v="28"/>
    <x v="10"/>
    <n v="2280"/>
    <x v="24"/>
    <n v="0.9263157894736842"/>
    <n v="0.9263157894736842"/>
    <n v="378837.95199999999"/>
    <n v="550050"/>
    <x v="60"/>
    <s v="-"/>
    <n v="9.9"/>
    <x v="43"/>
    <n v="28.6"/>
    <x v="30"/>
    <n v="19.650065999999999"/>
    <n v="28.530718071509373"/>
    <n v="2"/>
    <n v="2"/>
    <s v="≥ 3"/>
    <n v="0.81209093304219504"/>
    <x v="37"/>
    <s v="(8)#4"/>
    <s v="#6"/>
    <s v="129, 284"/>
    <n v="1600"/>
    <x v="48"/>
    <n v="461"/>
    <n v="2.5786033914272255"/>
    <n v="1220"/>
    <s v="-"/>
    <n v="0"/>
    <s v="(4)3/16&quot;"/>
    <n v="940.96983160321486"/>
    <n v="940.96983160321486"/>
    <x v="45"/>
    <n v="606.4"/>
    <n v="1.0915199999999998"/>
    <n v="72.382294738708836"/>
    <n v="203.2"/>
    <n v="0"/>
    <x v="10"/>
    <x v="11"/>
    <n v="0"/>
    <s v="-"/>
    <s v="-"/>
    <n v="325.60970400000002"/>
    <n v="1"/>
    <n v="1"/>
    <n v="1"/>
    <n v="325.60970400000002"/>
    <x v="142"/>
    <n v="0.85949599896475004"/>
  </r>
  <r>
    <n v="154"/>
    <s v="Baenziger &amp; Porter (2011)"/>
    <s v="B-7 (DR)"/>
    <x v="1"/>
    <x v="0"/>
    <x v="0"/>
    <x v="17"/>
    <n v="2640"/>
    <x v="23"/>
    <x v="28"/>
    <x v="10"/>
    <n v="2280"/>
    <x v="24"/>
    <n v="0.9263157894736842"/>
    <n v="0.9263157894736842"/>
    <n v="378837.95199999999"/>
    <n v="550050"/>
    <x v="60"/>
    <s v="-"/>
    <n v="9.9"/>
    <x v="43"/>
    <n v="28.6"/>
    <x v="30"/>
    <n v="24.338502800000001"/>
    <n v="35.338047295588808"/>
    <n v="2"/>
    <n v="2"/>
    <s v="≥ 3"/>
    <n v="0.81209093304219504"/>
    <x v="38"/>
    <s v="(8)#4"/>
    <s v="#6"/>
    <s v="129, 284"/>
    <n v="1600"/>
    <x v="48"/>
    <n v="461"/>
    <n v="2.5786033914272255"/>
    <n v="1220"/>
    <s v="(2)#4"/>
    <n v="258"/>
    <s v="-"/>
    <n v="0"/>
    <n v="258"/>
    <x v="33"/>
    <n v="445"/>
    <n v="0.48950000000000005"/>
    <n v="258"/>
    <n v="1320"/>
    <n v="0"/>
    <x v="10"/>
    <x v="11"/>
    <n v="0"/>
    <s v="-"/>
    <s v="-"/>
    <n v="249.10032000000001"/>
    <n v="1"/>
    <n v="1"/>
    <n v="1"/>
    <n v="249.10032000000001"/>
    <x v="143"/>
    <n v="0.65753792270527323"/>
  </r>
  <r>
    <n v="155"/>
    <s v="Baenziger &amp; Porter (2011)"/>
    <s v="B-5 (JR)"/>
    <x v="1"/>
    <x v="0"/>
    <x v="0"/>
    <x v="17"/>
    <n v="2640"/>
    <x v="23"/>
    <x v="28"/>
    <x v="10"/>
    <n v="2280"/>
    <x v="24"/>
    <n v="0.9263157894736842"/>
    <n v="0.9263157894736842"/>
    <n v="378837.95199999999"/>
    <n v="550050"/>
    <x v="60"/>
    <s v="-"/>
    <n v="9.9"/>
    <x v="43"/>
    <n v="28.6"/>
    <x v="30"/>
    <n v="19.650065999999999"/>
    <n v="28.530718071509373"/>
    <n v="2"/>
    <n v="2"/>
    <s v="≥ 3"/>
    <n v="0.81209093304219504"/>
    <x v="37"/>
    <s v="(8)#4"/>
    <s v="#6"/>
    <s v="129, 284"/>
    <n v="1600"/>
    <x v="48"/>
    <n v="461"/>
    <n v="2.5786033914272255"/>
    <n v="1220"/>
    <s v="-"/>
    <n v="0"/>
    <s v="(2)3/16&quot;"/>
    <n v="470.48491580160743"/>
    <n v="470.48491580160743"/>
    <x v="44"/>
    <n v="606.4"/>
    <n v="0.54575999999999991"/>
    <n v="36.191147369354418"/>
    <n v="203.2"/>
    <n v="0"/>
    <x v="10"/>
    <x v="11"/>
    <n v="0"/>
    <s v="-"/>
    <s v="-"/>
    <n v="266.003556"/>
    <n v="1"/>
    <n v="1"/>
    <n v="1"/>
    <n v="266.003556"/>
    <x v="144"/>
    <n v="0.70215656746027388"/>
  </r>
  <r>
    <n v="156"/>
    <s v="Baenziger &amp; Porter (2011)"/>
    <s v="D-3 (DR)"/>
    <x v="1"/>
    <x v="0"/>
    <x v="0"/>
    <x v="17"/>
    <n v="2640"/>
    <x v="24"/>
    <x v="29"/>
    <x v="10"/>
    <n v="3416"/>
    <x v="25"/>
    <n v="0.61826697892271665"/>
    <n v="0.61826697892271665"/>
    <n v="503611.89600000001"/>
    <n v="824110"/>
    <x v="61"/>
    <s v="-"/>
    <n v="9.9"/>
    <x v="43"/>
    <n v="28.6"/>
    <x v="30"/>
    <n v="18.753747199999999"/>
    <n v="30.688613052524079"/>
    <n v="2"/>
    <n v="2"/>
    <s v="≥ 3"/>
    <n v="0.81209093304219504"/>
    <x v="36"/>
    <s v="(4)#4"/>
    <s v="2#6"/>
    <s v="129, 284"/>
    <n v="1652"/>
    <x v="49"/>
    <n v="461"/>
    <n v="3.863381221541843"/>
    <n v="1220"/>
    <s v="(2)#4"/>
    <n v="258"/>
    <s v="-"/>
    <n v="0"/>
    <n v="258"/>
    <x v="33"/>
    <n v="445"/>
    <n v="0.48950000000000005"/>
    <n v="258"/>
    <n v="1320"/>
    <n v="0"/>
    <x v="10"/>
    <x v="11"/>
    <n v="0"/>
    <s v="-"/>
    <s v="-"/>
    <n v="348.29562600000003"/>
    <n v="1"/>
    <n v="1"/>
    <n v="1"/>
    <n v="348.29562600000003"/>
    <x v="145"/>
    <n v="0.6915953113228287"/>
  </r>
  <r>
    <n v="157"/>
    <s v="Baenziger &amp; Porter (2011)"/>
    <s v="D-4 (JR)"/>
    <x v="1"/>
    <x v="0"/>
    <x v="0"/>
    <x v="17"/>
    <n v="2640"/>
    <x v="24"/>
    <x v="29"/>
    <x v="10"/>
    <n v="3416"/>
    <x v="25"/>
    <n v="0.61826697892271665"/>
    <n v="0.61826697892271665"/>
    <n v="546773.1"/>
    <n v="824110"/>
    <x v="62"/>
    <s v="-"/>
    <n v="9.9"/>
    <x v="43"/>
    <n v="28.6"/>
    <x v="30"/>
    <n v="19.7190136"/>
    <n v="29.720987184439032"/>
    <n v="2"/>
    <n v="2"/>
    <s v="≥ 3"/>
    <n v="0.81209093304219504"/>
    <x v="39"/>
    <s v="(7)#4"/>
    <s v="2#6"/>
    <s v="129, 284"/>
    <n v="2039"/>
    <x v="50"/>
    <n v="461"/>
    <n v="3.863381221541843"/>
    <n v="1220"/>
    <s v="-"/>
    <n v="0"/>
    <s v="(2)3/16&quot;"/>
    <n v="470.48491580160743"/>
    <n v="470.48491580160743"/>
    <x v="44"/>
    <n v="606.4"/>
    <n v="0.54575999999999991"/>
    <n v="36.191147369354418"/>
    <n v="203.2"/>
    <n v="0"/>
    <x v="10"/>
    <x v="11"/>
    <n v="0"/>
    <s v="-"/>
    <s v="-"/>
    <n v="431.03251800000004"/>
    <n v="1"/>
    <n v="1"/>
    <n v="1"/>
    <n v="431.03251800000004"/>
    <x v="146"/>
    <n v="0.7883206361102989"/>
  </r>
  <r>
    <n v="158"/>
    <s v="Baenziger &amp; Porter (2011)"/>
    <s v="D-8 (JRx2)"/>
    <x v="1"/>
    <x v="0"/>
    <x v="0"/>
    <x v="17"/>
    <n v="2640"/>
    <x v="24"/>
    <x v="29"/>
    <x v="10"/>
    <n v="3416"/>
    <x v="25"/>
    <n v="0.61826697892271665"/>
    <n v="0.61826697892271665"/>
    <n v="546773.1"/>
    <n v="824110"/>
    <x v="62"/>
    <s v="-"/>
    <n v="9.9"/>
    <x v="43"/>
    <n v="28.6"/>
    <x v="30"/>
    <n v="23.0284984"/>
    <n v="34.709124893715511"/>
    <n v="2"/>
    <n v="2"/>
    <s v="≥ 3"/>
    <n v="0.81209093304219504"/>
    <x v="40"/>
    <s v="(7)#4"/>
    <s v="2#6"/>
    <s v="129, 284"/>
    <n v="2039"/>
    <x v="50"/>
    <n v="461"/>
    <n v="3.863381221541843"/>
    <n v="1220"/>
    <s v="-"/>
    <n v="0"/>
    <s v="(4)3/16&quot;"/>
    <n v="940.96983160321486"/>
    <n v="940.96983160321486"/>
    <x v="45"/>
    <n v="606.4"/>
    <n v="1.0915199999999998"/>
    <n v="72.382294738708836"/>
    <n v="203.2"/>
    <n v="0"/>
    <x v="10"/>
    <x v="11"/>
    <n v="0"/>
    <s v="-"/>
    <s v="-"/>
    <n v="405.67766399999999"/>
    <n v="1"/>
    <n v="1"/>
    <n v="1"/>
    <n v="405.67766399999999"/>
    <x v="147"/>
    <n v="0.74194883398616351"/>
  </r>
  <r>
    <n v="159"/>
    <s v="Nolph et al. (2012)"/>
    <s v="PG085-48"/>
    <x v="1"/>
    <x v="0"/>
    <x v="0"/>
    <x v="18"/>
    <n v="2337"/>
    <x v="25"/>
    <x v="30"/>
    <x v="11"/>
    <n v="2631"/>
    <x v="26"/>
    <n v="0.88825541619156212"/>
    <n v="0.88825541619156212"/>
    <n v="229677"/>
    <n v="510414"/>
    <x v="63"/>
    <n v="18.100000000000001"/>
    <s v="-"/>
    <x v="26"/>
    <n v="29.2"/>
    <x v="31"/>
    <n v="11.3"/>
    <n v="25.112127901357123"/>
    <n v="3"/>
    <n v="3.0412371134020617"/>
    <n v="4"/>
    <n v="0.88091732250230859"/>
    <x v="41"/>
    <s v="2#7"/>
    <s v="2#7"/>
    <n v="200"/>
    <n v="200"/>
    <x v="51"/>
    <n v="438"/>
    <n v="1.9972799999999999"/>
    <n v="1219"/>
    <s v="#5"/>
    <n v="200"/>
    <s v="-"/>
    <n v="0"/>
    <n v="200"/>
    <x v="46"/>
    <n v="438"/>
    <n v="0.37229999999999996"/>
    <n v="200"/>
    <n v="1219"/>
    <n v="49.286000000000001"/>
    <x v="48"/>
    <x v="54"/>
    <n v="0.21458831315281895"/>
    <n v="211"/>
    <n v="234"/>
    <n v="222.5"/>
    <n v="1"/>
    <n v="1"/>
    <n v="1"/>
    <n v="222.5"/>
    <x v="148"/>
    <n v="0.9687517687883419"/>
  </r>
  <r>
    <n v="160"/>
    <s v="Nolph et al. (2012)"/>
    <s v="PG120-48"/>
    <x v="1"/>
    <x v="0"/>
    <x v="0"/>
    <x v="18"/>
    <n v="2337"/>
    <x v="25"/>
    <x v="30"/>
    <x v="11"/>
    <n v="2631"/>
    <x v="26"/>
    <n v="0.88825541619156212"/>
    <n v="0.88825541619156212"/>
    <n v="229677"/>
    <n v="510414"/>
    <x v="63"/>
    <n v="18.100000000000001"/>
    <s v="-"/>
    <x v="26"/>
    <n v="29.2"/>
    <x v="31"/>
    <n v="11.3"/>
    <n v="25.112127901357123"/>
    <n v="3"/>
    <n v="3.0412371134020617"/>
    <n v="4"/>
    <n v="0.88091732250230859"/>
    <x v="41"/>
    <s v="2#7"/>
    <s v="2#7"/>
    <n v="284"/>
    <n v="284"/>
    <x v="51"/>
    <n v="438"/>
    <n v="1.9972799999999999"/>
    <n v="1219"/>
    <s v="#6"/>
    <n v="284"/>
    <s v="-"/>
    <n v="0"/>
    <n v="284"/>
    <x v="47"/>
    <n v="438"/>
    <n v="0.52559999999999996"/>
    <n v="284"/>
    <n v="1219"/>
    <n v="49.286000000000001"/>
    <x v="48"/>
    <x v="54"/>
    <n v="0.21458831315281895"/>
    <n v="227"/>
    <n v="230"/>
    <n v="228.5"/>
    <n v="1"/>
    <n v="1"/>
    <n v="1"/>
    <n v="228.5"/>
    <x v="149"/>
    <n v="0.99487541199162299"/>
  </r>
  <r>
    <n v="161"/>
    <s v="Nolph et al. (2012)"/>
    <s v="PG169-48"/>
    <x v="1"/>
    <x v="0"/>
    <x v="0"/>
    <x v="18"/>
    <n v="2337"/>
    <x v="25"/>
    <x v="30"/>
    <x v="11"/>
    <n v="2631"/>
    <x v="26"/>
    <n v="0.88825541619156212"/>
    <n v="0.88825541619156212"/>
    <n v="229677"/>
    <n v="510414"/>
    <x v="63"/>
    <n v="18.100000000000001"/>
    <s v="-"/>
    <x v="26"/>
    <n v="29.2"/>
    <x v="31"/>
    <n v="11.3"/>
    <n v="25.112127901357123"/>
    <n v="3"/>
    <n v="3.0412371134020617"/>
    <n v="4"/>
    <n v="0.88091732250230859"/>
    <x v="41"/>
    <s v="2#7"/>
    <s v="2#7"/>
    <n v="400"/>
    <n v="400"/>
    <x v="51"/>
    <n v="438"/>
    <n v="1.9972799999999999"/>
    <n v="1219"/>
    <s v="2#5"/>
    <n v="400"/>
    <s v="-"/>
    <n v="0"/>
    <n v="400"/>
    <x v="48"/>
    <n v="438"/>
    <n v="0.74021999999999999"/>
    <n v="400"/>
    <n v="1219"/>
    <n v="49.286000000000001"/>
    <x v="48"/>
    <x v="54"/>
    <n v="0.21458831315281895"/>
    <n v="193"/>
    <n v="215"/>
    <n v="204"/>
    <n v="1"/>
    <n v="1"/>
    <n v="1"/>
    <n v="204"/>
    <x v="150"/>
    <n v="0.88820386891155845"/>
  </r>
  <r>
    <n v="162"/>
    <s v="Nolph et al. (2012)"/>
    <s v="PG085-32"/>
    <x v="1"/>
    <x v="0"/>
    <x v="0"/>
    <x v="18"/>
    <n v="2337"/>
    <x v="25"/>
    <x v="30"/>
    <x v="11"/>
    <n v="2631"/>
    <x v="26"/>
    <n v="0.88825541619156212"/>
    <n v="0.88825541619156212"/>
    <n v="250322"/>
    <n v="510414"/>
    <x v="64"/>
    <n v="18.100000000000001"/>
    <s v="-"/>
    <x v="26"/>
    <n v="29.2"/>
    <x v="31"/>
    <n v="11.3"/>
    <n v="23.041035945701939"/>
    <n v="3"/>
    <n v="3.0412371134020617"/>
    <n v="4"/>
    <n v="0.88091732250230859"/>
    <x v="41"/>
    <s v="(2)2#6"/>
    <s v="2#6"/>
    <n v="200"/>
    <n v="200"/>
    <x v="52"/>
    <n v="438"/>
    <n v="1.9534800000000001"/>
    <n v="813"/>
    <s v="#5"/>
    <n v="200"/>
    <s v="-"/>
    <n v="0"/>
    <n v="200"/>
    <x v="46"/>
    <n v="438"/>
    <n v="0.37229999999999996"/>
    <n v="200"/>
    <n v="1219"/>
    <n v="49.286000000000001"/>
    <x v="48"/>
    <x v="54"/>
    <n v="0.19689040515815631"/>
    <n v="258"/>
    <n v="262"/>
    <n v="260"/>
    <n v="1"/>
    <n v="1"/>
    <n v="1"/>
    <n v="260"/>
    <x v="151"/>
    <n v="1.03866220308243"/>
  </r>
  <r>
    <n v="163"/>
    <s v="Nolph et al. (2012)"/>
    <s v="PG085-24"/>
    <x v="1"/>
    <x v="0"/>
    <x v="0"/>
    <x v="18"/>
    <n v="2337"/>
    <x v="25"/>
    <x v="30"/>
    <x v="11"/>
    <n v="2631"/>
    <x v="26"/>
    <n v="0.88825541619156212"/>
    <n v="0.88825541619156212"/>
    <n v="271612"/>
    <n v="510414"/>
    <x v="65"/>
    <n v="18.100000000000001"/>
    <s v="-"/>
    <x v="26"/>
    <n v="29.2"/>
    <x v="31"/>
    <n v="11.3"/>
    <n v="21.234990353887163"/>
    <n v="3"/>
    <n v="3.0412371134020617"/>
    <n v="4"/>
    <n v="0.88091732250230859"/>
    <x v="41"/>
    <s v="(3)2#5"/>
    <s v="2#6"/>
    <n v="200"/>
    <n v="200"/>
    <x v="53"/>
    <n v="438"/>
    <n v="2.00604"/>
    <n v="610"/>
    <s v="#5"/>
    <n v="200"/>
    <s v="-"/>
    <n v="0"/>
    <n v="200"/>
    <x v="46"/>
    <n v="438"/>
    <n v="0.37229999999999996"/>
    <n v="200"/>
    <n v="1219"/>
    <n v="49.286000000000001"/>
    <x v="48"/>
    <x v="54"/>
    <n v="0.18145737301739245"/>
    <n v="296"/>
    <n v="302"/>
    <n v="299"/>
    <n v="1"/>
    <n v="1"/>
    <n v="1"/>
    <n v="299"/>
    <x v="152"/>
    <n v="1.1008350146532555"/>
  </r>
  <r>
    <n v="164"/>
    <s v="Oan (2013)"/>
    <n v="1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7"/>
    <x v="44"/>
    <n v="21.8"/>
    <x v="32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416"/>
    <x v="49"/>
    <x v="55"/>
    <n v="2.0302586627623231"/>
    <s v="-"/>
    <n v="297"/>
    <n v="297"/>
    <n v="0.94"/>
    <n v="0.81399999999999995"/>
    <n v="1"/>
    <n v="227.25252"/>
    <x v="153"/>
    <n v="1.1090898975109811"/>
  </r>
  <r>
    <n v="165"/>
    <s v="Oan (2013)"/>
    <n v="2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8"/>
    <x v="45"/>
    <n v="25.7"/>
    <x v="33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416"/>
    <x v="49"/>
    <x v="55"/>
    <n v="2.0302586627623231"/>
    <s v="-"/>
    <n v="278.10000000000002"/>
    <n v="278.10000000000002"/>
    <n v="0.94"/>
    <n v="0.81399999999999995"/>
    <n v="1"/>
    <n v="212.79099599999998"/>
    <x v="154"/>
    <n v="1.0385114494875549"/>
  </r>
  <r>
    <n v="166"/>
    <s v="Oan (2013)"/>
    <n v="3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8"/>
    <x v="45"/>
    <n v="25.7"/>
    <x v="33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416"/>
    <x v="49"/>
    <x v="55"/>
    <n v="2.0302586627623231"/>
    <s v="-"/>
    <n v="275.89999999999998"/>
    <n v="275.89999999999998"/>
    <n v="0.94"/>
    <n v="0.81399999999999995"/>
    <n v="1"/>
    <n v="211.10764399999994"/>
    <x v="155"/>
    <n v="1.0302959687652511"/>
  </r>
  <r>
    <n v="167"/>
    <s v="Oan (2013)"/>
    <n v="4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5"/>
    <x v="46"/>
    <n v="21"/>
    <x v="34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416"/>
    <x v="49"/>
    <x v="55"/>
    <n v="2.0302586627623231"/>
    <s v="-"/>
    <n v="270.10000000000002"/>
    <n v="270.10000000000002"/>
    <n v="0.94"/>
    <n v="0.81399999999999995"/>
    <n v="1"/>
    <n v="206.66971599999999"/>
    <x v="156"/>
    <n v="1.0086369741337238"/>
  </r>
  <r>
    <n v="168"/>
    <s v="Oan (2013)"/>
    <n v="5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4.3"/>
    <x v="47"/>
    <n v="20"/>
    <x v="35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416"/>
    <x v="49"/>
    <x v="55"/>
    <n v="2.0302586627623231"/>
    <s v="-"/>
    <n v="261.10000000000002"/>
    <n v="261.10000000000002"/>
    <n v="0.94"/>
    <n v="0.81399999999999995"/>
    <n v="1"/>
    <n v="199.78327599999997"/>
    <x v="157"/>
    <n v="0.9750281893606636"/>
  </r>
  <r>
    <n v="169"/>
    <s v="Oan (2013)"/>
    <n v="6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4.3"/>
    <x v="47"/>
    <n v="20"/>
    <x v="35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416"/>
    <x v="49"/>
    <x v="55"/>
    <n v="2.0302586627623231"/>
    <s v="-"/>
    <n v="272.2"/>
    <n v="272.2"/>
    <n v="0.94"/>
    <n v="0.81399999999999995"/>
    <n v="1"/>
    <n v="208.27655199999995"/>
    <x v="158"/>
    <n v="1.0164790239141042"/>
  </r>
  <r>
    <n v="170"/>
    <s v="Oan (2013)"/>
    <n v="7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5"/>
    <x v="46"/>
    <n v="21"/>
    <x v="34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416"/>
    <x v="49"/>
    <x v="55"/>
    <n v="2.0302586627623231"/>
    <s v="-"/>
    <n v="257.39999999999998"/>
    <n v="257.39999999999998"/>
    <n v="0.94"/>
    <n v="0.81399999999999995"/>
    <n v="1"/>
    <n v="196.95218399999996"/>
    <x v="159"/>
    <n v="0.96121124450951656"/>
  </r>
  <r>
    <n v="171"/>
    <s v="Oan (2013)"/>
    <n v="8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5"/>
    <x v="46"/>
    <n v="21"/>
    <x v="34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416"/>
    <x v="49"/>
    <x v="55"/>
    <n v="2.0302586627623231"/>
    <s v="-"/>
    <n v="265.89999999999998"/>
    <n v="265.89999999999998"/>
    <n v="0.94"/>
    <n v="0.81399999999999995"/>
    <n v="1"/>
    <n v="203.45604399999996"/>
    <x v="160"/>
    <n v="0.99295287457296233"/>
  </r>
  <r>
    <n v="172"/>
    <s v="Oan (2013)"/>
    <n v="9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4.3"/>
    <x v="47"/>
    <n v="20"/>
    <x v="35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416"/>
    <x v="49"/>
    <x v="55"/>
    <n v="2.0302586627623231"/>
    <s v="-"/>
    <n v="259.39999999999998"/>
    <n v="259.39999999999998"/>
    <n v="0.94"/>
    <n v="0.81399999999999995"/>
    <n v="1"/>
    <n v="198.48250399999995"/>
    <x v="161"/>
    <n v="0.96867986334797429"/>
  </r>
  <r>
    <n v="173"/>
    <s v="Oan (2013)"/>
    <n v="10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5"/>
    <x v="46"/>
    <n v="23.7"/>
    <x v="36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416"/>
    <x v="49"/>
    <x v="55"/>
    <n v="2.0302586627623231"/>
    <s v="-"/>
    <n v="275.10000000000002"/>
    <n v="275.10000000000002"/>
    <n v="0.94"/>
    <n v="0.81399999999999995"/>
    <n v="1"/>
    <n v="210.49551599999998"/>
    <x v="162"/>
    <n v="1.027308521229868"/>
  </r>
  <r>
    <n v="174"/>
    <s v="Oan (2013)"/>
    <n v="11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3"/>
    <x v="48"/>
    <n v="25.1"/>
    <x v="37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416"/>
    <x v="49"/>
    <x v="55"/>
    <n v="2.0302586627623231"/>
    <s v="-"/>
    <n v="281.5"/>
    <n v="281.5"/>
    <n v="0.94"/>
    <n v="0.81399999999999995"/>
    <n v="1"/>
    <n v="215.39253999999994"/>
    <x v="163"/>
    <n v="1.0512081015129329"/>
  </r>
  <r>
    <n v="175"/>
    <s v="Oan (2013)"/>
    <n v="12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5"/>
    <x v="49"/>
    <n v="21.9"/>
    <x v="38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416"/>
    <x v="49"/>
    <x v="55"/>
    <n v="2.0302586627623231"/>
    <s v="-"/>
    <n v="278.39999999999998"/>
    <n v="278.39999999999998"/>
    <n v="0.94"/>
    <n v="0.81399999999999995"/>
    <n v="1"/>
    <n v="213.02054399999997"/>
    <x v="164"/>
    <n v="1.0396317423133234"/>
  </r>
  <r>
    <n v="176"/>
    <s v="Oan (2013)"/>
    <n v="13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5"/>
    <x v="46"/>
    <n v="23.7"/>
    <x v="36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416"/>
    <x v="49"/>
    <x v="55"/>
    <n v="2.0302586627623231"/>
    <s v="-"/>
    <n v="278.7"/>
    <n v="278.7"/>
    <n v="0.94"/>
    <n v="0.81399999999999995"/>
    <n v="1"/>
    <n v="213.25009199999994"/>
    <x v="165"/>
    <n v="1.040752035139092"/>
  </r>
  <r>
    <n v="177"/>
    <s v="Oan (2013)"/>
    <n v="14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3"/>
    <x v="48"/>
    <n v="25.1"/>
    <x v="37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416"/>
    <x v="49"/>
    <x v="55"/>
    <n v="2.0302586627623231"/>
    <s v="-"/>
    <n v="287.60000000000002"/>
    <n v="287.60000000000002"/>
    <n v="0.94"/>
    <n v="0.81399999999999995"/>
    <n v="1"/>
    <n v="220.06001599999999"/>
    <x v="166"/>
    <n v="1.0739873889702294"/>
  </r>
  <r>
    <n v="178"/>
    <s v="Oan (2013)"/>
    <n v="15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5"/>
    <x v="49"/>
    <n v="21.9"/>
    <x v="38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416"/>
    <x v="49"/>
    <x v="55"/>
    <n v="2.0302586627623231"/>
    <s v="-"/>
    <n v="278.89999999999998"/>
    <n v="278.89999999999998"/>
    <n v="0.94"/>
    <n v="0.81399999999999995"/>
    <n v="1"/>
    <n v="213.40312399999993"/>
    <x v="167"/>
    <n v="1.0414988970229377"/>
  </r>
  <r>
    <n v="179"/>
    <s v="Oan (2013)"/>
    <n v="16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5"/>
    <x v="46"/>
    <n v="23.7"/>
    <x v="36"/>
    <n v="16.2"/>
    <n v="23.884919472913616"/>
    <n v="3"/>
    <n v="3.1052631578947367"/>
    <n v="10"/>
    <n v="0.88507743347731438"/>
    <x v="43"/>
    <m/>
    <m/>
    <n v="0"/>
    <n v="0"/>
    <x v="0"/>
    <n v="0"/>
    <n v="0"/>
    <n v="0"/>
    <s v="-"/>
    <n v="0"/>
    <s v="-"/>
    <n v="0"/>
    <n v="0"/>
    <x v="0"/>
    <n v="0"/>
    <n v="0"/>
    <n v="0"/>
    <n v="0"/>
    <n v="236"/>
    <x v="50"/>
    <x v="56"/>
    <n v="1.1517813567593949"/>
    <s v="-"/>
    <n v="149.5"/>
    <n v="149.5"/>
    <n v="0.94"/>
    <n v="0.81399999999999995"/>
    <n v="1"/>
    <n v="114.39142"/>
    <x v="168"/>
    <n v="0.55827925817471946"/>
  </r>
  <r>
    <n v="180"/>
    <s v="Oan (2013)"/>
    <n v="17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3"/>
    <x v="48"/>
    <n v="25.1"/>
    <x v="37"/>
    <n v="16.2"/>
    <n v="23.884919472913616"/>
    <n v="3"/>
    <n v="3.1052631578947367"/>
    <n v="10"/>
    <n v="0.88507743347731438"/>
    <x v="43"/>
    <m/>
    <m/>
    <n v="0"/>
    <n v="0"/>
    <x v="0"/>
    <n v="0"/>
    <n v="0"/>
    <n v="0"/>
    <s v="-"/>
    <n v="0"/>
    <s v="-"/>
    <n v="0"/>
    <n v="0"/>
    <x v="0"/>
    <n v="0"/>
    <n v="0"/>
    <n v="0"/>
    <n v="0"/>
    <n v="236"/>
    <x v="50"/>
    <x v="56"/>
    <n v="1.1517813567593949"/>
    <s v="-"/>
    <n v="146.9"/>
    <n v="146.9"/>
    <n v="0.94"/>
    <n v="0.81399999999999995"/>
    <n v="1"/>
    <n v="112.40200399999998"/>
    <x v="169"/>
    <n v="0.54857005368472411"/>
  </r>
  <r>
    <n v="181"/>
    <s v="Oan (2013)"/>
    <n v="18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5"/>
    <x v="49"/>
    <n v="21.9"/>
    <x v="38"/>
    <n v="16.2"/>
    <n v="23.884919472913616"/>
    <n v="3"/>
    <n v="3.1052631578947367"/>
    <n v="10"/>
    <n v="0.88507743347731438"/>
    <x v="43"/>
    <m/>
    <m/>
    <n v="0"/>
    <n v="0"/>
    <x v="0"/>
    <n v="0"/>
    <n v="0"/>
    <n v="0"/>
    <s v="-"/>
    <n v="0"/>
    <s v="-"/>
    <n v="0"/>
    <n v="0"/>
    <x v="0"/>
    <n v="0"/>
    <n v="0"/>
    <n v="0"/>
    <n v="0"/>
    <n v="236"/>
    <x v="50"/>
    <x v="56"/>
    <n v="1.1517813567593949"/>
    <s v="-"/>
    <n v="157.19999999999999"/>
    <n v="157.19999999999999"/>
    <n v="0.94"/>
    <n v="0.81399999999999995"/>
    <n v="1"/>
    <n v="120.28315199999997"/>
    <x v="170"/>
    <n v="0.58703344070278174"/>
  </r>
  <r>
    <n v="182"/>
    <s v="Oan (2013)"/>
    <n v="19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4.5999999999999996"/>
    <x v="50"/>
    <n v="24.7"/>
    <x v="39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628"/>
    <x v="51"/>
    <x v="57"/>
    <n v="3.0649097120546607"/>
    <s v="-"/>
    <n v="384.4"/>
    <n v="384.4"/>
    <n v="0.94"/>
    <n v="0.81399999999999995"/>
    <n v="1"/>
    <n v="294.12750399999993"/>
    <x v="171"/>
    <n v="1.4354685407515857"/>
  </r>
  <r>
    <n v="183"/>
    <s v="Oan (2013)"/>
    <n v="20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4.5999999999999996"/>
    <x v="50"/>
    <n v="24.7"/>
    <x v="39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628"/>
    <x v="51"/>
    <x v="57"/>
    <n v="3.0649097120546607"/>
    <s v="-"/>
    <n v="346.6"/>
    <n v="346.6"/>
    <n v="0.94"/>
    <n v="0.81399999999999995"/>
    <n v="1"/>
    <n v="265.20445599999999"/>
    <x v="172"/>
    <n v="1.294311644704734"/>
  </r>
  <r>
    <n v="184"/>
    <s v="Oan (2013)"/>
    <n v="21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0.1"/>
    <x v="51"/>
    <n v="22.9"/>
    <x v="40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628"/>
    <x v="51"/>
    <x v="57"/>
    <n v="3.0649097120546607"/>
    <s v="-"/>
    <n v="419.6"/>
    <n v="419.6"/>
    <n v="0.94"/>
    <n v="0.81399999999999995"/>
    <n v="1"/>
    <n v="321.06113599999998"/>
    <x v="173"/>
    <n v="1.5669162323084431"/>
  </r>
  <r>
    <n v="185"/>
    <s v="Oan (2013)"/>
    <n v="22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n v="23.2"/>
    <x v="41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28"/>
    <x v="51"/>
    <x v="57"/>
    <n v="3.0649097120546607"/>
    <s v="-"/>
    <n v="347.9"/>
    <n v="347.9"/>
    <n v="0.94"/>
    <n v="0.81399999999999995"/>
    <n v="1"/>
    <n v="266.19916399999994"/>
    <x v="174"/>
    <n v="1.2991662469497314"/>
  </r>
  <r>
    <n v="186"/>
    <s v="Oan (2013)"/>
    <n v="23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n v="23.2"/>
    <x v="41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28"/>
    <x v="51"/>
    <x v="57"/>
    <n v="3.0649097120546607"/>
    <s v="-"/>
    <n v="337.1"/>
    <n v="337.1"/>
    <n v="0.94"/>
    <n v="0.81399999999999995"/>
    <n v="1"/>
    <n v="257.93543599999998"/>
    <x v="175"/>
    <n v="1.2588357052220593"/>
  </r>
  <r>
    <n v="187"/>
    <s v="Oan (2013)"/>
    <n v="24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0.1"/>
    <x v="51"/>
    <n v="22.9"/>
    <x v="40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28"/>
    <x v="51"/>
    <x v="57"/>
    <n v="3.0649097120546607"/>
    <s v="-"/>
    <n v="390.1"/>
    <n v="390.1"/>
    <n v="0.94"/>
    <n v="0.81399999999999995"/>
    <n v="1"/>
    <n v="298.48891600000002"/>
    <x v="176"/>
    <n v="1.4567541044411909"/>
  </r>
  <r>
    <n v="188"/>
    <s v="Oan (2013)"/>
    <n v="25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n v="23.2"/>
    <x v="41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628"/>
    <x v="51"/>
    <x v="57"/>
    <n v="3.0649097120546607"/>
    <s v="-"/>
    <n v="384.2"/>
    <n v="384.2"/>
    <n v="0.94"/>
    <n v="0.81399999999999995"/>
    <n v="1"/>
    <n v="293.97447199999993"/>
    <x v="177"/>
    <n v="1.4347216788677402"/>
  </r>
  <r>
    <n v="189"/>
    <s v="Oan (2013)"/>
    <n v="26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4.5999999999999996"/>
    <x v="50"/>
    <n v="24.7"/>
    <x v="39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628"/>
    <x v="51"/>
    <x v="57"/>
    <n v="3.0649097120546607"/>
    <s v="-"/>
    <n v="362.3"/>
    <n v="362.3"/>
    <n v="0.94"/>
    <n v="0.81399999999999995"/>
    <n v="1"/>
    <n v="277.217468"/>
    <x v="178"/>
    <n v="1.3529403025866276"/>
  </r>
  <r>
    <n v="190"/>
    <s v="Oan (2013)"/>
    <n v="27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0.1"/>
    <x v="51"/>
    <n v="22.9"/>
    <x v="40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628"/>
    <x v="51"/>
    <x v="57"/>
    <n v="3.0649097120546607"/>
    <s v="-"/>
    <n v="325"/>
    <n v="325"/>
    <n v="0.94"/>
    <n v="0.81399999999999995"/>
    <n v="1"/>
    <n v="248.67699999999999"/>
    <x v="179"/>
    <n v="1.21365056124939"/>
  </r>
  <r>
    <n v="191"/>
    <s v="Oan (2013)"/>
    <n v="28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2"/>
    <x v="53"/>
    <n v="26.3"/>
    <x v="42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628"/>
    <x v="51"/>
    <x v="57"/>
    <n v="3.0649097120546607"/>
    <s v="-"/>
    <n v="338.4"/>
    <n v="338.4"/>
    <n v="0.94"/>
    <n v="0.81399999999999995"/>
    <n v="1"/>
    <n v="258.93014399999993"/>
    <x v="180"/>
    <n v="1.2636903074670569"/>
  </r>
  <r>
    <n v="192"/>
    <s v="Oan (2013)"/>
    <n v="29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5"/>
    <x v="54"/>
    <n v="25.2"/>
    <x v="43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628"/>
    <x v="51"/>
    <x v="57"/>
    <n v="3.0649097120546607"/>
    <s v="-"/>
    <n v="356"/>
    <n v="356"/>
    <n v="0.94"/>
    <n v="0.81399999999999995"/>
    <n v="1"/>
    <n v="272.39695999999998"/>
    <x v="181"/>
    <n v="1.3294141532454855"/>
  </r>
  <r>
    <n v="193"/>
    <s v="Oan (2013)"/>
    <n v="30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2"/>
    <x v="55"/>
    <n v="22.8"/>
    <x v="44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628"/>
    <x v="51"/>
    <x v="57"/>
    <n v="3.0649097120546607"/>
    <s v="-"/>
    <n v="373.9"/>
    <n v="373.9"/>
    <n v="0.94"/>
    <n v="0.81399999999999995"/>
    <n v="1"/>
    <n v="286.09332399999994"/>
    <x v="182"/>
    <n v="1.3962582918496824"/>
  </r>
  <r>
    <n v="194"/>
    <s v="Oan (2013)"/>
    <n v="31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n v="23"/>
    <x v="19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628"/>
    <x v="51"/>
    <x v="57"/>
    <n v="3.0649097120546607"/>
    <s v="-"/>
    <n v="360.4"/>
    <n v="360.4"/>
    <n v="0.94"/>
    <n v="0.81399999999999995"/>
    <n v="1"/>
    <n v="275.76366399999995"/>
    <x v="183"/>
    <n v="1.3458451146900925"/>
  </r>
  <r>
    <n v="195"/>
    <s v="Oan (2013)"/>
    <n v="32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2"/>
    <x v="55"/>
    <n v="22.8"/>
    <x v="44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628"/>
    <x v="51"/>
    <x v="57"/>
    <n v="3.0649097120546607"/>
    <s v="-"/>
    <n v="349.7"/>
    <n v="349.7"/>
    <n v="0.94"/>
    <n v="0.81399999999999995"/>
    <n v="1"/>
    <n v="267.57645199999996"/>
    <x v="184"/>
    <n v="1.3058880039043435"/>
  </r>
  <r>
    <n v="196"/>
    <s v="Oan (2013)"/>
    <n v="33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5"/>
    <x v="54"/>
    <n v="25.2"/>
    <x v="43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628"/>
    <x v="51"/>
    <x v="57"/>
    <n v="3.0649097120546607"/>
    <s v="-"/>
    <n v="377.8"/>
    <n v="377.8"/>
    <n v="0.94"/>
    <n v="0.81399999999999995"/>
    <n v="1"/>
    <n v="289.077448"/>
    <x v="185"/>
    <n v="1.4108220985846756"/>
  </r>
  <r>
    <n v="197"/>
    <s v="Oan (2013)"/>
    <n v="34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5"/>
    <x v="49"/>
    <n v="21.4"/>
    <x v="45"/>
    <n v="16.2"/>
    <n v="23.884919472913616"/>
    <n v="3"/>
    <n v="3.1052631578947367"/>
    <n v="10"/>
    <n v="0.88507743347731438"/>
    <x v="43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353"/>
    <x v="52"/>
    <x v="58"/>
    <n v="1.7227916056612982"/>
    <s v="-"/>
    <n v="186.4"/>
    <n v="186.4"/>
    <n v="0.94"/>
    <n v="0.81399999999999995"/>
    <n v="1"/>
    <n v="142.62582399999999"/>
    <x v="186"/>
    <n v="0.69607527574426553"/>
  </r>
  <r>
    <n v="198"/>
    <s v="Oan (2013)"/>
    <n v="35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2"/>
    <x v="55"/>
    <n v="22.8"/>
    <x v="44"/>
    <n v="16.2"/>
    <n v="23.884919472913616"/>
    <n v="3"/>
    <n v="3.1052631578947367"/>
    <n v="10"/>
    <n v="0.88507743347731438"/>
    <x v="43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353"/>
    <x v="52"/>
    <x v="58"/>
    <n v="1.7227916056612982"/>
    <s v="-"/>
    <n v="199.8"/>
    <n v="199.8"/>
    <n v="0.94"/>
    <n v="0.81399999999999995"/>
    <n v="1"/>
    <n v="152.87896799999999"/>
    <x v="187"/>
    <n v="0.74611502196193258"/>
  </r>
  <r>
    <n v="199"/>
    <s v="Oan (2013)"/>
    <n v="36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5"/>
    <x v="54"/>
    <n v="25.2"/>
    <x v="43"/>
    <n v="16.2"/>
    <n v="23.884919472913616"/>
    <n v="3"/>
    <n v="3.1052631578947367"/>
    <n v="10"/>
    <n v="0.88507743347731438"/>
    <x v="43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353"/>
    <x v="52"/>
    <x v="58"/>
    <n v="1.7227916056612982"/>
    <s v="-"/>
    <n v="215.5"/>
    <n v="215.5"/>
    <n v="0.94"/>
    <n v="0.81399999999999995"/>
    <n v="1"/>
    <n v="164.89197999999999"/>
    <x v="188"/>
    <n v="0.80474367984382622"/>
  </r>
  <r>
    <n v="200"/>
    <s v="Oan (2013)"/>
    <n v="37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2"/>
    <x v="53"/>
    <n v="26.3"/>
    <x v="42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839"/>
    <x v="53"/>
    <x v="59"/>
    <n v="4.0946803318692044"/>
    <s v="-"/>
    <n v="459.5"/>
    <n v="459.5"/>
    <n v="0.94"/>
    <n v="0.81399999999999995"/>
    <n v="1"/>
    <n v="351.59101999999996"/>
    <x v="189"/>
    <n v="1.7159151781356756"/>
  </r>
  <r>
    <n v="201"/>
    <s v="Oan (2013)"/>
    <n v="38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7"/>
    <x v="44"/>
    <n v="23.8"/>
    <x v="46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839"/>
    <x v="53"/>
    <x v="59"/>
    <n v="4.0946803318692044"/>
    <s v="-"/>
    <n v="403.5"/>
    <n v="403.5"/>
    <n v="0.94"/>
    <n v="0.81399999999999995"/>
    <n v="1"/>
    <n v="308.74205999999992"/>
    <x v="190"/>
    <n v="1.5067938506588576"/>
  </r>
  <r>
    <n v="202"/>
    <s v="Oan (2013)"/>
    <n v="39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n v="23"/>
    <x v="19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839"/>
    <x v="53"/>
    <x v="59"/>
    <n v="4.0946803318692044"/>
    <s v="-"/>
    <n v="433.6"/>
    <n v="433.6"/>
    <n v="0.94"/>
    <n v="0.81399999999999995"/>
    <n v="1"/>
    <n v="331.77337599999998"/>
    <x v="191"/>
    <n v="1.6191965641776476"/>
  </r>
  <r>
    <n v="203"/>
    <s v="Oan (2013)"/>
    <n v="40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5"/>
    <x v="49"/>
    <n v="21.4"/>
    <x v="45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839"/>
    <x v="53"/>
    <x v="59"/>
    <n v="4.0946803318692044"/>
    <s v="-"/>
    <n v="414.6"/>
    <n v="414.6"/>
    <n v="0.94"/>
    <n v="0.81399999999999995"/>
    <n v="1"/>
    <n v="317.23533599999996"/>
    <x v="192"/>
    <n v="1.5482446852122984"/>
  </r>
  <r>
    <n v="204"/>
    <s v="Oan (2013)"/>
    <n v="41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n v="23"/>
    <x v="19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839"/>
    <x v="53"/>
    <x v="59"/>
    <n v="4.0946803318692044"/>
    <s v="-"/>
    <n v="393.8"/>
    <n v="393.8"/>
    <n v="0.94"/>
    <n v="0.81399999999999995"/>
    <n v="1"/>
    <n v="301.32000799999997"/>
    <x v="193"/>
    <n v="1.4705710492923376"/>
  </r>
  <r>
    <n v="205"/>
    <s v="Oan (2013)"/>
    <n v="42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8"/>
    <x v="45"/>
    <n v="25.7"/>
    <x v="33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839"/>
    <x v="53"/>
    <x v="59"/>
    <n v="4.0946803318692044"/>
    <s v="-"/>
    <n v="402"/>
    <n v="402"/>
    <n v="0.94"/>
    <n v="0.81399999999999995"/>
    <n v="1"/>
    <n v="307.59431999999998"/>
    <x v="194"/>
    <n v="1.5011923865300145"/>
  </r>
  <r>
    <n v="206"/>
    <s v="Oan (2013)"/>
    <n v="43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2"/>
    <x v="53"/>
    <n v="26.3"/>
    <x v="42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839"/>
    <x v="53"/>
    <x v="59"/>
    <n v="4.0946803318692044"/>
    <s v="-"/>
    <n v="437"/>
    <n v="437"/>
    <n v="0.94"/>
    <n v="0.81399999999999995"/>
    <n v="1"/>
    <n v="334.37491999999997"/>
    <x v="195"/>
    <n v="1.6318932162030257"/>
  </r>
  <r>
    <n v="207"/>
    <s v="Oan (2013)"/>
    <n v="44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7"/>
    <x v="44"/>
    <n v="23.8"/>
    <x v="46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839"/>
    <x v="53"/>
    <x v="59"/>
    <n v="4.0946803318692044"/>
    <s v="-"/>
    <n v="393.3"/>
    <n v="393.3"/>
    <n v="0.94"/>
    <n v="0.81399999999999995"/>
    <n v="1"/>
    <n v="300.93742799999995"/>
    <x v="196"/>
    <n v="1.4687038945827231"/>
  </r>
  <r>
    <n v="208"/>
    <s v="Oan (2013)"/>
    <n v="45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n v="23"/>
    <x v="19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4.9mm"/>
    <n v="226.20000000000005"/>
    <n v="226.20000000000005"/>
    <x v="50"/>
    <n v="560"/>
    <n v="0.55557894736842117"/>
    <n v="37.700000000000003"/>
    <n v="200"/>
    <n v="839"/>
    <x v="53"/>
    <x v="59"/>
    <n v="4.0946803318692044"/>
    <s v="-"/>
    <n v="425.7"/>
    <n v="425.7"/>
    <n v="0.94"/>
    <n v="0.81399999999999995"/>
    <n v="1"/>
    <n v="325.72861199999994"/>
    <x v="197"/>
    <n v="1.589695519765739"/>
  </r>
  <r>
    <n v="209"/>
    <s v="Oan (2013)"/>
    <n v="46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4"/>
    <x v="56"/>
    <s v="-"/>
    <x v="2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839"/>
    <x v="53"/>
    <x v="59"/>
    <n v="4.0946803318692044"/>
    <s v="-"/>
    <n v="423.6"/>
    <n v="423.6"/>
    <n v="0.94"/>
    <n v="0.81399999999999995"/>
    <n v="1"/>
    <n v="324.12177600000001"/>
    <x v="198"/>
    <n v="1.5818534699853588"/>
  </r>
  <r>
    <n v="210"/>
    <s v="Oan (2013)"/>
    <n v="47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s v="-"/>
    <x v="2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839"/>
    <x v="53"/>
    <x v="59"/>
    <n v="4.0946803318692044"/>
    <s v="-"/>
    <n v="400.9"/>
    <n v="400.9"/>
    <n v="0.94"/>
    <n v="0.81399999999999995"/>
    <n v="1"/>
    <n v="306.75264399999992"/>
    <x v="199"/>
    <n v="1.4970846461688625"/>
  </r>
  <r>
    <n v="211"/>
    <s v="Oan (2013)"/>
    <n v="48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5.5"/>
    <x v="57"/>
    <s v="-"/>
    <x v="2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-"/>
    <n v="0"/>
    <n v="0"/>
    <x v="0"/>
    <n v="0"/>
    <n v="0"/>
    <n v="0"/>
    <n v="0"/>
    <n v="839"/>
    <x v="53"/>
    <x v="59"/>
    <n v="4.0946803318692044"/>
    <s v="-"/>
    <n v="405.9"/>
    <n v="405.9"/>
    <n v="0.94"/>
    <n v="0.81399999999999995"/>
    <n v="1"/>
    <n v="310.57844399999993"/>
    <x v="200"/>
    <n v="1.515756193265007"/>
  </r>
  <r>
    <n v="212"/>
    <s v="Oan (2013)"/>
    <n v="49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1"/>
    <x v="58"/>
    <s v="-"/>
    <x v="2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839"/>
    <x v="53"/>
    <x v="59"/>
    <n v="4.0946803318692044"/>
    <s v="-"/>
    <n v="410.3"/>
    <n v="410.3"/>
    <n v="0.94"/>
    <n v="0.81399999999999995"/>
    <n v="1"/>
    <n v="313.94514800000002"/>
    <x v="201"/>
    <n v="1.5321871547096144"/>
  </r>
  <r>
    <n v="213"/>
    <s v="Oan (2013)"/>
    <n v="50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7"/>
    <x v="44"/>
    <s v="-"/>
    <x v="2"/>
    <n v="12.4"/>
    <n v="18.282284040995609"/>
    <n v="3"/>
    <n v="3.1052631578947367"/>
    <n v="10"/>
    <n v="0.88507743347731438"/>
    <x v="42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839"/>
    <x v="53"/>
    <x v="59"/>
    <n v="4.0946803318692044"/>
    <s v="-"/>
    <n v="436.8"/>
    <n v="436.8"/>
    <n v="0.94"/>
    <n v="0.81399999999999995"/>
    <n v="1"/>
    <n v="334.22188799999998"/>
    <x v="202"/>
    <n v="1.63114635431918"/>
  </r>
  <r>
    <n v="214"/>
    <s v="Oan (2013)"/>
    <n v="51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s v="-"/>
    <x v="2"/>
    <n v="16.2"/>
    <n v="23.884919472913616"/>
    <n v="3"/>
    <n v="3.1052631578947367"/>
    <n v="10"/>
    <n v="0.88507743347731438"/>
    <x v="43"/>
    <s v="2-15M"/>
    <s v="15M"/>
    <n v="200"/>
    <n v="800"/>
    <x v="54"/>
    <n v="480"/>
    <n v="3.3473684210526318"/>
    <n v="400"/>
    <s v="-"/>
    <n v="0"/>
    <s v="Ø4.9mm"/>
    <n v="226.20000000000005"/>
    <n v="226.20000000000005"/>
    <x v="50"/>
    <n v="560"/>
    <n v="0.55557894736842117"/>
    <n v="37.700000000000003"/>
    <n v="200"/>
    <n v="839"/>
    <x v="53"/>
    <x v="60"/>
    <n v="4.0946803318692044"/>
    <s v="-"/>
    <n v="443.4"/>
    <n v="443.4"/>
    <n v="0.94"/>
    <n v="0.81399999999999995"/>
    <n v="1"/>
    <n v="339.27194399999991"/>
    <x v="203"/>
    <n v="1.6557927964860903"/>
  </r>
  <r>
    <n v="215"/>
    <s v="Oan (2013)"/>
    <n v="52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6.4"/>
    <x v="56"/>
    <s v="-"/>
    <x v="2"/>
    <n v="16.2"/>
    <n v="23.884919472913616"/>
    <n v="3"/>
    <n v="3.1052631578947367"/>
    <n v="10"/>
    <n v="0.88507743347731438"/>
    <x v="43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471"/>
    <x v="54"/>
    <x v="61"/>
    <n v="2.2986822840409955"/>
    <s v="-"/>
    <n v="231.1"/>
    <n v="231.1"/>
    <n v="0.94"/>
    <n v="0.81399999999999995"/>
    <n v="1"/>
    <n v="176.82847599999997"/>
    <x v="204"/>
    <n v="0.86299890678379687"/>
  </r>
  <r>
    <n v="216"/>
    <s v="Oan (2013)"/>
    <n v="53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7.8"/>
    <x v="52"/>
    <s v="-"/>
    <x v="2"/>
    <n v="16.2"/>
    <n v="23.884919472913616"/>
    <n v="3"/>
    <n v="3.1052631578947367"/>
    <n v="10"/>
    <n v="0.88507743347731438"/>
    <x v="43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471"/>
    <x v="54"/>
    <x v="61"/>
    <n v="2.2986822840409955"/>
    <s v="-"/>
    <n v="250.8"/>
    <n v="250.8"/>
    <n v="0.94"/>
    <n v="0.81399999999999995"/>
    <n v="1"/>
    <n v="191.902128"/>
    <x v="205"/>
    <n v="0.9365648023426062"/>
  </r>
  <r>
    <n v="217"/>
    <s v="Oan (2013)"/>
    <n v="54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5.5"/>
    <x v="57"/>
    <s v="-"/>
    <x v="2"/>
    <n v="19.5"/>
    <n v="28.750366032210838"/>
    <n v="3"/>
    <n v="3.1052631578947367"/>
    <n v="10"/>
    <n v="0.88507743347731438"/>
    <x v="44"/>
    <s v="-"/>
    <s v="-"/>
    <n v="0"/>
    <n v="0"/>
    <x v="0"/>
    <n v="0"/>
    <n v="0"/>
    <n v="0"/>
    <s v="-"/>
    <n v="0"/>
    <s v="-"/>
    <n v="0"/>
    <n v="0"/>
    <x v="0"/>
    <n v="0"/>
    <n v="0"/>
    <n v="0"/>
    <n v="0"/>
    <n v="471"/>
    <x v="54"/>
    <x v="62"/>
    <n v="2.2986822840409955"/>
    <s v="-"/>
    <n v="237.2"/>
    <n v="237.2"/>
    <n v="0.94"/>
    <n v="0.81399999999999995"/>
    <n v="1"/>
    <n v="181.49595199999999"/>
    <x v="206"/>
    <n v="0.88577819424109316"/>
  </r>
  <r>
    <n v="218"/>
    <s v="Oan (2013)"/>
    <n v="55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2.8"/>
    <x v="59"/>
    <s v="-"/>
    <x v="2"/>
    <n v="19.5"/>
    <n v="28.750366032210838"/>
    <n v="3"/>
    <n v="3.1052631578947367"/>
    <n v="10"/>
    <n v="0.88507743347731438"/>
    <x v="44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315"/>
    <x v="55"/>
    <x v="63"/>
    <n v="1.5373352855051245"/>
    <s v="-"/>
    <n v="186.4"/>
    <n v="186.4"/>
    <n v="0.94"/>
    <n v="0.81399999999999995"/>
    <n v="1"/>
    <n v="142.62582399999999"/>
    <x v="186"/>
    <n v="0.69607527574426553"/>
  </r>
  <r>
    <n v="219"/>
    <s v="Oan (2013)"/>
    <n v="56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3.2"/>
    <x v="60"/>
    <s v="-"/>
    <x v="2"/>
    <n v="19.5"/>
    <n v="28.750366032210838"/>
    <n v="3"/>
    <n v="3.1052631578947367"/>
    <n v="10"/>
    <n v="0.88507743347731438"/>
    <x v="44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315"/>
    <x v="55"/>
    <x v="63"/>
    <n v="1.5373352855051245"/>
    <s v="-"/>
    <n v="217.3"/>
    <n v="217.3"/>
    <n v="0.94"/>
    <n v="0.81399999999999995"/>
    <n v="1"/>
    <n v="166.26926799999998"/>
    <x v="207"/>
    <n v="0.81146543679843819"/>
  </r>
  <r>
    <n v="220"/>
    <s v="Oan (2013)"/>
    <n v="57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5"/>
    <x v="61"/>
    <s v="-"/>
    <x v="2"/>
    <n v="19.5"/>
    <n v="28.750366032210838"/>
    <n v="3"/>
    <n v="3.1052631578947367"/>
    <n v="10"/>
    <n v="0.88507743347731438"/>
    <x v="44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315"/>
    <x v="55"/>
    <x v="63"/>
    <n v="1.5373352855051245"/>
    <s v="-"/>
    <n v="208"/>
    <n v="208"/>
    <n v="0.94"/>
    <n v="0.81399999999999995"/>
    <n v="1"/>
    <n v="159.15327999999997"/>
    <x v="208"/>
    <n v="0.77673635919960937"/>
  </r>
  <r>
    <n v="221"/>
    <s v="Oan (2013)"/>
    <n v="58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2.5"/>
    <x v="62"/>
    <s v="-"/>
    <x v="2"/>
    <n v="19.5"/>
    <n v="28.750366032210838"/>
    <n v="3"/>
    <n v="3.1052631578947367"/>
    <n v="10"/>
    <n v="0.88507743347731438"/>
    <x v="44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315"/>
    <x v="55"/>
    <x v="63"/>
    <n v="1.5373352855051245"/>
    <s v="-"/>
    <n v="210.1"/>
    <n v="210.1"/>
    <n v="0.94"/>
    <n v="0.81399999999999995"/>
    <n v="1"/>
    <n v="160.76011599999995"/>
    <x v="209"/>
    <n v="0.78457840897998998"/>
  </r>
  <r>
    <n v="222"/>
    <s v="Oan (2013)"/>
    <n v="59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3.2"/>
    <x v="60"/>
    <s v="-"/>
    <x v="2"/>
    <n v="19.5"/>
    <n v="28.750366032210838"/>
    <n v="3"/>
    <n v="3.1052631578947367"/>
    <n v="10"/>
    <n v="0.88507743347731438"/>
    <x v="44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315"/>
    <x v="55"/>
    <x v="63"/>
    <n v="1.5373352855051245"/>
    <s v="-"/>
    <n v="206.7"/>
    <n v="206.7"/>
    <n v="0.94"/>
    <n v="0.81399999999999995"/>
    <n v="1"/>
    <n v="158.15857199999996"/>
    <x v="210"/>
    <n v="0.77188175695461181"/>
  </r>
  <r>
    <n v="223"/>
    <s v="Oan (2013)"/>
    <n v="60"/>
    <x v="0"/>
    <x v="0"/>
    <x v="0"/>
    <x v="19"/>
    <n v="1200"/>
    <x v="26"/>
    <x v="31"/>
    <x v="12"/>
    <n v="1280"/>
    <x v="27"/>
    <n v="0.75471698113207553"/>
    <n v="0.75471698113207553"/>
    <n v="204900"/>
    <n v="302100"/>
    <x v="66"/>
    <n v="18.399999999999999"/>
    <n v="15"/>
    <x v="61"/>
    <s v="-"/>
    <x v="2"/>
    <n v="12.4"/>
    <n v="18.282284040995609"/>
    <n v="3"/>
    <n v="3.1052631578947367"/>
    <n v="10"/>
    <n v="0.88507743347731438"/>
    <x v="42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315"/>
    <x v="55"/>
    <x v="64"/>
    <n v="1.5373352855051245"/>
    <s v="-"/>
    <n v="212"/>
    <n v="212"/>
    <n v="0.94"/>
    <n v="0.81399999999999995"/>
    <n v="1"/>
    <n v="162.21392"/>
    <x v="211"/>
    <n v="0.79167359687652505"/>
  </r>
  <r>
    <n v="224"/>
    <s v="Oan (2013)"/>
    <n v="61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3.7"/>
    <x v="63"/>
    <n v="11.3"/>
    <x v="47"/>
    <n v="14.2"/>
    <n v="20.936163982430454"/>
    <n v="3"/>
    <n v="3.1052631578947367"/>
    <n v="10"/>
    <n v="0.88507743347731438"/>
    <x v="45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08"/>
    <x v="56"/>
    <x v="65"/>
    <n v="2.96730112249878"/>
    <s v="-"/>
    <n v="350.7"/>
    <n v="350.7"/>
    <n v="0.94"/>
    <n v="0.81399999999999995"/>
    <n v="1"/>
    <n v="268.34161199999994"/>
    <x v="212"/>
    <n v="1.3096223133235723"/>
  </r>
  <r>
    <n v="225"/>
    <s v="Oan (2013)"/>
    <n v="62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5.3"/>
    <x v="64"/>
    <n v="11.1"/>
    <x v="48"/>
    <n v="14.2"/>
    <n v="20.936163982430454"/>
    <n v="3"/>
    <n v="3.1052631578947367"/>
    <n v="10"/>
    <n v="0.88507743347731438"/>
    <x v="45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08"/>
    <x v="56"/>
    <x v="65"/>
    <n v="2.96730112249878"/>
    <s v="-"/>
    <n v="323.10000000000002"/>
    <n v="323.10000000000002"/>
    <n v="0.94"/>
    <n v="0.81399999999999995"/>
    <n v="1"/>
    <n v="247.22319599999997"/>
    <x v="213"/>
    <n v="1.2065553733528549"/>
  </r>
  <r>
    <n v="226"/>
    <s v="Oan (2013)"/>
    <n v="63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3"/>
    <x v="65"/>
    <n v="15.4"/>
    <x v="49"/>
    <n v="14.2"/>
    <n v="20.936163982430454"/>
    <n v="3"/>
    <n v="3.1052631578947367"/>
    <n v="10"/>
    <n v="0.88507743347731438"/>
    <x v="45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08"/>
    <x v="56"/>
    <x v="65"/>
    <n v="2.96730112249878"/>
    <s v="-"/>
    <n v="339.2"/>
    <n v="339.2"/>
    <n v="0.94"/>
    <n v="0.81399999999999995"/>
    <n v="1"/>
    <n v="259.54227199999997"/>
    <x v="214"/>
    <n v="1.26667775500244"/>
  </r>
  <r>
    <n v="227"/>
    <s v="Oan (2013)"/>
    <n v="64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5.3"/>
    <x v="64"/>
    <n v="11.5"/>
    <x v="50"/>
    <n v="14.2"/>
    <n v="20.936163982430454"/>
    <n v="3"/>
    <n v="3.1052631578947367"/>
    <n v="10"/>
    <n v="0.88507743347731438"/>
    <x v="45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08"/>
    <x v="56"/>
    <x v="65"/>
    <n v="2.96730112249878"/>
    <s v="-"/>
    <n v="320.39999999999998"/>
    <n v="320.39999999999998"/>
    <n v="0.94"/>
    <n v="0.81399999999999995"/>
    <n v="1"/>
    <n v="245.15726399999997"/>
    <x v="215"/>
    <n v="1.1964727379209368"/>
  </r>
  <r>
    <n v="228"/>
    <s v="Oan (2013)"/>
    <n v="65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3.7"/>
    <x v="63"/>
    <n v="11.3"/>
    <x v="47"/>
    <n v="14.2"/>
    <n v="20.936163982430454"/>
    <n v="3"/>
    <n v="3.1052631578947367"/>
    <n v="10"/>
    <n v="0.88507743347731438"/>
    <x v="45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08"/>
    <x v="56"/>
    <x v="65"/>
    <n v="2.96730112249878"/>
    <s v="-"/>
    <n v="334.6"/>
    <n v="334.6"/>
    <n v="0.94"/>
    <n v="0.81399999999999995"/>
    <n v="1"/>
    <n v="256.022536"/>
    <x v="216"/>
    <n v="1.2494999316739874"/>
  </r>
  <r>
    <n v="229"/>
    <s v="Oan (2013)"/>
    <n v="66"/>
    <x v="0"/>
    <x v="0"/>
    <x v="0"/>
    <x v="19"/>
    <n v="1200"/>
    <x v="26"/>
    <x v="31"/>
    <x v="12"/>
    <n v="1272"/>
    <x v="27"/>
    <n v="0.75471698113207553"/>
    <n v="0.75471698113207553"/>
    <n v="204900"/>
    <n v="302100"/>
    <x v="66"/>
    <n v="18.399999999999999"/>
    <n v="13"/>
    <x v="65"/>
    <n v="15.4"/>
    <x v="49"/>
    <n v="14.2"/>
    <n v="20.936163982430454"/>
    <n v="3"/>
    <n v="3.1052631578947367"/>
    <n v="10"/>
    <n v="0.88507743347731438"/>
    <x v="45"/>
    <s v="-"/>
    <s v="-"/>
    <n v="0"/>
    <n v="0"/>
    <x v="0"/>
    <n v="0"/>
    <n v="0"/>
    <n v="0"/>
    <s v="-"/>
    <n v="0"/>
    <s v="Ø3.7mm"/>
    <n v="128.99999999999997"/>
    <n v="128.99999999999997"/>
    <x v="49"/>
    <n v="530"/>
    <n v="0.29986842105263156"/>
    <n v="21.5"/>
    <n v="200"/>
    <n v="608"/>
    <x v="56"/>
    <x v="65"/>
    <n v="2.96730112249878"/>
    <s v="-"/>
    <n v="333.2"/>
    <n v="333.2"/>
    <n v="0.94"/>
    <n v="0.81399999999999995"/>
    <n v="1"/>
    <n v="254.95131199999994"/>
    <x v="217"/>
    <n v="1.2442718984870667"/>
  </r>
  <r>
    <n v="230"/>
    <s v="Ramirez et al. (2016)"/>
    <s v="M1"/>
    <x v="1"/>
    <x v="0"/>
    <x v="0"/>
    <x v="20"/>
    <n v="1930"/>
    <x v="27"/>
    <x v="32"/>
    <x v="3"/>
    <n v="1592"/>
    <x v="28"/>
    <n v="0.96984924623115576"/>
    <n v="0.96984924623115576"/>
    <n v="170668"/>
    <n v="278600"/>
    <x v="67"/>
    <n v="6.36"/>
    <n v="18.03"/>
    <x v="66"/>
    <n v="31.7"/>
    <x v="51"/>
    <n v="5.54"/>
    <n v="9.0435465347926982"/>
    <n v="1"/>
    <n v="1"/>
    <n v="5"/>
    <n v="0.7443580131166263"/>
    <x v="46"/>
    <s v="2Ø22mm"/>
    <s v="2Ø10mm"/>
    <s v="380, 79"/>
    <n v="917.34505484821966"/>
    <x v="55"/>
    <n v="474"/>
    <n v="1.9509222720659376"/>
    <n v="618"/>
    <s v="-"/>
    <n v="0"/>
    <s v="4-2Ø4.2mm"/>
    <n v="110.8353888186479"/>
    <n v="110.8353888186479"/>
    <x v="51"/>
    <n v="610"/>
    <n v="0.30182851419363937"/>
    <n v="27.708847204661975"/>
    <n v="400"/>
    <n v="156.01600000000002"/>
    <x v="57"/>
    <x v="66"/>
    <n v="0.91414910821009221"/>
    <n v="211.67"/>
    <n v="221.08"/>
    <n v="216.375"/>
    <n v="1"/>
    <n v="1"/>
    <n v="1"/>
    <n v="216.375"/>
    <x v="218"/>
    <n v="1.2678123608409311"/>
  </r>
  <r>
    <n v="231"/>
    <s v="Ramirez et al. (2016)"/>
    <s v="M2"/>
    <x v="1"/>
    <x v="0"/>
    <x v="0"/>
    <x v="20"/>
    <n v="1930"/>
    <x v="27"/>
    <x v="32"/>
    <x v="3"/>
    <n v="1592"/>
    <x v="28"/>
    <n v="0.96984924623115576"/>
    <n v="0.96984924623115576"/>
    <n v="170668"/>
    <n v="278600"/>
    <x v="67"/>
    <n v="6.36"/>
    <n v="18.03"/>
    <x v="66"/>
    <n v="31.7"/>
    <x v="51"/>
    <n v="5.54"/>
    <n v="9.0435465347926982"/>
    <n v="1"/>
    <n v="1"/>
    <n v="5"/>
    <n v="0.7443580131166263"/>
    <x v="46"/>
    <s v="2Ø22mm"/>
    <s v="2Ø10mm"/>
    <s v="380, 79"/>
    <n v="917.34505484821966"/>
    <x v="55"/>
    <n v="474"/>
    <n v="1.9509222720659376"/>
    <n v="618"/>
    <s v="-"/>
    <n v="0"/>
    <s v="4-2Ø4.2mm"/>
    <n v="110.8353888186479"/>
    <n v="110.8353888186479"/>
    <x v="51"/>
    <n v="610"/>
    <n v="0.30182851419363937"/>
    <n v="27.708847204661975"/>
    <n v="400"/>
    <n v="156.01600000000002"/>
    <x v="57"/>
    <x v="66"/>
    <n v="0.91414910821009221"/>
    <n v="196.34"/>
    <n v="220.85"/>
    <n v="208.595"/>
    <n v="1"/>
    <n v="1"/>
    <n v="1"/>
    <n v="208.595"/>
    <x v="219"/>
    <n v="1.2222267794782853"/>
  </r>
  <r>
    <n v="232"/>
    <s v="Ramirez et al. (2016)"/>
    <s v="M3"/>
    <x v="1"/>
    <x v="0"/>
    <x v="0"/>
    <x v="20"/>
    <n v="1930"/>
    <x v="27"/>
    <x v="32"/>
    <x v="3"/>
    <n v="1592"/>
    <x v="28"/>
    <n v="0.96984924623115576"/>
    <n v="0.96984924623115576"/>
    <n v="170668"/>
    <n v="278600"/>
    <x v="67"/>
    <n v="6.36"/>
    <n v="18.03"/>
    <x v="66"/>
    <n v="31.7"/>
    <x v="51"/>
    <n v="5.54"/>
    <n v="9.0435465347926982"/>
    <n v="1"/>
    <n v="1"/>
    <n v="5"/>
    <n v="0.7443580131166263"/>
    <x v="46"/>
    <s v="2Ø22mm"/>
    <s v="2Ø10mm"/>
    <s v="380, 79"/>
    <n v="917.34505484821966"/>
    <x v="55"/>
    <n v="474"/>
    <n v="1.9509222720659376"/>
    <n v="618"/>
    <s v="-"/>
    <n v="0"/>
    <s v="9-2Ø4.2mm"/>
    <n v="249.37962484195776"/>
    <n v="249.37962484195776"/>
    <x v="52"/>
    <n v="610"/>
    <n v="0.60365702838727875"/>
    <n v="27.708847204661975"/>
    <n v="200"/>
    <n v="156.01600000000002"/>
    <x v="57"/>
    <x v="66"/>
    <n v="0.91414910821009221"/>
    <n v="283.58"/>
    <n v="303.14"/>
    <n v="293.36"/>
    <n v="1"/>
    <n v="1"/>
    <n v="1"/>
    <n v="293.36"/>
    <x v="220"/>
    <n v="1.7188928211498349"/>
  </r>
  <r>
    <n v="233"/>
    <s v="Ramirez et al. (2016)"/>
    <s v="M4"/>
    <x v="1"/>
    <x v="0"/>
    <x v="0"/>
    <x v="20"/>
    <n v="1930"/>
    <x v="27"/>
    <x v="32"/>
    <x v="3"/>
    <n v="1592"/>
    <x v="28"/>
    <n v="0.96984924623115576"/>
    <n v="0.96984924623115576"/>
    <n v="170668"/>
    <n v="278600"/>
    <x v="67"/>
    <n v="6.36"/>
    <n v="18.03"/>
    <x v="66"/>
    <n v="31.7"/>
    <x v="51"/>
    <n v="5.54"/>
    <n v="9.0435465347926982"/>
    <n v="1"/>
    <n v="1"/>
    <n v="5"/>
    <n v="0.7443580131166263"/>
    <x v="46"/>
    <s v="2Ø22mm"/>
    <s v="2Ø10mm"/>
    <s v="380, 79"/>
    <n v="917.34505484821966"/>
    <x v="55"/>
    <n v="474"/>
    <n v="1.9509222720659376"/>
    <n v="618"/>
    <s v="-"/>
    <n v="0"/>
    <s v="9-2Ø4.2mm"/>
    <n v="249.37962484195776"/>
    <n v="249.37962484195776"/>
    <x v="52"/>
    <n v="610"/>
    <n v="0.60365702838727875"/>
    <n v="27.708847204661975"/>
    <n v="200"/>
    <n v="156.01600000000002"/>
    <x v="57"/>
    <x v="66"/>
    <n v="0.91414910821009221"/>
    <n v="291.55"/>
    <n v="308.32"/>
    <n v="299.935"/>
    <n v="1"/>
    <n v="1"/>
    <n v="1"/>
    <n v="299.935"/>
    <x v="221"/>
    <n v="1.757417910797572"/>
  </r>
  <r>
    <n v="234"/>
    <s v="Ramirez et al. (2016)"/>
    <s v="M5"/>
    <x v="1"/>
    <x v="0"/>
    <x v="0"/>
    <x v="21"/>
    <n v="1130"/>
    <x v="28"/>
    <x v="33"/>
    <x v="3"/>
    <n v="2072"/>
    <x v="29"/>
    <n v="0.43629343629343631"/>
    <n v="0.43629343629343631"/>
    <n v="218542"/>
    <n v="362600"/>
    <x v="68"/>
    <n v="6.36"/>
    <n v="18.03"/>
    <x v="66"/>
    <n v="31.7"/>
    <x v="51"/>
    <n v="5.54"/>
    <n v="9.1918441306476559"/>
    <n v="1"/>
    <n v="1"/>
    <n v="5"/>
    <n v="0.7443580131166263"/>
    <x v="46"/>
    <s v="2Ø16mm"/>
    <s v="3Ø10mm"/>
    <s v="201, 79"/>
    <n v="637.743308678728"/>
    <x v="56"/>
    <n v="474"/>
    <n v="1.0420929685387379"/>
    <n v="607"/>
    <s v="-"/>
    <n v="0"/>
    <s v="3-2Ø4.2mm"/>
    <n v="83.126541613985921"/>
    <n v="83.126541613985921"/>
    <x v="51"/>
    <n v="610"/>
    <n v="0.30182851419363937"/>
    <n v="27.708847204661975"/>
    <n v="400"/>
    <n v="203.05600000000004"/>
    <x v="57"/>
    <x v="66"/>
    <n v="0.92913947891023263"/>
    <n v="290.14"/>
    <n v="316.35000000000002"/>
    <n v="303.245"/>
    <n v="1"/>
    <n v="1"/>
    <n v="1"/>
    <n v="303.245"/>
    <x v="222"/>
    <n v="1.3875822496362256"/>
  </r>
  <r>
    <n v="235"/>
    <s v="Ramirez et al. (2016)"/>
    <s v="M6"/>
    <x v="1"/>
    <x v="0"/>
    <x v="0"/>
    <x v="21"/>
    <n v="1130"/>
    <x v="28"/>
    <x v="33"/>
    <x v="3"/>
    <n v="2072"/>
    <x v="29"/>
    <n v="0.43629343629343631"/>
    <n v="0.43629343629343631"/>
    <n v="218542"/>
    <n v="362600"/>
    <x v="68"/>
    <n v="6.36"/>
    <n v="18.03"/>
    <x v="66"/>
    <n v="31.7"/>
    <x v="51"/>
    <n v="5.54"/>
    <n v="9.1918441306476559"/>
    <n v="1"/>
    <n v="1"/>
    <n v="5"/>
    <n v="0.7443580131166263"/>
    <x v="46"/>
    <s v="2Ø16mm"/>
    <s v="3Ø10mm"/>
    <s v="201, 79"/>
    <n v="637.743308678728"/>
    <x v="56"/>
    <n v="474"/>
    <n v="1.0420929685387379"/>
    <n v="607"/>
    <s v="-"/>
    <n v="0"/>
    <s v="6-2Ø4.2mm"/>
    <n v="166.25308322797184"/>
    <n v="166.25308322797184"/>
    <x v="52"/>
    <n v="610"/>
    <n v="0.60365702838727875"/>
    <n v="27.708847204661975"/>
    <n v="200"/>
    <n v="203.05600000000004"/>
    <x v="57"/>
    <x v="66"/>
    <n v="0.92913947891023263"/>
    <n v="330.38"/>
    <n v="342.41"/>
    <n v="336.39499999999998"/>
    <n v="1"/>
    <n v="1"/>
    <n v="1"/>
    <n v="336.39499999999998"/>
    <x v="223"/>
    <n v="1.5392693395319892"/>
  </r>
  <r>
    <n v="236"/>
    <s v="Ramirez et al. (2016)"/>
    <s v="M7"/>
    <x v="1"/>
    <x v="0"/>
    <x v="0"/>
    <x v="21"/>
    <n v="1130"/>
    <x v="28"/>
    <x v="33"/>
    <x v="3"/>
    <n v="2072"/>
    <x v="29"/>
    <n v="0.43629343629343631"/>
    <n v="0.43629343629343631"/>
    <n v="218542"/>
    <n v="362600"/>
    <x v="68"/>
    <n v="6.36"/>
    <n v="18.03"/>
    <x v="66"/>
    <n v="31.7"/>
    <x v="51"/>
    <n v="5.54"/>
    <n v="9.1918441306476559"/>
    <n v="1"/>
    <n v="1"/>
    <n v="5"/>
    <n v="0.7443580131166263"/>
    <x v="46"/>
    <s v="2Ø16mm"/>
    <s v="3Ø10mm"/>
    <s v="201, 79"/>
    <n v="637.743308678728"/>
    <x v="56"/>
    <n v="474"/>
    <n v="1.0420929685387379"/>
    <n v="607"/>
    <s v="-"/>
    <n v="0"/>
    <s v="3-2Ø4.2mm"/>
    <n v="83.126541613985921"/>
    <n v="83.126541613985921"/>
    <x v="51"/>
    <n v="610"/>
    <n v="0.30182851419363937"/>
    <n v="27.708847204661975"/>
    <n v="400"/>
    <n v="0"/>
    <x v="10"/>
    <x v="11"/>
    <n v="0"/>
    <n v="199.86"/>
    <n v="221.78"/>
    <n v="210.82"/>
    <n v="1"/>
    <n v="1"/>
    <n v="1"/>
    <n v="210.82"/>
    <x v="224"/>
    <n v="0.96466583082428081"/>
  </r>
  <r>
    <n v="237"/>
    <s v="Ramirez et al. (2016)"/>
    <s v="M8"/>
    <x v="1"/>
    <x v="0"/>
    <x v="0"/>
    <x v="20"/>
    <n v="1930"/>
    <x v="29"/>
    <x v="34"/>
    <x v="3"/>
    <n v="792"/>
    <x v="30"/>
    <n v="1.9494949494949494"/>
    <n v="1.9494949494949494"/>
    <n v="102474"/>
    <n v="138600"/>
    <x v="69"/>
    <n v="6.36"/>
    <n v="18.03"/>
    <x v="66"/>
    <n v="31.7"/>
    <x v="51"/>
    <n v="5.54"/>
    <n v="7.4930616546636228"/>
    <n v="1"/>
    <n v="1"/>
    <n v="5"/>
    <n v="0.7443580131166263"/>
    <x v="46"/>
    <s v="2Ø22mm"/>
    <s v="1Ø10mm"/>
    <s v="380, 79"/>
    <n v="838.80523850847476"/>
    <x v="57"/>
    <n v="474"/>
    <n v="3.5858016148360123"/>
    <n v="400"/>
    <s v="-"/>
    <n v="0"/>
    <s v="4-2Ø4.2mm"/>
    <n v="110.8353888186479"/>
    <n v="110.8353888186479"/>
    <x v="51"/>
    <n v="610"/>
    <n v="0.30182851419363937"/>
    <n v="27.708847204661975"/>
    <n v="400"/>
    <n v="77.616000000000014"/>
    <x v="57"/>
    <x v="66"/>
    <n v="0.75742139469523995"/>
    <n v="99.21"/>
    <n v="100.31"/>
    <n v="99.759999999999991"/>
    <n v="1"/>
    <n v="1"/>
    <n v="1"/>
    <n v="99.759999999999991"/>
    <x v="225"/>
    <n v="0.97351523313230659"/>
  </r>
  <r>
    <n v="238"/>
    <s v="Ramirez et al. (2016)"/>
    <s v="M9"/>
    <x v="1"/>
    <x v="0"/>
    <x v="0"/>
    <x v="20"/>
    <n v="1930"/>
    <x v="29"/>
    <x v="34"/>
    <x v="3"/>
    <n v="792"/>
    <x v="30"/>
    <n v="1.9494949494949494"/>
    <n v="1.9494949494949494"/>
    <n v="102474"/>
    <n v="138600"/>
    <x v="69"/>
    <n v="6.36"/>
    <n v="18.03"/>
    <x v="66"/>
    <n v="31.7"/>
    <x v="51"/>
    <n v="5.54"/>
    <n v="7.4930616546636228"/>
    <n v="1"/>
    <n v="1"/>
    <n v="5"/>
    <n v="0.7443580131166263"/>
    <x v="46"/>
    <s v="2Ø22mm"/>
    <s v="1Ø10mm"/>
    <s v="380, 79"/>
    <n v="838.80523850847476"/>
    <x v="57"/>
    <n v="474"/>
    <n v="3.5858016148360123"/>
    <n v="400"/>
    <s v="-"/>
    <n v="0"/>
    <s v="9-2Ø4.2mm"/>
    <n v="249.37962484195776"/>
    <n v="249.37962484195776"/>
    <x v="52"/>
    <n v="610"/>
    <n v="0.60365702838727875"/>
    <n v="27.708847204661975"/>
    <n v="200"/>
    <n v="77.616000000000014"/>
    <x v="57"/>
    <x v="66"/>
    <n v="0.75742139469523995"/>
    <n v="116.49"/>
    <n v="141.68"/>
    <n v="129.08500000000001"/>
    <n v="1"/>
    <n v="1"/>
    <n v="1"/>
    <n v="129.08500000000001"/>
    <x v="226"/>
    <n v="1.2596853836095012"/>
  </r>
  <r>
    <n v="239"/>
    <s v="Ramirez et al. (2016)"/>
    <s v="M10"/>
    <x v="1"/>
    <x v="0"/>
    <x v="0"/>
    <x v="20"/>
    <n v="1930"/>
    <x v="29"/>
    <x v="34"/>
    <x v="3"/>
    <n v="792"/>
    <x v="30"/>
    <n v="1.9494949494949494"/>
    <n v="1.9494949494949494"/>
    <n v="102474"/>
    <n v="138600"/>
    <x v="69"/>
    <n v="6.36"/>
    <n v="18.03"/>
    <x v="66"/>
    <n v="31.7"/>
    <x v="51"/>
    <n v="5.54"/>
    <n v="7.4930616546636228"/>
    <n v="1"/>
    <n v="1"/>
    <n v="5"/>
    <n v="0.7443580131166263"/>
    <x v="46"/>
    <s v="2Ø22mm"/>
    <s v="1Ø10mm"/>
    <s v="380, 79"/>
    <n v="838.80523850847476"/>
    <x v="57"/>
    <n v="474"/>
    <n v="3.5858016148360123"/>
    <n v="400"/>
    <s v="-"/>
    <n v="0"/>
    <s v="4-2Ø4.2mm"/>
    <n v="110.8353888186479"/>
    <n v="110.8353888186479"/>
    <x v="51"/>
    <n v="610"/>
    <n v="0.30182851419363937"/>
    <n v="27.708847204661975"/>
    <n v="400"/>
    <n v="0"/>
    <x v="10"/>
    <x v="11"/>
    <n v="0"/>
    <n v="98.43"/>
    <n v="99.89"/>
    <n v="99.16"/>
    <n v="1"/>
    <n v="1"/>
    <n v="1"/>
    <n v="99.16"/>
    <x v="227"/>
    <n v="0.96766008938852777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9000000}" name="PivotTable2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 chartFormat="2">
  <location ref="A8:B12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axis="axisRow" dataField="1" subtotalTop="0" showAll="0">
      <items count="4">
        <item x="1"/>
        <item x="2"/>
        <item x="0"/>
        <item t="default"/>
      </items>
    </pivotField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4"/>
  </rowFields>
  <rowItems count="4">
    <i>
      <x/>
    </i>
    <i>
      <x v="1"/>
    </i>
    <i>
      <x v="2"/>
    </i>
    <i t="grand">
      <x/>
    </i>
  </rowItems>
  <colItems count="1">
    <i/>
  </colItems>
  <dataFields count="1">
    <dataField name="Count of Loading Rate" fld="4" subtotal="count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10000000}" name="PivotTable8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47:B154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axis="axisRow" dataField="1"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>
      <items count="11">
        <item x="0"/>
        <item x="1"/>
        <item x="2"/>
        <item x="3"/>
        <item x="4"/>
        <item x="5"/>
        <item x="6"/>
        <item x="7"/>
        <item x="8"/>
        <item x="9"/>
        <item t="default"/>
      </items>
    </pivotField>
    <pivotField numFmtId="2" subtotalTop="0" showAll="0"/>
  </pivotFields>
  <rowFields count="1">
    <field x="50"/>
  </rowFields>
  <rowItems count="7">
    <i>
      <x v="1"/>
    </i>
    <i>
      <x v="2"/>
    </i>
    <i>
      <x v="3"/>
    </i>
    <i>
      <x v="4"/>
    </i>
    <i>
      <x v="5"/>
    </i>
    <i>
      <x v="6"/>
    </i>
    <i t="grand">
      <x/>
    </i>
  </rowItems>
  <colItems count="1">
    <i/>
  </colItems>
  <dataFields count="1">
    <dataField name="Count of σgross/f'm" fld="50" subtotal="count" baseField="50" baseItem="5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D000000}" name="PivotTable5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33:B43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axis="axisRow" dataField="1" numFmtId="1" subtotalTop="0" showAll="0">
      <items count="1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t="default"/>
      </items>
    </pivotField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8"/>
  </rowFields>
  <rowItems count="10">
    <i>
      <x v="1"/>
    </i>
    <i>
      <x v="2"/>
    </i>
    <i>
      <x v="3"/>
    </i>
    <i>
      <x v="4"/>
    </i>
    <i>
      <x v="5"/>
    </i>
    <i>
      <x v="6"/>
    </i>
    <i>
      <x v="7"/>
    </i>
    <i>
      <x v="9"/>
    </i>
    <i>
      <x v="10"/>
    </i>
    <i t="grand">
      <x/>
    </i>
  </rowItems>
  <colItems count="1">
    <i/>
  </colItems>
  <dataFields count="1">
    <dataField name="Count of L" fld="8" subtotal="count" baseField="8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4000000}" name="PivotTable15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86:B92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axis="axisRow" dataField="1" numFmtId="164" showAll="0">
      <items count="8">
        <item h="1" x="0"/>
        <item x="1"/>
        <item x="2"/>
        <item x="3"/>
        <item x="4"/>
        <item x="5"/>
        <item x="6"/>
        <item t="default"/>
      </items>
    </pivotField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20"/>
  </rowFields>
  <rowItems count="6">
    <i>
      <x v="1"/>
    </i>
    <i>
      <x v="2"/>
    </i>
    <i>
      <x v="3"/>
    </i>
    <i>
      <x v="4"/>
    </i>
    <i>
      <x v="5"/>
    </i>
    <i t="grand">
      <x/>
    </i>
  </rowItems>
  <colItems count="1">
    <i/>
  </colItems>
  <dataFields count="1">
    <dataField name="Count of fmortar PIVOT TABLE" fld="20" subtotal="count" baseField="2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5000000}" name="PivotTable16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02:B108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axis="axisRow" dataField="1" subtotalTop="0" showAll="0">
      <items count="8">
        <item x="0"/>
        <item x="1"/>
        <item x="2"/>
        <item x="3"/>
        <item x="4"/>
        <item x="5"/>
        <item x="6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29"/>
  </rowFields>
  <rowItems count="6">
    <i>
      <x v="1"/>
    </i>
    <i>
      <x v="2"/>
    </i>
    <i>
      <x v="3"/>
    </i>
    <i>
      <x v="4"/>
    </i>
    <i>
      <x v="5"/>
    </i>
    <i t="grand">
      <x/>
    </i>
  </rowItems>
  <colItems count="1">
    <i/>
  </colItems>
  <dataFields count="1">
    <dataField name="Count of f'mcor" fld="29" subtotal="count" baseField="29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2000000}" name="PivotTable11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77:B84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axis="axisRow" dataField="1" numFmtId="2" subtotalTop="0" showAll="0">
      <items count="16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t="default"/>
      </items>
    </pivotField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17"/>
  </rowFields>
  <rowItems count="7">
    <i>
      <x v="1"/>
    </i>
    <i>
      <x v="2"/>
    </i>
    <i>
      <x v="3"/>
    </i>
    <i>
      <x v="4"/>
    </i>
    <i>
      <x v="5"/>
    </i>
    <i>
      <x v="6"/>
    </i>
    <i t="grand">
      <x/>
    </i>
  </rowItems>
  <colItems count="1">
    <i/>
  </colItems>
  <dataFields count="1">
    <dataField name="Count of Anet/" fld="17" subtotal="count" baseField="17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B000000}" name="PivotTable3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4:B17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axis="axisRow" dataField="1" subtotalTop="0" showAll="0">
      <items count="3">
        <item x="0"/>
        <item x="1"/>
        <item t="default"/>
      </items>
    </pivotField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5"/>
  </rowFields>
  <rowItems count="3">
    <i>
      <x/>
    </i>
    <i>
      <x v="1"/>
    </i>
    <i t="grand">
      <x/>
    </i>
  </rowItems>
  <colItems count="1">
    <i/>
  </colItems>
  <dataFields count="1">
    <dataField name="Count of Support Type" fld="5" subtotal="count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8000000}" name="PivotTable19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28:B135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axis="axisRow" dataField="1" subtotalTop="0"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49"/>
  </rowFields>
  <rowItems count="7">
    <i>
      <x v="1"/>
    </i>
    <i>
      <x v="2"/>
    </i>
    <i>
      <x v="3"/>
    </i>
    <i>
      <x v="4"/>
    </i>
    <i>
      <x v="5"/>
    </i>
    <i>
      <x v="6"/>
    </i>
    <i t="grand">
      <x/>
    </i>
  </rowItems>
  <colItems count="1">
    <i/>
  </colItems>
  <dataFields count="1">
    <dataField name="Count of σgross" fld="49" subtotal="count" baseField="49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F000000}" name="PivotTable7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57:B62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axis="axisRow" dataField="1" numFmtId="1" subtotalTop="0" showAll="0">
      <items count="6">
        <item x="0"/>
        <item x="1"/>
        <item x="2"/>
        <item x="3"/>
        <item x="4"/>
        <item t="default"/>
      </items>
    </pivotField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10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Count of t" fld="10" subtotal="count" baseField="1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1000000}" name="PivotTable10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64:B75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axis="axisRow" dataField="1" subtotalTop="0" showAll="0">
      <items count="1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t="default"/>
      </items>
    </pivotField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12"/>
  </rowFields>
  <rowItems count="11"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 t="grand">
      <x/>
    </i>
  </rowItems>
  <colItems count="1">
    <i/>
  </colItems>
  <dataFields count="1">
    <dataField name="Count of H/L" fld="12" subtotal="count" baseField="12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C000000}" name="PivotTable4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9:B26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axis="axisRow" dataField="1" numFmtId="1" subtotalTop="0"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6"/>
  </rowFields>
  <rowItems count="7">
    <i>
      <x v="1"/>
    </i>
    <i>
      <x v="2"/>
    </i>
    <i>
      <x v="3"/>
    </i>
    <i>
      <x v="4"/>
    </i>
    <i>
      <x v="5"/>
    </i>
    <i>
      <x v="6"/>
    </i>
    <i t="grand">
      <x/>
    </i>
  </rowItems>
  <colItems count="1">
    <i/>
  </colItems>
  <dataFields count="1">
    <dataField name="Count of H" fld="6" subtotal="count" baseField="6" baseItem="3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A000000}" name="PivotTable20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37:B145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axis="axisRow" dataField="1" numFmtId="2" subtotalTop="0" showAll="0">
      <items count="11">
        <item x="0"/>
        <item x="1"/>
        <item x="2"/>
        <item x="3"/>
        <item x="4"/>
        <item x="5"/>
        <item x="6"/>
        <item x="7"/>
        <item x="8"/>
        <item x="9"/>
        <item t="default"/>
      </items>
    </pivotField>
    <pivotField numFmtId="2" subtotalTop="0" showAll="0"/>
  </pivotFields>
  <rowFields count="1">
    <field x="59"/>
  </rowFields>
  <rowItems count="8">
    <i>
      <x v="1"/>
    </i>
    <i>
      <x v="2"/>
    </i>
    <i>
      <x v="3"/>
    </i>
    <i>
      <x v="4"/>
    </i>
    <i>
      <x v="5"/>
    </i>
    <i>
      <x v="7"/>
    </i>
    <i>
      <x v="8"/>
    </i>
    <i t="grand">
      <x/>
    </i>
  </rowItems>
  <colItems count="1">
    <i/>
  </colItems>
  <dataFields count="1">
    <dataField name="Count of vmax,gross" fld="59" subtotal="count" baseField="58" baseItem="3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6000000}" name="PivotTable17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10:B119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axis="axisRow" dataField="1" subtotalTop="0" showAll="0">
      <items count="11">
        <item x="0"/>
        <item x="1"/>
        <item x="2"/>
        <item x="3"/>
        <item x="4"/>
        <item x="5"/>
        <item x="6"/>
        <item x="7"/>
        <item x="8"/>
        <item x="9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34"/>
  </rowFields>
  <rowItems count="9"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 t="grand">
      <x/>
    </i>
  </rowItems>
  <colItems count="1">
    <i/>
  </colItems>
  <dataFields count="1">
    <dataField name="Count of ρv" fld="34" subtotal="count" baseField="34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E000000}" name="PivotTable6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45:B55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axis="axisRow" dataField="1" subtotalTop="0" showAll="0">
      <items count="11">
        <item x="0"/>
        <item x="1"/>
        <item x="2"/>
        <item x="3"/>
        <item x="4"/>
        <item x="5"/>
        <item x="6"/>
        <item x="7"/>
        <item x="8"/>
        <item x="9"/>
        <item t="default"/>
      </items>
    </pivotField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9"/>
  </rowFields>
  <rowItems count="10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 t="grand">
      <x/>
    </i>
  </rowItems>
  <colItems count="1">
    <i/>
  </colItems>
  <dataFields count="1">
    <dataField name="Count of A" fld="9" subtotal="count" baseField="9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7000000}" name="PivotTable18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121:B126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axis="axisRow" dataField="1" subtotalTop="0" showAll="0">
      <items count="7">
        <item x="0"/>
        <item x="1"/>
        <item x="2"/>
        <item x="3"/>
        <item x="4"/>
        <item x="5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43"/>
  </rowFields>
  <rowItems count="5">
    <i>
      <x v="1"/>
    </i>
    <i>
      <x v="2"/>
    </i>
    <i>
      <x v="3"/>
    </i>
    <i>
      <x v="4"/>
    </i>
    <i t="grand">
      <x/>
    </i>
  </rowItems>
  <colItems count="1">
    <i/>
  </colItems>
  <dataFields count="1">
    <dataField name="Count of ρh" fld="43" subtotal="count" baseField="43" baseItem="3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3000000}" name="PivotTable13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>
  <location ref="A94:B100" firstHeaderRow="1" firstDataRow="1" firstDataCol="1"/>
  <pivotFields count="61"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axis="axisRow" dataField="1" numFmtId="164" showAll="0">
      <items count="8">
        <item h="1" x="0"/>
        <item x="1"/>
        <item x="2"/>
        <item x="3"/>
        <item x="4"/>
        <item x="5"/>
        <item x="6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22"/>
  </rowFields>
  <rowItems count="6">
    <i>
      <x v="1"/>
    </i>
    <i>
      <x v="2"/>
    </i>
    <i>
      <x v="3"/>
    </i>
    <i>
      <x v="4"/>
    </i>
    <i>
      <x v="5"/>
    </i>
    <i t="grand">
      <x/>
    </i>
  </rowItems>
  <colItems count="1">
    <i/>
  </colItems>
  <dataFields count="1">
    <dataField name="Count of fgrout PIVOT TABLE" fld="22" subtotal="count" baseField="21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1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800-000000000000}" name="PivotTable1" cacheId="0" applyNumberFormats="0" applyBorderFormats="0" applyFontFormats="0" applyPatternFormats="0" applyAlignmentFormats="0" applyWidthHeightFormats="1" dataCaption="Values" updatedVersion="6" minRefreshableVersion="3" useAutoFormatting="1" itemPrintTitles="1" createdVersion="6" indent="0" outline="1" outlineData="1" multipleFieldFilters="0" chartFormat="6">
  <location ref="A1:B6" firstHeaderRow="1" firstDataRow="1" firstDataCol="1"/>
  <pivotFields count="61">
    <pivotField subtotalTop="0" showAll="0"/>
    <pivotField subtotalTop="0" showAll="0"/>
    <pivotField subtotalTop="0" showAll="0"/>
    <pivotField axis="axisRow" dataField="1" subtotalTop="0" showAll="0">
      <items count="5">
        <item x="0"/>
        <item x="2"/>
        <item x="1"/>
        <item x="3"/>
        <item t="default"/>
      </items>
    </pivotField>
    <pivotField subtotalTop="0" showAll="0"/>
    <pivotField subtotalTop="0" showAll="0"/>
    <pivotField numFmtId="1" subtotalTop="0" showAll="0"/>
    <pivotField numFmtId="1" subtotalTop="0" showAll="0"/>
    <pivotField numFmtId="1" subtotalTop="0" showAll="0"/>
    <pivotField subtotalTop="0" showAll="0"/>
    <pivotField numFmtId="1" subtotalTop="0" showAll="0"/>
    <pivotField numFmtId="1"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2" subtotalTop="0" showAll="0"/>
    <pivotField subtotalTop="0" showAll="0"/>
    <pivotField subtotalTop="0" showAll="0"/>
    <pivotField numFmtId="164" showAll="0"/>
    <pivotField subtotalTop="0" showAll="0"/>
    <pivotField numFmtId="164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howAll="0">
      <items count="9">
        <item x="0"/>
        <item x="1"/>
        <item x="2"/>
        <item x="3"/>
        <item x="4"/>
        <item x="5"/>
        <item x="6"/>
        <item x="7"/>
        <item t="default"/>
      </items>
    </pivotField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subtotalTop="0" showAll="0"/>
    <pivotField numFmtId="1" subtotalTop="0" showAll="0"/>
    <pivotField numFmtId="2" subtotalTop="0" showAll="0"/>
    <pivotField numFmtId="2" subtotalTop="0" showAll="0"/>
  </pivotFields>
  <rowFields count="1">
    <field x="3"/>
  </rowFields>
  <rowItems count="5">
    <i>
      <x/>
    </i>
    <i>
      <x v="1"/>
    </i>
    <i>
      <x v="2"/>
    </i>
    <i>
      <x v="3"/>
    </i>
    <i t="grand">
      <x/>
    </i>
  </rowItems>
  <colItems count="1">
    <i/>
  </colItems>
  <dataFields count="1">
    <dataField name="Count of Loading Type" fld="3" subtotal="count" baseField="0" baseItem="0"/>
  </dataField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Office Theme">
  <a:themeElements>
    <a:clrScheme name="Slipstream">
      <a:dk1>
        <a:sysClr val="windowText" lastClr="000000"/>
      </a:dk1>
      <a:lt1>
        <a:sysClr val="window" lastClr="FFFFFF"/>
      </a:lt1>
      <a:dk2>
        <a:srgbClr val="212745"/>
      </a:dk2>
      <a:lt2>
        <a:srgbClr val="B4DCFA"/>
      </a:lt2>
      <a:accent1>
        <a:srgbClr val="4E67C8"/>
      </a:accent1>
      <a:accent2>
        <a:srgbClr val="5ECCF3"/>
      </a:accent2>
      <a:accent3>
        <a:srgbClr val="A7EA52"/>
      </a:accent3>
      <a:accent4>
        <a:srgbClr val="5DCEAF"/>
      </a:accent4>
      <a:accent5>
        <a:srgbClr val="FF8021"/>
      </a:accent5>
      <a:accent6>
        <a:srgbClr val="F14124"/>
      </a:accent6>
      <a:hlink>
        <a:srgbClr val="56C7AA"/>
      </a:hlink>
      <a:folHlink>
        <a:srgbClr val="59A8D1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350" row="3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45216AE4-5305-4D88-8483-6BF74165F679}">
  <we:reference id="wa104100404" version="2.0.0.0" store="en-US" storeType="OMEX"/>
  <we:alternateReferences>
    <we:reference id="wa104100404" version="2.0.0.0" store="en-US" storeType="OMEX"/>
  </we:alternateReferences>
  <we:properties/>
  <we:bindings/>
  <we:snapshot xmlns:r="http://schemas.openxmlformats.org/officeDocument/2006/relationships"/>
</we:webextension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printerSettings" Target="../printerSettings/printerSettings5.bin"/><Relationship Id="rId1" Type="http://schemas.openxmlformats.org/officeDocument/2006/relationships/printerSettings" Target="../printerSettings/printerSettings4.bin"/><Relationship Id="rId4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Relationship Id="rId4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Relationship Id="rId4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5.bin"/><Relationship Id="rId2" Type="http://schemas.openxmlformats.org/officeDocument/2006/relationships/printerSettings" Target="../printerSettings/printerSettings14.bin"/><Relationship Id="rId1" Type="http://schemas.openxmlformats.org/officeDocument/2006/relationships/printerSettings" Target="../printerSettings/printerSettings13.bin"/><Relationship Id="rId6" Type="http://schemas.openxmlformats.org/officeDocument/2006/relationships/comments" Target="../comments1.xm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ivotTable" Target="../pivotTables/pivotTable8.xml"/><Relationship Id="rId13" Type="http://schemas.openxmlformats.org/officeDocument/2006/relationships/pivotTable" Target="../pivotTables/pivotTable13.xml"/><Relationship Id="rId18" Type="http://schemas.openxmlformats.org/officeDocument/2006/relationships/drawing" Target="../drawings/drawing6.xml"/><Relationship Id="rId3" Type="http://schemas.openxmlformats.org/officeDocument/2006/relationships/pivotTable" Target="../pivotTables/pivotTable3.xml"/><Relationship Id="rId7" Type="http://schemas.openxmlformats.org/officeDocument/2006/relationships/pivotTable" Target="../pivotTables/pivotTable7.xml"/><Relationship Id="rId12" Type="http://schemas.openxmlformats.org/officeDocument/2006/relationships/pivotTable" Target="../pivotTables/pivotTable12.xml"/><Relationship Id="rId17" Type="http://schemas.openxmlformats.org/officeDocument/2006/relationships/pivotTable" Target="../pivotTables/pivotTable17.xml"/><Relationship Id="rId2" Type="http://schemas.openxmlformats.org/officeDocument/2006/relationships/pivotTable" Target="../pivotTables/pivotTable2.xml"/><Relationship Id="rId16" Type="http://schemas.openxmlformats.org/officeDocument/2006/relationships/pivotTable" Target="../pivotTables/pivotTable16.xml"/><Relationship Id="rId1" Type="http://schemas.openxmlformats.org/officeDocument/2006/relationships/pivotTable" Target="../pivotTables/pivotTable1.xml"/><Relationship Id="rId6" Type="http://schemas.openxmlformats.org/officeDocument/2006/relationships/pivotTable" Target="../pivotTables/pivotTable6.xml"/><Relationship Id="rId11" Type="http://schemas.openxmlformats.org/officeDocument/2006/relationships/pivotTable" Target="../pivotTables/pivotTable11.xml"/><Relationship Id="rId5" Type="http://schemas.openxmlformats.org/officeDocument/2006/relationships/pivotTable" Target="../pivotTables/pivotTable5.xml"/><Relationship Id="rId15" Type="http://schemas.openxmlformats.org/officeDocument/2006/relationships/pivotTable" Target="../pivotTables/pivotTable15.xml"/><Relationship Id="rId10" Type="http://schemas.openxmlformats.org/officeDocument/2006/relationships/pivotTable" Target="../pivotTables/pivotTable10.xml"/><Relationship Id="rId4" Type="http://schemas.openxmlformats.org/officeDocument/2006/relationships/pivotTable" Target="../pivotTables/pivotTable4.xml"/><Relationship Id="rId9" Type="http://schemas.openxmlformats.org/officeDocument/2006/relationships/pivotTable" Target="../pivotTables/pivotTable9.xml"/><Relationship Id="rId14" Type="http://schemas.openxmlformats.org/officeDocument/2006/relationships/pivotTable" Target="../pivotTables/pivotTable14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8.bin"/><Relationship Id="rId2" Type="http://schemas.openxmlformats.org/officeDocument/2006/relationships/printerSettings" Target="../printerSettings/printerSettings17.bin"/><Relationship Id="rId1" Type="http://schemas.openxmlformats.org/officeDocument/2006/relationships/printerSettings" Target="../printerSettings/printerSettings16.bin"/><Relationship Id="rId4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1"/>
  <dimension ref="F50:H57"/>
  <sheetViews>
    <sheetView workbookViewId="0">
      <selection activeCell="M27" sqref="M27"/>
    </sheetView>
  </sheetViews>
  <sheetFormatPr defaultRowHeight="15" x14ac:dyDescent="0.25"/>
  <sheetData>
    <row r="50" spans="6:8" x14ac:dyDescent="0.25">
      <c r="G50">
        <v>1</v>
      </c>
      <c r="H50">
        <v>0.8</v>
      </c>
    </row>
    <row r="51" spans="6:8" x14ac:dyDescent="0.25">
      <c r="G51">
        <f>200/140</f>
        <v>1.4285714285714286</v>
      </c>
      <c r="H51">
        <f>H50+0.05*(G51-G50)</f>
        <v>0.82142857142857151</v>
      </c>
    </row>
    <row r="52" spans="6:8" x14ac:dyDescent="0.25">
      <c r="G52">
        <v>2</v>
      </c>
      <c r="H52">
        <v>0.85</v>
      </c>
    </row>
    <row r="53" spans="6:8" x14ac:dyDescent="0.25">
      <c r="G53">
        <v>3</v>
      </c>
      <c r="H53">
        <v>0.9</v>
      </c>
    </row>
    <row r="54" spans="6:8" x14ac:dyDescent="0.25">
      <c r="G54">
        <v>3.8</v>
      </c>
      <c r="H54">
        <f>H53+0.05*(G54-G53)</f>
        <v>0.94000000000000006</v>
      </c>
    </row>
    <row r="55" spans="6:8" x14ac:dyDescent="0.25">
      <c r="G55">
        <v>4</v>
      </c>
      <c r="H55">
        <v>0.95</v>
      </c>
    </row>
    <row r="56" spans="6:8" x14ac:dyDescent="0.25">
      <c r="F56">
        <f>940/13*3</f>
        <v>216.92307692307691</v>
      </c>
      <c r="G56">
        <f>F56/48</f>
        <v>4.5192307692307692</v>
      </c>
      <c r="H56">
        <f>H55+0.05*(G56-G55)</f>
        <v>0.97596153846153844</v>
      </c>
    </row>
    <row r="57" spans="6:8" x14ac:dyDescent="0.25">
      <c r="G57">
        <v>5</v>
      </c>
      <c r="H57">
        <v>1</v>
      </c>
    </row>
  </sheetData>
  <customSheetViews>
    <customSheetView guid="{6A3968C5-0A0A-44BD-9D91-8A632DB179F3}">
      <selection activeCell="V13" sqref="V13"/>
      <pageMargins left="0.7" right="0.7" top="0.75" bottom="0.75" header="0.3" footer="0.3"/>
    </customSheetView>
    <customSheetView guid="{F952AE04-5FFA-4EC5-9AC4-659942525BDB}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5" filterMode="1">
    <tabColor theme="7"/>
  </sheetPr>
  <dimension ref="A1:Q198"/>
  <sheetViews>
    <sheetView zoomScale="130" zoomScaleNormal="130" workbookViewId="0">
      <pane ySplit="1" topLeftCell="A59" activePane="bottomLeft" state="frozen"/>
      <selection pane="bottomLeft" activeCell="M27" sqref="M27"/>
    </sheetView>
  </sheetViews>
  <sheetFormatPr defaultColWidth="8.7109375" defaultRowHeight="16.5" x14ac:dyDescent="0.3"/>
  <cols>
    <col min="1" max="1" width="8.7109375" style="1"/>
    <col min="2" max="2" width="22.140625" style="1" bestFit="1" customWidth="1"/>
    <col min="3" max="16384" width="8.7109375" style="1"/>
  </cols>
  <sheetData>
    <row r="1" spans="1:16" ht="17.25" x14ac:dyDescent="0.3">
      <c r="A1" s="6" t="s">
        <v>13</v>
      </c>
      <c r="B1" s="6" t="s">
        <v>1</v>
      </c>
      <c r="C1" s="6" t="s">
        <v>14</v>
      </c>
      <c r="D1" s="7" t="s">
        <v>15</v>
      </c>
      <c r="E1" s="6" t="s">
        <v>16</v>
      </c>
      <c r="F1" s="6" t="s">
        <v>17</v>
      </c>
      <c r="G1" s="6" t="s">
        <v>18</v>
      </c>
      <c r="H1" s="8" t="s">
        <v>19</v>
      </c>
      <c r="I1" s="9" t="s">
        <v>20</v>
      </c>
      <c r="J1" s="6" t="s">
        <v>24</v>
      </c>
      <c r="K1" s="6" t="s">
        <v>25</v>
      </c>
      <c r="L1" s="6" t="s">
        <v>26</v>
      </c>
      <c r="M1" s="6" t="s">
        <v>21</v>
      </c>
      <c r="N1" s="6" t="s">
        <v>36</v>
      </c>
      <c r="O1" s="6" t="s">
        <v>22</v>
      </c>
      <c r="P1" s="8" t="s">
        <v>23</v>
      </c>
    </row>
    <row r="2" spans="1:16" x14ac:dyDescent="0.3">
      <c r="A2" s="10">
        <v>1</v>
      </c>
      <c r="B2" s="4" t="s">
        <v>27</v>
      </c>
      <c r="C2" s="11">
        <v>12.4</v>
      </c>
      <c r="D2" s="12">
        <v>1590</v>
      </c>
      <c r="E2" s="10">
        <v>1200</v>
      </c>
      <c r="F2" s="13">
        <v>0.75</v>
      </c>
      <c r="G2" s="10">
        <v>190</v>
      </c>
      <c r="H2" s="10">
        <v>1272</v>
      </c>
      <c r="I2" s="10">
        <v>0</v>
      </c>
      <c r="J2" s="10">
        <v>0</v>
      </c>
      <c r="K2" s="10">
        <v>0</v>
      </c>
      <c r="L2" s="10">
        <v>0</v>
      </c>
      <c r="M2" s="10">
        <v>0</v>
      </c>
      <c r="N2" s="13">
        <v>0.5</v>
      </c>
      <c r="O2" s="11">
        <v>416</v>
      </c>
      <c r="P2" s="11">
        <v>297</v>
      </c>
    </row>
    <row r="3" spans="1:16" x14ac:dyDescent="0.3">
      <c r="A3" s="10">
        <v>2</v>
      </c>
      <c r="B3" s="4" t="s">
        <v>27</v>
      </c>
      <c r="C3" s="11">
        <v>12.4</v>
      </c>
      <c r="D3" s="12">
        <v>1590</v>
      </c>
      <c r="E3" s="10">
        <v>1200</v>
      </c>
      <c r="F3" s="13">
        <v>0.75</v>
      </c>
      <c r="G3" s="10">
        <v>190</v>
      </c>
      <c r="H3" s="10">
        <v>1272</v>
      </c>
      <c r="I3" s="10">
        <v>0</v>
      </c>
      <c r="J3" s="10">
        <v>0</v>
      </c>
      <c r="K3" s="10">
        <v>0</v>
      </c>
      <c r="L3" s="10">
        <v>0</v>
      </c>
      <c r="M3" s="10">
        <v>0</v>
      </c>
      <c r="N3" s="13">
        <v>0.5</v>
      </c>
      <c r="O3" s="11">
        <v>416</v>
      </c>
      <c r="P3" s="11">
        <v>278.10000000000002</v>
      </c>
    </row>
    <row r="4" spans="1:16" x14ac:dyDescent="0.3">
      <c r="A4" s="10">
        <v>3</v>
      </c>
      <c r="B4" s="4" t="s">
        <v>27</v>
      </c>
      <c r="C4" s="11">
        <v>12.4</v>
      </c>
      <c r="D4" s="12">
        <v>1590</v>
      </c>
      <c r="E4" s="10">
        <v>1200</v>
      </c>
      <c r="F4" s="13">
        <v>0.75</v>
      </c>
      <c r="G4" s="10">
        <v>190</v>
      </c>
      <c r="H4" s="10">
        <v>1272</v>
      </c>
      <c r="I4" s="10">
        <v>0</v>
      </c>
      <c r="J4" s="10">
        <v>0</v>
      </c>
      <c r="K4" s="10">
        <v>0</v>
      </c>
      <c r="L4" s="10">
        <v>0</v>
      </c>
      <c r="M4" s="10">
        <v>0</v>
      </c>
      <c r="N4" s="13">
        <v>0.5</v>
      </c>
      <c r="O4" s="11">
        <v>416</v>
      </c>
      <c r="P4" s="11">
        <v>275.89999999999998</v>
      </c>
    </row>
    <row r="5" spans="1:16" x14ac:dyDescent="0.3">
      <c r="A5" s="10">
        <v>4</v>
      </c>
      <c r="B5" s="4" t="s">
        <v>27</v>
      </c>
      <c r="C5" s="11">
        <v>12.4</v>
      </c>
      <c r="D5" s="12">
        <v>1590</v>
      </c>
      <c r="E5" s="10">
        <v>1200</v>
      </c>
      <c r="F5" s="13">
        <v>0.75</v>
      </c>
      <c r="G5" s="10">
        <v>190</v>
      </c>
      <c r="H5" s="10">
        <v>1272</v>
      </c>
      <c r="I5" s="10">
        <v>0</v>
      </c>
      <c r="J5" s="10">
        <v>0</v>
      </c>
      <c r="K5" s="11">
        <v>21.5</v>
      </c>
      <c r="L5" s="10">
        <v>530</v>
      </c>
      <c r="M5" s="10">
        <v>200</v>
      </c>
      <c r="N5" s="13">
        <v>0.5</v>
      </c>
      <c r="O5" s="11">
        <v>416</v>
      </c>
      <c r="P5" s="11">
        <v>270.10000000000002</v>
      </c>
    </row>
    <row r="6" spans="1:16" x14ac:dyDescent="0.3">
      <c r="A6" s="10">
        <v>5</v>
      </c>
      <c r="B6" s="4" t="s">
        <v>27</v>
      </c>
      <c r="C6" s="11">
        <v>12.4</v>
      </c>
      <c r="D6" s="12">
        <v>1590</v>
      </c>
      <c r="E6" s="10">
        <v>1200</v>
      </c>
      <c r="F6" s="13">
        <v>0.75</v>
      </c>
      <c r="G6" s="10">
        <v>190</v>
      </c>
      <c r="H6" s="10">
        <v>1272</v>
      </c>
      <c r="I6" s="10">
        <v>0</v>
      </c>
      <c r="J6" s="10">
        <v>0</v>
      </c>
      <c r="K6" s="11">
        <v>21.5</v>
      </c>
      <c r="L6" s="10">
        <v>530</v>
      </c>
      <c r="M6" s="10">
        <v>200</v>
      </c>
      <c r="N6" s="13">
        <v>0.5</v>
      </c>
      <c r="O6" s="11">
        <v>416</v>
      </c>
      <c r="P6" s="11">
        <v>261.10000000000002</v>
      </c>
    </row>
    <row r="7" spans="1:16" x14ac:dyDescent="0.3">
      <c r="A7" s="10">
        <v>6</v>
      </c>
      <c r="B7" s="4" t="s">
        <v>27</v>
      </c>
      <c r="C7" s="11">
        <v>12.4</v>
      </c>
      <c r="D7" s="12">
        <v>1590</v>
      </c>
      <c r="E7" s="10">
        <v>1200</v>
      </c>
      <c r="F7" s="13">
        <v>0.75</v>
      </c>
      <c r="G7" s="10">
        <v>190</v>
      </c>
      <c r="H7" s="10">
        <v>1272</v>
      </c>
      <c r="I7" s="10">
        <v>0</v>
      </c>
      <c r="J7" s="10">
        <v>0</v>
      </c>
      <c r="K7" s="11">
        <v>21.5</v>
      </c>
      <c r="L7" s="10">
        <v>530</v>
      </c>
      <c r="M7" s="10">
        <v>200</v>
      </c>
      <c r="N7" s="13">
        <v>0.5</v>
      </c>
      <c r="O7" s="11">
        <v>416</v>
      </c>
      <c r="P7" s="11">
        <v>272.2</v>
      </c>
    </row>
    <row r="8" spans="1:16" x14ac:dyDescent="0.3">
      <c r="A8" s="10">
        <v>7</v>
      </c>
      <c r="B8" s="4" t="s">
        <v>27</v>
      </c>
      <c r="C8" s="11">
        <v>12.4</v>
      </c>
      <c r="D8" s="12">
        <v>1590</v>
      </c>
      <c r="E8" s="10">
        <v>1200</v>
      </c>
      <c r="F8" s="13">
        <v>0.75</v>
      </c>
      <c r="G8" s="10">
        <v>190</v>
      </c>
      <c r="H8" s="10">
        <v>1272</v>
      </c>
      <c r="I8" s="10">
        <v>0</v>
      </c>
      <c r="J8" s="10">
        <v>0</v>
      </c>
      <c r="K8" s="11">
        <v>37.700000000000003</v>
      </c>
      <c r="L8" s="10">
        <v>560</v>
      </c>
      <c r="M8" s="10">
        <v>200</v>
      </c>
      <c r="N8" s="13">
        <v>0.5</v>
      </c>
      <c r="O8" s="11">
        <v>416</v>
      </c>
      <c r="P8" s="11">
        <v>257.39999999999998</v>
      </c>
    </row>
    <row r="9" spans="1:16" x14ac:dyDescent="0.3">
      <c r="A9" s="10">
        <v>8</v>
      </c>
      <c r="B9" s="4" t="s">
        <v>27</v>
      </c>
      <c r="C9" s="11">
        <v>12.4</v>
      </c>
      <c r="D9" s="12">
        <v>1590</v>
      </c>
      <c r="E9" s="10">
        <v>1200</v>
      </c>
      <c r="F9" s="13">
        <v>0.75</v>
      </c>
      <c r="G9" s="10">
        <v>190</v>
      </c>
      <c r="H9" s="10">
        <v>1272</v>
      </c>
      <c r="I9" s="10">
        <v>0</v>
      </c>
      <c r="J9" s="10">
        <v>0</v>
      </c>
      <c r="K9" s="11">
        <v>37.700000000000003</v>
      </c>
      <c r="L9" s="10">
        <v>560</v>
      </c>
      <c r="M9" s="10">
        <v>200</v>
      </c>
      <c r="N9" s="13">
        <v>0.5</v>
      </c>
      <c r="O9" s="11">
        <v>416</v>
      </c>
      <c r="P9" s="11">
        <v>265.89999999999998</v>
      </c>
    </row>
    <row r="10" spans="1:16" x14ac:dyDescent="0.3">
      <c r="A10" s="10">
        <v>9</v>
      </c>
      <c r="B10" s="4" t="s">
        <v>27</v>
      </c>
      <c r="C10" s="11">
        <v>12.4</v>
      </c>
      <c r="D10" s="12">
        <v>1590</v>
      </c>
      <c r="E10" s="10">
        <v>1200</v>
      </c>
      <c r="F10" s="13">
        <v>0.75</v>
      </c>
      <c r="G10" s="10">
        <v>190</v>
      </c>
      <c r="H10" s="10">
        <v>1272</v>
      </c>
      <c r="I10" s="10">
        <v>0</v>
      </c>
      <c r="J10" s="10">
        <v>0</v>
      </c>
      <c r="K10" s="11">
        <v>37.700000000000003</v>
      </c>
      <c r="L10" s="10">
        <v>560</v>
      </c>
      <c r="M10" s="10">
        <v>200</v>
      </c>
      <c r="N10" s="13">
        <v>0.5</v>
      </c>
      <c r="O10" s="11">
        <v>416</v>
      </c>
      <c r="P10" s="11">
        <v>259.39999999999998</v>
      </c>
    </row>
    <row r="11" spans="1:16" x14ac:dyDescent="0.3">
      <c r="A11" s="10">
        <v>10</v>
      </c>
      <c r="B11" s="4" t="s">
        <v>27</v>
      </c>
      <c r="C11" s="11">
        <v>12.4</v>
      </c>
      <c r="D11" s="12">
        <v>1590</v>
      </c>
      <c r="E11" s="10">
        <v>1200</v>
      </c>
      <c r="F11" s="13">
        <v>0.75</v>
      </c>
      <c r="G11" s="10">
        <v>190</v>
      </c>
      <c r="H11" s="10">
        <v>1272</v>
      </c>
      <c r="I11" s="10">
        <v>0</v>
      </c>
      <c r="J11" s="10">
        <v>0</v>
      </c>
      <c r="K11" s="10">
        <v>0</v>
      </c>
      <c r="L11" s="10">
        <v>0</v>
      </c>
      <c r="M11" s="10">
        <v>0</v>
      </c>
      <c r="N11" s="13">
        <v>0.5</v>
      </c>
      <c r="O11" s="11">
        <v>416</v>
      </c>
      <c r="P11" s="11">
        <v>275.10000000000002</v>
      </c>
    </row>
    <row r="12" spans="1:16" x14ac:dyDescent="0.3">
      <c r="A12" s="10">
        <v>11</v>
      </c>
      <c r="B12" s="4" t="s">
        <v>27</v>
      </c>
      <c r="C12" s="11">
        <v>12.4</v>
      </c>
      <c r="D12" s="12">
        <v>1590</v>
      </c>
      <c r="E12" s="10">
        <v>1200</v>
      </c>
      <c r="F12" s="13">
        <v>0.75</v>
      </c>
      <c r="G12" s="10">
        <v>190</v>
      </c>
      <c r="H12" s="10">
        <v>1272</v>
      </c>
      <c r="I12" s="10">
        <v>0</v>
      </c>
      <c r="J12" s="10">
        <v>0</v>
      </c>
      <c r="K12" s="10">
        <v>0</v>
      </c>
      <c r="L12" s="10">
        <v>0</v>
      </c>
      <c r="M12" s="10">
        <v>0</v>
      </c>
      <c r="N12" s="13">
        <v>0.5</v>
      </c>
      <c r="O12" s="11">
        <v>416</v>
      </c>
      <c r="P12" s="11">
        <v>281.5</v>
      </c>
    </row>
    <row r="13" spans="1:16" x14ac:dyDescent="0.3">
      <c r="A13" s="10">
        <v>12</v>
      </c>
      <c r="B13" s="4" t="s">
        <v>27</v>
      </c>
      <c r="C13" s="11">
        <v>12.4</v>
      </c>
      <c r="D13" s="12">
        <v>1590</v>
      </c>
      <c r="E13" s="10">
        <v>1200</v>
      </c>
      <c r="F13" s="13">
        <v>0.75</v>
      </c>
      <c r="G13" s="10">
        <v>190</v>
      </c>
      <c r="H13" s="10">
        <v>1272</v>
      </c>
      <c r="I13" s="10">
        <v>0</v>
      </c>
      <c r="J13" s="10">
        <v>0</v>
      </c>
      <c r="K13" s="10">
        <v>0</v>
      </c>
      <c r="L13" s="10">
        <v>0</v>
      </c>
      <c r="M13" s="10">
        <v>0</v>
      </c>
      <c r="N13" s="13">
        <v>0.5</v>
      </c>
      <c r="O13" s="11">
        <v>416</v>
      </c>
      <c r="P13" s="11">
        <v>278.39999999999998</v>
      </c>
    </row>
    <row r="14" spans="1:16" x14ac:dyDescent="0.3">
      <c r="A14" s="10">
        <v>13</v>
      </c>
      <c r="B14" s="4" t="s">
        <v>27</v>
      </c>
      <c r="C14" s="11">
        <v>12.4</v>
      </c>
      <c r="D14" s="12">
        <v>1590</v>
      </c>
      <c r="E14" s="10">
        <v>1200</v>
      </c>
      <c r="F14" s="13">
        <v>0.75</v>
      </c>
      <c r="G14" s="10">
        <v>190</v>
      </c>
      <c r="H14" s="10">
        <v>1272</v>
      </c>
      <c r="I14" s="10">
        <v>0</v>
      </c>
      <c r="J14" s="10">
        <v>0</v>
      </c>
      <c r="K14" s="11">
        <v>37.700000000000003</v>
      </c>
      <c r="L14" s="10">
        <v>560</v>
      </c>
      <c r="M14" s="10">
        <v>200</v>
      </c>
      <c r="N14" s="13">
        <v>0.5</v>
      </c>
      <c r="O14" s="11">
        <v>416</v>
      </c>
      <c r="P14" s="11">
        <v>278.7</v>
      </c>
    </row>
    <row r="15" spans="1:16" x14ac:dyDescent="0.3">
      <c r="A15" s="10">
        <v>14</v>
      </c>
      <c r="B15" s="4" t="s">
        <v>27</v>
      </c>
      <c r="C15" s="11">
        <v>12.4</v>
      </c>
      <c r="D15" s="12">
        <v>1590</v>
      </c>
      <c r="E15" s="10">
        <v>1200</v>
      </c>
      <c r="F15" s="13">
        <v>0.75</v>
      </c>
      <c r="G15" s="10">
        <v>190</v>
      </c>
      <c r="H15" s="10">
        <v>1272</v>
      </c>
      <c r="I15" s="10">
        <v>0</v>
      </c>
      <c r="J15" s="10">
        <v>0</v>
      </c>
      <c r="K15" s="11">
        <v>37.700000000000003</v>
      </c>
      <c r="L15" s="10">
        <v>560</v>
      </c>
      <c r="M15" s="10">
        <v>200</v>
      </c>
      <c r="N15" s="13">
        <v>0.5</v>
      </c>
      <c r="O15" s="11">
        <v>416</v>
      </c>
      <c r="P15" s="11">
        <v>287.60000000000002</v>
      </c>
    </row>
    <row r="16" spans="1:16" x14ac:dyDescent="0.3">
      <c r="A16" s="10">
        <v>15</v>
      </c>
      <c r="B16" s="4" t="s">
        <v>27</v>
      </c>
      <c r="C16" s="11">
        <v>12.4</v>
      </c>
      <c r="D16" s="12">
        <v>1590</v>
      </c>
      <c r="E16" s="10">
        <v>1200</v>
      </c>
      <c r="F16" s="13">
        <v>0.75</v>
      </c>
      <c r="G16" s="10">
        <v>190</v>
      </c>
      <c r="H16" s="10">
        <v>1272</v>
      </c>
      <c r="I16" s="10">
        <v>0</v>
      </c>
      <c r="J16" s="10">
        <v>0</v>
      </c>
      <c r="K16" s="11">
        <v>37.700000000000003</v>
      </c>
      <c r="L16" s="10">
        <v>560</v>
      </c>
      <c r="M16" s="10">
        <v>200</v>
      </c>
      <c r="N16" s="13">
        <v>0.5</v>
      </c>
      <c r="O16" s="11">
        <v>416</v>
      </c>
      <c r="P16" s="11">
        <v>278.89999999999998</v>
      </c>
    </row>
    <row r="17" spans="1:16" x14ac:dyDescent="0.3">
      <c r="A17" s="10">
        <v>16</v>
      </c>
      <c r="B17" s="4" t="s">
        <v>27</v>
      </c>
      <c r="C17" s="11">
        <v>16.2</v>
      </c>
      <c r="D17" s="12">
        <v>1590</v>
      </c>
      <c r="E17" s="10">
        <v>1200</v>
      </c>
      <c r="F17" s="13">
        <v>0.75</v>
      </c>
      <c r="G17" s="10">
        <v>190</v>
      </c>
      <c r="H17" s="10">
        <v>1272</v>
      </c>
      <c r="I17" s="10">
        <v>0</v>
      </c>
      <c r="J17" s="10">
        <v>0</v>
      </c>
      <c r="K17" s="10">
        <v>0</v>
      </c>
      <c r="L17" s="10">
        <v>0</v>
      </c>
      <c r="M17" s="10">
        <v>0</v>
      </c>
      <c r="N17" s="13">
        <v>0.37</v>
      </c>
      <c r="O17" s="11">
        <v>236</v>
      </c>
      <c r="P17" s="11">
        <v>149.5</v>
      </c>
    </row>
    <row r="18" spans="1:16" x14ac:dyDescent="0.3">
      <c r="A18" s="10">
        <v>17</v>
      </c>
      <c r="B18" s="4" t="s">
        <v>27</v>
      </c>
      <c r="C18" s="11">
        <v>16.2</v>
      </c>
      <c r="D18" s="12">
        <v>1590</v>
      </c>
      <c r="E18" s="10">
        <v>1200</v>
      </c>
      <c r="F18" s="13">
        <v>0.75</v>
      </c>
      <c r="G18" s="10">
        <v>190</v>
      </c>
      <c r="H18" s="10">
        <v>1272</v>
      </c>
      <c r="I18" s="10">
        <v>0</v>
      </c>
      <c r="J18" s="10">
        <v>0</v>
      </c>
      <c r="K18" s="10">
        <v>0</v>
      </c>
      <c r="L18" s="10">
        <v>0</v>
      </c>
      <c r="M18" s="10">
        <v>0</v>
      </c>
      <c r="N18" s="13">
        <v>0.37</v>
      </c>
      <c r="O18" s="11">
        <v>236</v>
      </c>
      <c r="P18" s="11">
        <v>146.9</v>
      </c>
    </row>
    <row r="19" spans="1:16" x14ac:dyDescent="0.3">
      <c r="A19" s="10">
        <v>18</v>
      </c>
      <c r="B19" s="4" t="s">
        <v>27</v>
      </c>
      <c r="C19" s="11">
        <v>16.2</v>
      </c>
      <c r="D19" s="12">
        <v>1590</v>
      </c>
      <c r="E19" s="10">
        <v>1200</v>
      </c>
      <c r="F19" s="13">
        <v>0.75</v>
      </c>
      <c r="G19" s="10">
        <v>190</v>
      </c>
      <c r="H19" s="10">
        <v>1272</v>
      </c>
      <c r="I19" s="10">
        <v>0</v>
      </c>
      <c r="J19" s="10">
        <v>0</v>
      </c>
      <c r="K19" s="10">
        <v>0</v>
      </c>
      <c r="L19" s="10">
        <v>0</v>
      </c>
      <c r="M19" s="10">
        <v>0</v>
      </c>
      <c r="N19" s="13">
        <v>0.37</v>
      </c>
      <c r="O19" s="11">
        <v>236</v>
      </c>
      <c r="P19" s="11">
        <v>157.19999999999999</v>
      </c>
    </row>
    <row r="20" spans="1:16" x14ac:dyDescent="0.3">
      <c r="A20" s="10">
        <v>19</v>
      </c>
      <c r="B20" s="4" t="s">
        <v>27</v>
      </c>
      <c r="C20" s="11">
        <v>12.4</v>
      </c>
      <c r="D20" s="12">
        <v>1590</v>
      </c>
      <c r="E20" s="10">
        <v>1200</v>
      </c>
      <c r="F20" s="13">
        <v>0.75</v>
      </c>
      <c r="G20" s="10">
        <v>190</v>
      </c>
      <c r="H20" s="10">
        <v>1272</v>
      </c>
      <c r="I20" s="10">
        <v>0</v>
      </c>
      <c r="J20" s="10">
        <v>0</v>
      </c>
      <c r="K20" s="10">
        <v>0</v>
      </c>
      <c r="L20" s="10">
        <v>0</v>
      </c>
      <c r="M20" s="10">
        <v>0</v>
      </c>
      <c r="N20" s="13">
        <v>0.5</v>
      </c>
      <c r="O20" s="11">
        <v>628</v>
      </c>
      <c r="P20" s="11">
        <v>384.4</v>
      </c>
    </row>
    <row r="21" spans="1:16" x14ac:dyDescent="0.3">
      <c r="A21" s="10">
        <v>20</v>
      </c>
      <c r="B21" s="4" t="s">
        <v>27</v>
      </c>
      <c r="C21" s="11">
        <v>12.4</v>
      </c>
      <c r="D21" s="12">
        <v>1590</v>
      </c>
      <c r="E21" s="10">
        <v>1200</v>
      </c>
      <c r="F21" s="13">
        <v>0.75</v>
      </c>
      <c r="G21" s="10">
        <v>190</v>
      </c>
      <c r="H21" s="10">
        <v>1272</v>
      </c>
      <c r="I21" s="10">
        <v>0</v>
      </c>
      <c r="J21" s="10">
        <v>0</v>
      </c>
      <c r="K21" s="10">
        <v>0</v>
      </c>
      <c r="L21" s="10">
        <v>0</v>
      </c>
      <c r="M21" s="10">
        <v>0</v>
      </c>
      <c r="N21" s="13">
        <v>0.5</v>
      </c>
      <c r="O21" s="11">
        <v>628</v>
      </c>
      <c r="P21" s="11">
        <v>346.6</v>
      </c>
    </row>
    <row r="22" spans="1:16" x14ac:dyDescent="0.3">
      <c r="A22" s="14">
        <v>21</v>
      </c>
      <c r="B22" s="4" t="s">
        <v>27</v>
      </c>
      <c r="C22" s="15">
        <v>12.4</v>
      </c>
      <c r="D22" s="14">
        <v>1590</v>
      </c>
      <c r="E22" s="14">
        <v>1200</v>
      </c>
      <c r="F22" s="16">
        <v>0.75</v>
      </c>
      <c r="G22" s="14">
        <v>190</v>
      </c>
      <c r="H22" s="14">
        <v>1272</v>
      </c>
      <c r="I22" s="14">
        <v>0</v>
      </c>
      <c r="J22" s="14">
        <v>0</v>
      </c>
      <c r="K22" s="14">
        <v>0</v>
      </c>
      <c r="L22" s="14">
        <v>0</v>
      </c>
      <c r="M22" s="14">
        <v>0</v>
      </c>
      <c r="N22" s="16">
        <v>0.5</v>
      </c>
      <c r="O22" s="15">
        <v>628</v>
      </c>
      <c r="P22" s="15">
        <v>419.6</v>
      </c>
    </row>
    <row r="23" spans="1:16" x14ac:dyDescent="0.3">
      <c r="A23" s="14">
        <v>22</v>
      </c>
      <c r="B23" s="4" t="s">
        <v>27</v>
      </c>
      <c r="C23" s="15">
        <v>12.4</v>
      </c>
      <c r="D23" s="14">
        <v>1590</v>
      </c>
      <c r="E23" s="14">
        <v>1200</v>
      </c>
      <c r="F23" s="16">
        <v>0.75</v>
      </c>
      <c r="G23" s="14">
        <v>190</v>
      </c>
      <c r="H23" s="14">
        <v>1272</v>
      </c>
      <c r="I23" s="14">
        <v>0</v>
      </c>
      <c r="J23" s="14">
        <v>0</v>
      </c>
      <c r="K23" s="15">
        <v>21.5</v>
      </c>
      <c r="L23" s="14">
        <v>530</v>
      </c>
      <c r="M23" s="14">
        <v>200</v>
      </c>
      <c r="N23" s="16">
        <v>0.5</v>
      </c>
      <c r="O23" s="15">
        <v>628</v>
      </c>
      <c r="P23" s="15">
        <v>347.9</v>
      </c>
    </row>
    <row r="24" spans="1:16" x14ac:dyDescent="0.3">
      <c r="A24" s="14">
        <v>23</v>
      </c>
      <c r="B24" s="4" t="s">
        <v>27</v>
      </c>
      <c r="C24" s="15">
        <v>12.4</v>
      </c>
      <c r="D24" s="14">
        <v>1590</v>
      </c>
      <c r="E24" s="14">
        <v>1200</v>
      </c>
      <c r="F24" s="16">
        <v>0.75</v>
      </c>
      <c r="G24" s="14">
        <v>190</v>
      </c>
      <c r="H24" s="14">
        <v>1272</v>
      </c>
      <c r="I24" s="14">
        <v>0</v>
      </c>
      <c r="J24" s="14">
        <v>0</v>
      </c>
      <c r="K24" s="15">
        <v>21.5</v>
      </c>
      <c r="L24" s="14">
        <v>530</v>
      </c>
      <c r="M24" s="14">
        <v>200</v>
      </c>
      <c r="N24" s="16">
        <v>0.5</v>
      </c>
      <c r="O24" s="15">
        <v>628</v>
      </c>
      <c r="P24" s="15">
        <v>337.1</v>
      </c>
    </row>
    <row r="25" spans="1:16" x14ac:dyDescent="0.3">
      <c r="A25" s="14">
        <v>24</v>
      </c>
      <c r="B25" s="4" t="s">
        <v>27</v>
      </c>
      <c r="C25" s="15">
        <v>12.4</v>
      </c>
      <c r="D25" s="14">
        <v>1590</v>
      </c>
      <c r="E25" s="14">
        <v>1200</v>
      </c>
      <c r="F25" s="16">
        <v>0.75</v>
      </c>
      <c r="G25" s="14">
        <v>190</v>
      </c>
      <c r="H25" s="14">
        <v>1272</v>
      </c>
      <c r="I25" s="14">
        <v>0</v>
      </c>
      <c r="J25" s="14">
        <v>0</v>
      </c>
      <c r="K25" s="15">
        <v>21.5</v>
      </c>
      <c r="L25" s="14">
        <v>530</v>
      </c>
      <c r="M25" s="14">
        <v>200</v>
      </c>
      <c r="N25" s="16">
        <v>0.5</v>
      </c>
      <c r="O25" s="15">
        <v>628</v>
      </c>
      <c r="P25" s="15">
        <v>390.1</v>
      </c>
    </row>
    <row r="26" spans="1:16" x14ac:dyDescent="0.3">
      <c r="A26" s="14">
        <v>25</v>
      </c>
      <c r="B26" s="4" t="s">
        <v>27</v>
      </c>
      <c r="C26" s="15">
        <v>12.4</v>
      </c>
      <c r="D26" s="14">
        <v>1590</v>
      </c>
      <c r="E26" s="14">
        <v>1200</v>
      </c>
      <c r="F26" s="16">
        <v>0.75</v>
      </c>
      <c r="G26" s="14">
        <v>190</v>
      </c>
      <c r="H26" s="14">
        <v>1272</v>
      </c>
      <c r="I26" s="14">
        <v>0</v>
      </c>
      <c r="J26" s="14">
        <v>0</v>
      </c>
      <c r="K26" s="15">
        <v>37.700000000000003</v>
      </c>
      <c r="L26" s="14">
        <v>560</v>
      </c>
      <c r="M26" s="14">
        <v>200</v>
      </c>
      <c r="N26" s="16">
        <v>0.5</v>
      </c>
      <c r="O26" s="15">
        <v>628</v>
      </c>
      <c r="P26" s="15">
        <v>384.2</v>
      </c>
    </row>
    <row r="27" spans="1:16" x14ac:dyDescent="0.3">
      <c r="A27" s="14">
        <v>26</v>
      </c>
      <c r="B27" s="4" t="s">
        <v>27</v>
      </c>
      <c r="C27" s="15">
        <v>12.4</v>
      </c>
      <c r="D27" s="14">
        <v>1590</v>
      </c>
      <c r="E27" s="14">
        <v>1200</v>
      </c>
      <c r="F27" s="16">
        <v>0.75</v>
      </c>
      <c r="G27" s="14">
        <v>190</v>
      </c>
      <c r="H27" s="14">
        <v>1272</v>
      </c>
      <c r="I27" s="14">
        <v>0</v>
      </c>
      <c r="J27" s="14">
        <v>0</v>
      </c>
      <c r="K27" s="15">
        <v>37.700000000000003</v>
      </c>
      <c r="L27" s="14">
        <v>560</v>
      </c>
      <c r="M27" s="14">
        <v>200</v>
      </c>
      <c r="N27" s="16">
        <v>0.5</v>
      </c>
      <c r="O27" s="15">
        <v>628</v>
      </c>
      <c r="P27" s="15">
        <v>362.3</v>
      </c>
    </row>
    <row r="28" spans="1:16" x14ac:dyDescent="0.3">
      <c r="A28" s="14">
        <v>27</v>
      </c>
      <c r="B28" s="4" t="s">
        <v>27</v>
      </c>
      <c r="C28" s="15">
        <v>12.4</v>
      </c>
      <c r="D28" s="14">
        <v>1590</v>
      </c>
      <c r="E28" s="14">
        <v>1200</v>
      </c>
      <c r="F28" s="16">
        <v>0.75</v>
      </c>
      <c r="G28" s="14">
        <v>190</v>
      </c>
      <c r="H28" s="14">
        <v>1272</v>
      </c>
      <c r="I28" s="14">
        <v>0</v>
      </c>
      <c r="J28" s="14">
        <v>0</v>
      </c>
      <c r="K28" s="15">
        <v>37.700000000000003</v>
      </c>
      <c r="L28" s="14">
        <v>560</v>
      </c>
      <c r="M28" s="14">
        <v>200</v>
      </c>
      <c r="N28" s="16">
        <v>0.5</v>
      </c>
      <c r="O28" s="15">
        <v>628</v>
      </c>
      <c r="P28" s="15">
        <v>325</v>
      </c>
    </row>
    <row r="29" spans="1:16" x14ac:dyDescent="0.3">
      <c r="A29" s="14">
        <v>28</v>
      </c>
      <c r="B29" s="4" t="s">
        <v>27</v>
      </c>
      <c r="C29" s="15">
        <v>12.4</v>
      </c>
      <c r="D29" s="14">
        <v>1590</v>
      </c>
      <c r="E29" s="14">
        <v>1200</v>
      </c>
      <c r="F29" s="16">
        <v>0.75</v>
      </c>
      <c r="G29" s="14">
        <v>190</v>
      </c>
      <c r="H29" s="14">
        <v>1272</v>
      </c>
      <c r="I29" s="14">
        <v>0</v>
      </c>
      <c r="J29" s="14">
        <v>0</v>
      </c>
      <c r="K29" s="14">
        <v>0</v>
      </c>
      <c r="L29" s="14">
        <v>0</v>
      </c>
      <c r="M29" s="14">
        <v>0</v>
      </c>
      <c r="N29" s="16">
        <v>0.5</v>
      </c>
      <c r="O29" s="15">
        <v>628</v>
      </c>
      <c r="P29" s="15">
        <v>338.4</v>
      </c>
    </row>
    <row r="30" spans="1:16" x14ac:dyDescent="0.3">
      <c r="A30" s="14">
        <v>29</v>
      </c>
      <c r="B30" s="4" t="s">
        <v>27</v>
      </c>
      <c r="C30" s="15">
        <v>12.4</v>
      </c>
      <c r="D30" s="14">
        <v>1590</v>
      </c>
      <c r="E30" s="14">
        <v>1200</v>
      </c>
      <c r="F30" s="16">
        <v>0.75</v>
      </c>
      <c r="G30" s="14">
        <v>190</v>
      </c>
      <c r="H30" s="14">
        <v>1272</v>
      </c>
      <c r="I30" s="14">
        <v>0</v>
      </c>
      <c r="J30" s="14">
        <v>0</v>
      </c>
      <c r="K30" s="14">
        <v>0</v>
      </c>
      <c r="L30" s="14">
        <v>0</v>
      </c>
      <c r="M30" s="14">
        <v>0</v>
      </c>
      <c r="N30" s="16">
        <v>0.5</v>
      </c>
      <c r="O30" s="15">
        <v>628</v>
      </c>
      <c r="P30" s="15">
        <v>356</v>
      </c>
    </row>
    <row r="31" spans="1:16" x14ac:dyDescent="0.3">
      <c r="A31" s="14">
        <v>30</v>
      </c>
      <c r="B31" s="4" t="s">
        <v>27</v>
      </c>
      <c r="C31" s="15">
        <v>12.4</v>
      </c>
      <c r="D31" s="14">
        <v>1590</v>
      </c>
      <c r="E31" s="14">
        <v>1200</v>
      </c>
      <c r="F31" s="16">
        <v>0.75</v>
      </c>
      <c r="G31" s="14">
        <v>190</v>
      </c>
      <c r="H31" s="14">
        <v>1272</v>
      </c>
      <c r="I31" s="14">
        <v>0</v>
      </c>
      <c r="J31" s="14">
        <v>0</v>
      </c>
      <c r="K31" s="14">
        <v>0</v>
      </c>
      <c r="L31" s="14">
        <v>0</v>
      </c>
      <c r="M31" s="14">
        <v>0</v>
      </c>
      <c r="N31" s="16">
        <v>0.5</v>
      </c>
      <c r="O31" s="15">
        <v>628</v>
      </c>
      <c r="P31" s="15">
        <v>373.9</v>
      </c>
    </row>
    <row r="32" spans="1:16" x14ac:dyDescent="0.3">
      <c r="A32" s="14">
        <v>31</v>
      </c>
      <c r="B32" s="4" t="s">
        <v>27</v>
      </c>
      <c r="C32" s="15">
        <v>12.4</v>
      </c>
      <c r="D32" s="14">
        <v>1590</v>
      </c>
      <c r="E32" s="14">
        <v>1200</v>
      </c>
      <c r="F32" s="16">
        <v>0.75</v>
      </c>
      <c r="G32" s="14">
        <v>190</v>
      </c>
      <c r="H32" s="14">
        <v>1272</v>
      </c>
      <c r="I32" s="14">
        <v>0</v>
      </c>
      <c r="J32" s="14">
        <v>0</v>
      </c>
      <c r="K32" s="15">
        <v>37.700000000000003</v>
      </c>
      <c r="L32" s="14">
        <v>560</v>
      </c>
      <c r="M32" s="14">
        <v>200</v>
      </c>
      <c r="N32" s="16">
        <v>0.5</v>
      </c>
      <c r="O32" s="15">
        <v>628</v>
      </c>
      <c r="P32" s="15">
        <v>360.4</v>
      </c>
    </row>
    <row r="33" spans="1:16" x14ac:dyDescent="0.3">
      <c r="A33" s="14">
        <v>32</v>
      </c>
      <c r="B33" s="4" t="s">
        <v>27</v>
      </c>
      <c r="C33" s="15">
        <v>12.4</v>
      </c>
      <c r="D33" s="14">
        <v>1590</v>
      </c>
      <c r="E33" s="14">
        <v>1200</v>
      </c>
      <c r="F33" s="16">
        <v>0.75</v>
      </c>
      <c r="G33" s="14">
        <v>190</v>
      </c>
      <c r="H33" s="14">
        <v>1272</v>
      </c>
      <c r="I33" s="14">
        <v>0</v>
      </c>
      <c r="J33" s="14">
        <v>0</v>
      </c>
      <c r="K33" s="15">
        <v>37.700000000000003</v>
      </c>
      <c r="L33" s="14">
        <v>560</v>
      </c>
      <c r="M33" s="14">
        <v>200</v>
      </c>
      <c r="N33" s="16">
        <v>0.5</v>
      </c>
      <c r="O33" s="15">
        <v>628</v>
      </c>
      <c r="P33" s="15">
        <v>349.7</v>
      </c>
    </row>
    <row r="34" spans="1:16" x14ac:dyDescent="0.3">
      <c r="A34" s="14">
        <v>33</v>
      </c>
      <c r="B34" s="4" t="s">
        <v>27</v>
      </c>
      <c r="C34" s="15">
        <v>12.4</v>
      </c>
      <c r="D34" s="14">
        <v>1590</v>
      </c>
      <c r="E34" s="14">
        <v>1200</v>
      </c>
      <c r="F34" s="16">
        <v>0.75</v>
      </c>
      <c r="G34" s="14">
        <v>190</v>
      </c>
      <c r="H34" s="14">
        <v>1272</v>
      </c>
      <c r="I34" s="14">
        <v>0</v>
      </c>
      <c r="J34" s="14">
        <v>0</v>
      </c>
      <c r="K34" s="15">
        <v>37.700000000000003</v>
      </c>
      <c r="L34" s="14">
        <v>560</v>
      </c>
      <c r="M34" s="14">
        <v>200</v>
      </c>
      <c r="N34" s="16">
        <v>0.5</v>
      </c>
      <c r="O34" s="15">
        <v>628</v>
      </c>
      <c r="P34" s="15">
        <v>377.8</v>
      </c>
    </row>
    <row r="35" spans="1:16" x14ac:dyDescent="0.3">
      <c r="A35" s="14">
        <v>34</v>
      </c>
      <c r="B35" s="4" t="s">
        <v>27</v>
      </c>
      <c r="C35" s="15">
        <v>16.2</v>
      </c>
      <c r="D35" s="14">
        <v>1590</v>
      </c>
      <c r="E35" s="14">
        <v>1200</v>
      </c>
      <c r="F35" s="16">
        <v>0.75</v>
      </c>
      <c r="G35" s="14">
        <v>190</v>
      </c>
      <c r="H35" s="14">
        <v>1272</v>
      </c>
      <c r="I35" s="14">
        <v>0</v>
      </c>
      <c r="J35" s="14">
        <v>0</v>
      </c>
      <c r="K35" s="14">
        <v>0</v>
      </c>
      <c r="L35" s="14">
        <v>0</v>
      </c>
      <c r="M35" s="14">
        <v>0</v>
      </c>
      <c r="N35" s="16">
        <v>0.37</v>
      </c>
      <c r="O35" s="15">
        <v>353</v>
      </c>
      <c r="P35" s="15">
        <v>186.4</v>
      </c>
    </row>
    <row r="36" spans="1:16" x14ac:dyDescent="0.3">
      <c r="A36" s="14">
        <v>35</v>
      </c>
      <c r="B36" s="4" t="s">
        <v>27</v>
      </c>
      <c r="C36" s="15">
        <v>16.2</v>
      </c>
      <c r="D36" s="14">
        <v>1590</v>
      </c>
      <c r="E36" s="14">
        <v>1200</v>
      </c>
      <c r="F36" s="16">
        <v>0.75</v>
      </c>
      <c r="G36" s="14">
        <v>190</v>
      </c>
      <c r="H36" s="14">
        <v>1272</v>
      </c>
      <c r="I36" s="14">
        <v>0</v>
      </c>
      <c r="J36" s="14">
        <v>0</v>
      </c>
      <c r="K36" s="14">
        <v>0</v>
      </c>
      <c r="L36" s="14">
        <v>0</v>
      </c>
      <c r="M36" s="14">
        <v>0</v>
      </c>
      <c r="N36" s="16">
        <v>0.37</v>
      </c>
      <c r="O36" s="15">
        <v>353</v>
      </c>
      <c r="P36" s="15">
        <v>199.8</v>
      </c>
    </row>
    <row r="37" spans="1:16" x14ac:dyDescent="0.3">
      <c r="A37" s="14">
        <v>36</v>
      </c>
      <c r="B37" s="4" t="s">
        <v>27</v>
      </c>
      <c r="C37" s="15">
        <v>16.2</v>
      </c>
      <c r="D37" s="14">
        <v>1590</v>
      </c>
      <c r="E37" s="14">
        <v>1200</v>
      </c>
      <c r="F37" s="16">
        <v>0.75</v>
      </c>
      <c r="G37" s="14">
        <v>190</v>
      </c>
      <c r="H37" s="14">
        <v>1272</v>
      </c>
      <c r="I37" s="14">
        <v>0</v>
      </c>
      <c r="J37" s="14">
        <v>0</v>
      </c>
      <c r="K37" s="14">
        <v>0</v>
      </c>
      <c r="L37" s="14">
        <v>0</v>
      </c>
      <c r="M37" s="14">
        <v>0</v>
      </c>
      <c r="N37" s="16">
        <v>0.37</v>
      </c>
      <c r="O37" s="15">
        <v>353</v>
      </c>
      <c r="P37" s="15">
        <v>215.5</v>
      </c>
    </row>
    <row r="38" spans="1:16" x14ac:dyDescent="0.3">
      <c r="A38" s="14">
        <v>37</v>
      </c>
      <c r="B38" s="4" t="s">
        <v>27</v>
      </c>
      <c r="C38" s="15">
        <v>12.4</v>
      </c>
      <c r="D38" s="14">
        <v>1590</v>
      </c>
      <c r="E38" s="14">
        <v>1200</v>
      </c>
      <c r="F38" s="16">
        <v>0.75</v>
      </c>
      <c r="G38" s="14">
        <v>190</v>
      </c>
      <c r="H38" s="14">
        <v>1272</v>
      </c>
      <c r="I38" s="14">
        <v>0</v>
      </c>
      <c r="J38" s="14">
        <v>0</v>
      </c>
      <c r="K38" s="14">
        <v>0</v>
      </c>
      <c r="L38" s="14">
        <v>0</v>
      </c>
      <c r="M38" s="14">
        <v>0</v>
      </c>
      <c r="N38" s="16">
        <v>0.5</v>
      </c>
      <c r="O38" s="15">
        <v>839</v>
      </c>
      <c r="P38" s="15">
        <v>459.5</v>
      </c>
    </row>
    <row r="39" spans="1:16" x14ac:dyDescent="0.3">
      <c r="A39" s="14">
        <v>38</v>
      </c>
      <c r="B39" s="4" t="s">
        <v>27</v>
      </c>
      <c r="C39" s="15">
        <v>12.4</v>
      </c>
      <c r="D39" s="14">
        <v>1590</v>
      </c>
      <c r="E39" s="14">
        <v>1200</v>
      </c>
      <c r="F39" s="16">
        <v>0.75</v>
      </c>
      <c r="G39" s="14">
        <v>190</v>
      </c>
      <c r="H39" s="14">
        <v>1272</v>
      </c>
      <c r="I39" s="14">
        <v>0</v>
      </c>
      <c r="J39" s="14">
        <v>0</v>
      </c>
      <c r="K39" s="14">
        <v>0</v>
      </c>
      <c r="L39" s="14">
        <v>0</v>
      </c>
      <c r="M39" s="14">
        <v>0</v>
      </c>
      <c r="N39" s="16">
        <v>0.5</v>
      </c>
      <c r="O39" s="15">
        <v>839</v>
      </c>
      <c r="P39" s="15">
        <v>403.5</v>
      </c>
    </row>
    <row r="40" spans="1:16" x14ac:dyDescent="0.3">
      <c r="A40" s="14">
        <v>39</v>
      </c>
      <c r="B40" s="4" t="s">
        <v>27</v>
      </c>
      <c r="C40" s="15">
        <v>12.4</v>
      </c>
      <c r="D40" s="14">
        <v>1590</v>
      </c>
      <c r="E40" s="14">
        <v>1200</v>
      </c>
      <c r="F40" s="16">
        <v>0.75</v>
      </c>
      <c r="G40" s="14">
        <v>190</v>
      </c>
      <c r="H40" s="14">
        <v>1272</v>
      </c>
      <c r="I40" s="14">
        <v>0</v>
      </c>
      <c r="J40" s="14">
        <v>0</v>
      </c>
      <c r="K40" s="14">
        <v>0</v>
      </c>
      <c r="L40" s="14">
        <v>0</v>
      </c>
      <c r="M40" s="14">
        <v>0</v>
      </c>
      <c r="N40" s="16">
        <v>0.5</v>
      </c>
      <c r="O40" s="15">
        <v>839</v>
      </c>
      <c r="P40" s="15">
        <v>433.6</v>
      </c>
    </row>
    <row r="41" spans="1:16" x14ac:dyDescent="0.3">
      <c r="A41" s="14">
        <v>40</v>
      </c>
      <c r="B41" s="4" t="s">
        <v>27</v>
      </c>
      <c r="C41" s="15">
        <v>12.4</v>
      </c>
      <c r="D41" s="14">
        <v>1590</v>
      </c>
      <c r="E41" s="14">
        <v>1200</v>
      </c>
      <c r="F41" s="16">
        <v>0.75</v>
      </c>
      <c r="G41" s="14">
        <v>190</v>
      </c>
      <c r="H41" s="14">
        <v>1272</v>
      </c>
      <c r="I41" s="14">
        <v>0</v>
      </c>
      <c r="J41" s="14">
        <v>0</v>
      </c>
      <c r="K41" s="15">
        <v>21.5</v>
      </c>
      <c r="L41" s="14">
        <v>530</v>
      </c>
      <c r="M41" s="14">
        <v>200</v>
      </c>
      <c r="N41" s="16">
        <v>0.5</v>
      </c>
      <c r="O41" s="15">
        <v>839</v>
      </c>
      <c r="P41" s="15">
        <v>414.6</v>
      </c>
    </row>
    <row r="42" spans="1:16" x14ac:dyDescent="0.3">
      <c r="A42" s="14">
        <v>41</v>
      </c>
      <c r="B42" s="4" t="s">
        <v>27</v>
      </c>
      <c r="C42" s="15">
        <v>12.4</v>
      </c>
      <c r="D42" s="14">
        <v>1590</v>
      </c>
      <c r="E42" s="14">
        <v>1200</v>
      </c>
      <c r="F42" s="17">
        <v>0.75</v>
      </c>
      <c r="G42" s="14">
        <v>190</v>
      </c>
      <c r="H42" s="14">
        <v>1272</v>
      </c>
      <c r="I42" s="14">
        <v>0</v>
      </c>
      <c r="J42" s="14">
        <v>0</v>
      </c>
      <c r="K42" s="15">
        <v>21.5</v>
      </c>
      <c r="L42" s="14">
        <v>530</v>
      </c>
      <c r="M42" s="14">
        <v>200</v>
      </c>
      <c r="N42" s="16">
        <v>0.5</v>
      </c>
      <c r="O42" s="15">
        <v>839</v>
      </c>
      <c r="P42" s="15">
        <v>393.8</v>
      </c>
    </row>
    <row r="43" spans="1:16" x14ac:dyDescent="0.3">
      <c r="A43" s="14">
        <v>42</v>
      </c>
      <c r="B43" s="4" t="s">
        <v>27</v>
      </c>
      <c r="C43" s="15">
        <v>12.4</v>
      </c>
      <c r="D43" s="14">
        <v>1590</v>
      </c>
      <c r="E43" s="14">
        <v>1200</v>
      </c>
      <c r="F43" s="17">
        <v>0.75</v>
      </c>
      <c r="G43" s="14">
        <v>190</v>
      </c>
      <c r="H43" s="14">
        <v>1272</v>
      </c>
      <c r="I43" s="14">
        <v>0</v>
      </c>
      <c r="J43" s="14">
        <v>0</v>
      </c>
      <c r="K43" s="15">
        <v>21.5</v>
      </c>
      <c r="L43" s="14">
        <v>530</v>
      </c>
      <c r="M43" s="14">
        <v>200</v>
      </c>
      <c r="N43" s="16">
        <v>0.5</v>
      </c>
      <c r="O43" s="15">
        <v>839</v>
      </c>
      <c r="P43" s="15">
        <v>402</v>
      </c>
    </row>
    <row r="44" spans="1:16" x14ac:dyDescent="0.3">
      <c r="A44" s="14">
        <v>43</v>
      </c>
      <c r="B44" s="4" t="s">
        <v>27</v>
      </c>
      <c r="C44" s="15">
        <v>12.4</v>
      </c>
      <c r="D44" s="14">
        <v>1590</v>
      </c>
      <c r="E44" s="14">
        <v>1200</v>
      </c>
      <c r="F44" s="17">
        <v>0.75</v>
      </c>
      <c r="G44" s="14">
        <v>190</v>
      </c>
      <c r="H44" s="14">
        <v>1272</v>
      </c>
      <c r="I44" s="14">
        <v>0</v>
      </c>
      <c r="J44" s="14">
        <v>0</v>
      </c>
      <c r="K44" s="15">
        <v>37.700000000000003</v>
      </c>
      <c r="L44" s="14">
        <v>560</v>
      </c>
      <c r="M44" s="14">
        <v>200</v>
      </c>
      <c r="N44" s="16">
        <v>0.5</v>
      </c>
      <c r="O44" s="15">
        <v>839</v>
      </c>
      <c r="P44" s="15">
        <v>437</v>
      </c>
    </row>
    <row r="45" spans="1:16" x14ac:dyDescent="0.3">
      <c r="A45" s="14">
        <v>44</v>
      </c>
      <c r="B45" s="4" t="s">
        <v>27</v>
      </c>
      <c r="C45" s="15">
        <v>12.4</v>
      </c>
      <c r="D45" s="14">
        <v>1590</v>
      </c>
      <c r="E45" s="14">
        <v>1200</v>
      </c>
      <c r="F45" s="17">
        <v>0.75</v>
      </c>
      <c r="G45" s="14">
        <v>190</v>
      </c>
      <c r="H45" s="14">
        <v>1272</v>
      </c>
      <c r="I45" s="14">
        <v>0</v>
      </c>
      <c r="J45" s="14">
        <v>0</v>
      </c>
      <c r="K45" s="15">
        <v>37.700000000000003</v>
      </c>
      <c r="L45" s="14">
        <v>560</v>
      </c>
      <c r="M45" s="14">
        <v>200</v>
      </c>
      <c r="N45" s="16">
        <v>0.5</v>
      </c>
      <c r="O45" s="15">
        <v>839</v>
      </c>
      <c r="P45" s="15">
        <v>393.3</v>
      </c>
    </row>
    <row r="46" spans="1:16" x14ac:dyDescent="0.3">
      <c r="A46" s="14">
        <v>45</v>
      </c>
      <c r="B46" s="4" t="s">
        <v>27</v>
      </c>
      <c r="C46" s="15">
        <v>12.4</v>
      </c>
      <c r="D46" s="14">
        <v>1590</v>
      </c>
      <c r="E46" s="14">
        <v>1200</v>
      </c>
      <c r="F46" s="17">
        <v>0.75</v>
      </c>
      <c r="G46" s="14">
        <v>190</v>
      </c>
      <c r="H46" s="14">
        <v>1272</v>
      </c>
      <c r="I46" s="14">
        <v>0</v>
      </c>
      <c r="J46" s="14">
        <v>0</v>
      </c>
      <c r="K46" s="15">
        <v>37.700000000000003</v>
      </c>
      <c r="L46" s="14">
        <v>560</v>
      </c>
      <c r="M46" s="14">
        <v>200</v>
      </c>
      <c r="N46" s="16">
        <v>0.5</v>
      </c>
      <c r="O46" s="15">
        <v>839</v>
      </c>
      <c r="P46" s="15">
        <v>425.7</v>
      </c>
    </row>
    <row r="47" spans="1:16" x14ac:dyDescent="0.3">
      <c r="A47" s="14">
        <v>46</v>
      </c>
      <c r="B47" s="4" t="s">
        <v>27</v>
      </c>
      <c r="C47" s="15">
        <v>12.4</v>
      </c>
      <c r="D47" s="14">
        <v>1590</v>
      </c>
      <c r="E47" s="14">
        <v>1200</v>
      </c>
      <c r="F47" s="17">
        <v>0.75</v>
      </c>
      <c r="G47" s="14">
        <v>190</v>
      </c>
      <c r="H47" s="14">
        <v>1272</v>
      </c>
      <c r="I47" s="14">
        <v>0</v>
      </c>
      <c r="J47" s="14">
        <v>0</v>
      </c>
      <c r="K47" s="14">
        <v>0</v>
      </c>
      <c r="L47" s="14">
        <v>0</v>
      </c>
      <c r="M47" s="14">
        <v>0</v>
      </c>
      <c r="N47" s="16">
        <v>0.5</v>
      </c>
      <c r="O47" s="15">
        <v>839</v>
      </c>
      <c r="P47" s="15">
        <v>423.6</v>
      </c>
    </row>
    <row r="48" spans="1:16" x14ac:dyDescent="0.3">
      <c r="A48" s="14">
        <v>47</v>
      </c>
      <c r="B48" s="4" t="s">
        <v>27</v>
      </c>
      <c r="C48" s="15">
        <v>12.4</v>
      </c>
      <c r="D48" s="14">
        <v>1590</v>
      </c>
      <c r="E48" s="14">
        <v>1200</v>
      </c>
      <c r="F48" s="17">
        <v>0.75</v>
      </c>
      <c r="G48" s="14">
        <v>190</v>
      </c>
      <c r="H48" s="14">
        <v>1272</v>
      </c>
      <c r="I48" s="14">
        <v>0</v>
      </c>
      <c r="J48" s="14">
        <v>0</v>
      </c>
      <c r="K48" s="14">
        <v>0</v>
      </c>
      <c r="L48" s="14">
        <v>0</v>
      </c>
      <c r="M48" s="14">
        <v>0</v>
      </c>
      <c r="N48" s="16">
        <v>0.5</v>
      </c>
      <c r="O48" s="15">
        <v>839</v>
      </c>
      <c r="P48" s="15">
        <v>400.9</v>
      </c>
    </row>
    <row r="49" spans="1:16" x14ac:dyDescent="0.3">
      <c r="A49" s="14">
        <v>48</v>
      </c>
      <c r="B49" s="4" t="s">
        <v>27</v>
      </c>
      <c r="C49" s="15">
        <v>12.4</v>
      </c>
      <c r="D49" s="14">
        <v>1590</v>
      </c>
      <c r="E49" s="14">
        <v>1200</v>
      </c>
      <c r="F49" s="17">
        <v>0.75</v>
      </c>
      <c r="G49" s="14">
        <v>190</v>
      </c>
      <c r="H49" s="14">
        <v>1272</v>
      </c>
      <c r="I49" s="14">
        <v>0</v>
      </c>
      <c r="J49" s="14">
        <v>0</v>
      </c>
      <c r="K49" s="14">
        <v>0</v>
      </c>
      <c r="L49" s="14">
        <v>0</v>
      </c>
      <c r="M49" s="14">
        <v>0</v>
      </c>
      <c r="N49" s="16">
        <v>0.5</v>
      </c>
      <c r="O49" s="15">
        <v>839</v>
      </c>
      <c r="P49" s="15">
        <v>405.9</v>
      </c>
    </row>
    <row r="50" spans="1:16" x14ac:dyDescent="0.3">
      <c r="A50" s="14">
        <v>49</v>
      </c>
      <c r="B50" s="4" t="s">
        <v>27</v>
      </c>
      <c r="C50" s="15">
        <v>12.4</v>
      </c>
      <c r="D50" s="14">
        <v>1590</v>
      </c>
      <c r="E50" s="14">
        <v>1200</v>
      </c>
      <c r="F50" s="17">
        <v>0.75</v>
      </c>
      <c r="G50" s="14">
        <v>190</v>
      </c>
      <c r="H50" s="14">
        <v>1272</v>
      </c>
      <c r="I50" s="14">
        <v>0</v>
      </c>
      <c r="J50" s="14">
        <v>0</v>
      </c>
      <c r="K50" s="15">
        <v>37.700000000000003</v>
      </c>
      <c r="L50" s="14">
        <v>560</v>
      </c>
      <c r="M50" s="14">
        <v>200</v>
      </c>
      <c r="N50" s="16">
        <v>0.5</v>
      </c>
      <c r="O50" s="15">
        <v>839</v>
      </c>
      <c r="P50" s="15">
        <v>410.3</v>
      </c>
    </row>
    <row r="51" spans="1:16" x14ac:dyDescent="0.3">
      <c r="A51" s="14">
        <v>50</v>
      </c>
      <c r="B51" s="4" t="s">
        <v>27</v>
      </c>
      <c r="C51" s="15">
        <v>12.4</v>
      </c>
      <c r="D51" s="14">
        <v>1590</v>
      </c>
      <c r="E51" s="14">
        <v>1200</v>
      </c>
      <c r="F51" s="17">
        <v>0.75</v>
      </c>
      <c r="G51" s="14">
        <v>190</v>
      </c>
      <c r="H51" s="14">
        <v>1272</v>
      </c>
      <c r="I51" s="14">
        <v>0</v>
      </c>
      <c r="J51" s="14">
        <v>0</v>
      </c>
      <c r="K51" s="15">
        <v>37.700000000000003</v>
      </c>
      <c r="L51" s="14">
        <v>560</v>
      </c>
      <c r="M51" s="14">
        <v>200</v>
      </c>
      <c r="N51" s="16">
        <v>0.5</v>
      </c>
      <c r="O51" s="15">
        <v>839</v>
      </c>
      <c r="P51" s="15">
        <v>436.8</v>
      </c>
    </row>
    <row r="52" spans="1:16" x14ac:dyDescent="0.3">
      <c r="A52" s="14">
        <v>51</v>
      </c>
      <c r="B52" s="4" t="s">
        <v>27</v>
      </c>
      <c r="C52" s="15">
        <v>16.2</v>
      </c>
      <c r="D52" s="14">
        <v>1590</v>
      </c>
      <c r="E52" s="14">
        <v>1200</v>
      </c>
      <c r="F52" s="17">
        <v>0.75</v>
      </c>
      <c r="G52" s="14">
        <v>190</v>
      </c>
      <c r="H52" s="14">
        <v>1272</v>
      </c>
      <c r="I52" s="14">
        <v>0</v>
      </c>
      <c r="J52" s="14">
        <v>0</v>
      </c>
      <c r="K52" s="15">
        <v>37.700000000000003</v>
      </c>
      <c r="L52" s="14">
        <v>560</v>
      </c>
      <c r="M52" s="14">
        <v>200</v>
      </c>
      <c r="N52" s="16">
        <v>0.5</v>
      </c>
      <c r="O52" s="15">
        <v>839</v>
      </c>
      <c r="P52" s="15">
        <v>443.4</v>
      </c>
    </row>
    <row r="53" spans="1:16" x14ac:dyDescent="0.3">
      <c r="A53" s="14">
        <v>52</v>
      </c>
      <c r="B53" s="4" t="s">
        <v>27</v>
      </c>
      <c r="C53" s="15">
        <v>16.2</v>
      </c>
      <c r="D53" s="14">
        <v>1590</v>
      </c>
      <c r="E53" s="14">
        <v>1200</v>
      </c>
      <c r="F53" s="17">
        <v>0.75</v>
      </c>
      <c r="G53" s="14">
        <v>190</v>
      </c>
      <c r="H53" s="14">
        <v>1272</v>
      </c>
      <c r="I53" s="14">
        <v>0</v>
      </c>
      <c r="J53" s="14">
        <v>0</v>
      </c>
      <c r="K53" s="14">
        <v>0</v>
      </c>
      <c r="L53" s="14">
        <v>0</v>
      </c>
      <c r="M53" s="14">
        <v>0</v>
      </c>
      <c r="N53" s="16">
        <v>0.37</v>
      </c>
      <c r="O53" s="15">
        <v>471</v>
      </c>
      <c r="P53" s="15">
        <v>231.1</v>
      </c>
    </row>
    <row r="54" spans="1:16" x14ac:dyDescent="0.3">
      <c r="A54" s="14">
        <v>53</v>
      </c>
      <c r="B54" s="4" t="s">
        <v>27</v>
      </c>
      <c r="C54" s="15">
        <v>16.2</v>
      </c>
      <c r="D54" s="14">
        <v>1590</v>
      </c>
      <c r="E54" s="14">
        <v>1200</v>
      </c>
      <c r="F54" s="17">
        <v>0.75</v>
      </c>
      <c r="G54" s="14">
        <v>190</v>
      </c>
      <c r="H54" s="14">
        <v>1272</v>
      </c>
      <c r="I54" s="14">
        <v>0</v>
      </c>
      <c r="J54" s="14">
        <v>0</v>
      </c>
      <c r="K54" s="14">
        <v>0</v>
      </c>
      <c r="L54" s="14">
        <v>0</v>
      </c>
      <c r="M54" s="14">
        <v>0</v>
      </c>
      <c r="N54" s="16">
        <v>0.37</v>
      </c>
      <c r="O54" s="15">
        <v>471</v>
      </c>
      <c r="P54" s="15">
        <v>250.8</v>
      </c>
    </row>
    <row r="55" spans="1:16" x14ac:dyDescent="0.3">
      <c r="A55" s="14">
        <v>54</v>
      </c>
      <c r="B55" s="4" t="s">
        <v>27</v>
      </c>
      <c r="C55" s="15">
        <v>19.5</v>
      </c>
      <c r="D55" s="14">
        <v>1590</v>
      </c>
      <c r="E55" s="14">
        <v>1200</v>
      </c>
      <c r="F55" s="17">
        <v>0.75</v>
      </c>
      <c r="G55" s="14">
        <v>190</v>
      </c>
      <c r="H55" s="14">
        <v>1272</v>
      </c>
      <c r="I55" s="14">
        <v>0</v>
      </c>
      <c r="J55" s="14">
        <v>0</v>
      </c>
      <c r="K55" s="14">
        <v>0</v>
      </c>
      <c r="L55" s="14">
        <v>0</v>
      </c>
      <c r="M55" s="14">
        <v>0</v>
      </c>
      <c r="N55" s="16">
        <v>0.37</v>
      </c>
      <c r="O55" s="15">
        <v>471</v>
      </c>
      <c r="P55" s="15">
        <v>237.2</v>
      </c>
    </row>
    <row r="56" spans="1:16" x14ac:dyDescent="0.3">
      <c r="A56" s="14">
        <v>55</v>
      </c>
      <c r="B56" s="4" t="s">
        <v>27</v>
      </c>
      <c r="C56" s="15">
        <v>19.5</v>
      </c>
      <c r="D56" s="14">
        <v>1590</v>
      </c>
      <c r="E56" s="14">
        <v>1200</v>
      </c>
      <c r="F56" s="17">
        <v>0.75</v>
      </c>
      <c r="G56" s="14">
        <v>190</v>
      </c>
      <c r="H56" s="14">
        <v>1272</v>
      </c>
      <c r="I56" s="14">
        <v>0</v>
      </c>
      <c r="J56" s="14">
        <v>0</v>
      </c>
      <c r="K56" s="15">
        <v>21.5</v>
      </c>
      <c r="L56" s="14">
        <v>530</v>
      </c>
      <c r="M56" s="14">
        <v>200</v>
      </c>
      <c r="N56" s="16">
        <v>0.37</v>
      </c>
      <c r="O56" s="15">
        <v>315</v>
      </c>
      <c r="P56" s="15">
        <v>186.4</v>
      </c>
    </row>
    <row r="57" spans="1:16" x14ac:dyDescent="0.3">
      <c r="A57" s="14">
        <v>56</v>
      </c>
      <c r="B57" s="4" t="s">
        <v>27</v>
      </c>
      <c r="C57" s="15">
        <v>19.5</v>
      </c>
      <c r="D57" s="14">
        <v>1590</v>
      </c>
      <c r="E57" s="14">
        <v>1200</v>
      </c>
      <c r="F57" s="17">
        <v>0.75</v>
      </c>
      <c r="G57" s="14">
        <v>190</v>
      </c>
      <c r="H57" s="14">
        <v>1272</v>
      </c>
      <c r="I57" s="14">
        <v>0</v>
      </c>
      <c r="J57" s="14">
        <v>0</v>
      </c>
      <c r="K57" s="15">
        <v>21.5</v>
      </c>
      <c r="L57" s="14">
        <v>530</v>
      </c>
      <c r="M57" s="14">
        <v>200</v>
      </c>
      <c r="N57" s="16">
        <v>0.37</v>
      </c>
      <c r="O57" s="15">
        <v>315</v>
      </c>
      <c r="P57" s="15">
        <v>217.3</v>
      </c>
    </row>
    <row r="58" spans="1:16" x14ac:dyDescent="0.3">
      <c r="A58" s="14">
        <v>57</v>
      </c>
      <c r="B58" s="4" t="s">
        <v>27</v>
      </c>
      <c r="C58" s="15">
        <v>19.5</v>
      </c>
      <c r="D58" s="14">
        <v>1590</v>
      </c>
      <c r="E58" s="14">
        <v>1200</v>
      </c>
      <c r="F58" s="17">
        <v>0.75</v>
      </c>
      <c r="G58" s="14">
        <v>190</v>
      </c>
      <c r="H58" s="14">
        <v>1272</v>
      </c>
      <c r="I58" s="14">
        <v>0</v>
      </c>
      <c r="J58" s="14">
        <v>0</v>
      </c>
      <c r="K58" s="15">
        <v>21.5</v>
      </c>
      <c r="L58" s="14">
        <v>530</v>
      </c>
      <c r="M58" s="14">
        <v>200</v>
      </c>
      <c r="N58" s="16">
        <v>0.37</v>
      </c>
      <c r="O58" s="15">
        <v>315</v>
      </c>
      <c r="P58" s="15">
        <v>208</v>
      </c>
    </row>
    <row r="59" spans="1:16" x14ac:dyDescent="0.3">
      <c r="A59" s="14">
        <v>58</v>
      </c>
      <c r="B59" s="4" t="s">
        <v>27</v>
      </c>
      <c r="C59" s="15">
        <v>19.5</v>
      </c>
      <c r="D59" s="14">
        <v>1590</v>
      </c>
      <c r="E59" s="14">
        <v>1200</v>
      </c>
      <c r="F59" s="17">
        <v>0.75</v>
      </c>
      <c r="G59" s="14">
        <v>190</v>
      </c>
      <c r="H59" s="14">
        <v>1272</v>
      </c>
      <c r="I59" s="14">
        <v>0</v>
      </c>
      <c r="J59" s="14">
        <v>0</v>
      </c>
      <c r="K59" s="15">
        <v>21.5</v>
      </c>
      <c r="L59" s="14">
        <v>530</v>
      </c>
      <c r="M59" s="14">
        <v>200</v>
      </c>
      <c r="N59" s="16">
        <v>0.37</v>
      </c>
      <c r="O59" s="15">
        <v>315</v>
      </c>
      <c r="P59" s="15">
        <v>210.1</v>
      </c>
    </row>
    <row r="60" spans="1:16" x14ac:dyDescent="0.3">
      <c r="A60" s="14">
        <v>59</v>
      </c>
      <c r="B60" s="4" t="s">
        <v>27</v>
      </c>
      <c r="C60" s="15">
        <v>19.5</v>
      </c>
      <c r="D60" s="14">
        <v>1590</v>
      </c>
      <c r="E60" s="14">
        <v>1200</v>
      </c>
      <c r="F60" s="17">
        <v>0.75</v>
      </c>
      <c r="G60" s="14">
        <v>190</v>
      </c>
      <c r="H60" s="14">
        <v>1272</v>
      </c>
      <c r="I60" s="14">
        <v>0</v>
      </c>
      <c r="J60" s="14">
        <v>0</v>
      </c>
      <c r="K60" s="15">
        <v>21.5</v>
      </c>
      <c r="L60" s="14">
        <v>530</v>
      </c>
      <c r="M60" s="14">
        <v>200</v>
      </c>
      <c r="N60" s="16">
        <v>0.37</v>
      </c>
      <c r="O60" s="15">
        <v>315</v>
      </c>
      <c r="P60" s="15">
        <v>206.7</v>
      </c>
    </row>
    <row r="61" spans="1:16" x14ac:dyDescent="0.3">
      <c r="A61" s="14">
        <v>60</v>
      </c>
      <c r="B61" s="4" t="s">
        <v>27</v>
      </c>
      <c r="C61" s="15">
        <v>12.4</v>
      </c>
      <c r="D61" s="14">
        <v>1590</v>
      </c>
      <c r="E61" s="14">
        <v>1200</v>
      </c>
      <c r="F61" s="17">
        <v>0.75</v>
      </c>
      <c r="G61" s="14">
        <v>190</v>
      </c>
      <c r="H61" s="14">
        <v>1280</v>
      </c>
      <c r="I61" s="14">
        <v>0</v>
      </c>
      <c r="J61" s="14">
        <v>0</v>
      </c>
      <c r="K61" s="15">
        <v>21.5</v>
      </c>
      <c r="L61" s="14">
        <v>530</v>
      </c>
      <c r="M61" s="14">
        <v>200</v>
      </c>
      <c r="N61" s="16">
        <v>0.37</v>
      </c>
      <c r="O61" s="15">
        <v>315</v>
      </c>
      <c r="P61" s="15">
        <v>212</v>
      </c>
    </row>
    <row r="62" spans="1:16" x14ac:dyDescent="0.3">
      <c r="A62" s="14">
        <v>61</v>
      </c>
      <c r="B62" s="4" t="s">
        <v>27</v>
      </c>
      <c r="C62" s="15">
        <v>14.2</v>
      </c>
      <c r="D62" s="14">
        <v>1590</v>
      </c>
      <c r="E62" s="14">
        <v>1200</v>
      </c>
      <c r="F62" s="16">
        <v>0.75</v>
      </c>
      <c r="G62" s="14">
        <v>190</v>
      </c>
      <c r="H62" s="14">
        <v>1272</v>
      </c>
      <c r="I62" s="14">
        <v>0</v>
      </c>
      <c r="J62" s="14">
        <v>0</v>
      </c>
      <c r="K62" s="15">
        <v>21.5</v>
      </c>
      <c r="L62" s="14">
        <v>530</v>
      </c>
      <c r="M62" s="14">
        <v>200</v>
      </c>
      <c r="N62" s="16">
        <v>0.5</v>
      </c>
      <c r="O62" s="15">
        <v>608</v>
      </c>
      <c r="P62" s="15">
        <v>350.7</v>
      </c>
    </row>
    <row r="63" spans="1:16" x14ac:dyDescent="0.3">
      <c r="A63" s="14">
        <v>62</v>
      </c>
      <c r="B63" s="4" t="s">
        <v>27</v>
      </c>
      <c r="C63" s="15">
        <v>14.2</v>
      </c>
      <c r="D63" s="14">
        <v>1590</v>
      </c>
      <c r="E63" s="14">
        <v>1200</v>
      </c>
      <c r="F63" s="16">
        <v>0.75</v>
      </c>
      <c r="G63" s="14">
        <v>190</v>
      </c>
      <c r="H63" s="14">
        <v>1272</v>
      </c>
      <c r="I63" s="14">
        <v>0</v>
      </c>
      <c r="J63" s="14">
        <v>0</v>
      </c>
      <c r="K63" s="15">
        <v>21.5</v>
      </c>
      <c r="L63" s="14">
        <v>530</v>
      </c>
      <c r="M63" s="14">
        <v>200</v>
      </c>
      <c r="N63" s="16">
        <v>0.5</v>
      </c>
      <c r="O63" s="15">
        <v>608</v>
      </c>
      <c r="P63" s="15">
        <v>323.10000000000002</v>
      </c>
    </row>
    <row r="64" spans="1:16" x14ac:dyDescent="0.3">
      <c r="A64" s="14">
        <v>63</v>
      </c>
      <c r="B64" s="4" t="s">
        <v>27</v>
      </c>
      <c r="C64" s="15">
        <v>14.2</v>
      </c>
      <c r="D64" s="14">
        <v>1590</v>
      </c>
      <c r="E64" s="14">
        <v>1200</v>
      </c>
      <c r="F64" s="16">
        <v>0.75</v>
      </c>
      <c r="G64" s="14">
        <v>190</v>
      </c>
      <c r="H64" s="14">
        <v>1272</v>
      </c>
      <c r="I64" s="14">
        <v>0</v>
      </c>
      <c r="J64" s="14">
        <v>0</v>
      </c>
      <c r="K64" s="15">
        <v>21.5</v>
      </c>
      <c r="L64" s="14">
        <v>530</v>
      </c>
      <c r="M64" s="14">
        <v>200</v>
      </c>
      <c r="N64" s="16">
        <v>0.5</v>
      </c>
      <c r="O64" s="15">
        <v>608</v>
      </c>
      <c r="P64" s="15">
        <v>339.2</v>
      </c>
    </row>
    <row r="65" spans="1:16" x14ac:dyDescent="0.3">
      <c r="A65" s="14">
        <v>64</v>
      </c>
      <c r="B65" s="4" t="s">
        <v>27</v>
      </c>
      <c r="C65" s="15">
        <v>14.2</v>
      </c>
      <c r="D65" s="14">
        <v>1590</v>
      </c>
      <c r="E65" s="14">
        <v>1200</v>
      </c>
      <c r="F65" s="16">
        <v>0.75</v>
      </c>
      <c r="G65" s="14">
        <v>190</v>
      </c>
      <c r="H65" s="14">
        <v>1272</v>
      </c>
      <c r="I65" s="14">
        <v>0</v>
      </c>
      <c r="J65" s="14">
        <v>0</v>
      </c>
      <c r="K65" s="15">
        <v>21.5</v>
      </c>
      <c r="L65" s="14">
        <v>530</v>
      </c>
      <c r="M65" s="14">
        <v>200</v>
      </c>
      <c r="N65" s="16">
        <v>0.5</v>
      </c>
      <c r="O65" s="15">
        <v>608</v>
      </c>
      <c r="P65" s="15">
        <v>320.39999999999998</v>
      </c>
    </row>
    <row r="66" spans="1:16" x14ac:dyDescent="0.3">
      <c r="A66" s="14">
        <v>65</v>
      </c>
      <c r="B66" s="4" t="s">
        <v>27</v>
      </c>
      <c r="C66" s="15">
        <v>14.2</v>
      </c>
      <c r="D66" s="14">
        <v>1590</v>
      </c>
      <c r="E66" s="14">
        <v>1200</v>
      </c>
      <c r="F66" s="16">
        <v>0.75</v>
      </c>
      <c r="G66" s="14">
        <v>190</v>
      </c>
      <c r="H66" s="14">
        <v>1272</v>
      </c>
      <c r="I66" s="14">
        <v>0</v>
      </c>
      <c r="J66" s="14">
        <v>0</v>
      </c>
      <c r="K66" s="15">
        <v>21.5</v>
      </c>
      <c r="L66" s="14">
        <v>530</v>
      </c>
      <c r="M66" s="14">
        <v>200</v>
      </c>
      <c r="N66" s="16">
        <v>0.5</v>
      </c>
      <c r="O66" s="15">
        <v>608</v>
      </c>
      <c r="P66" s="15">
        <v>334.6</v>
      </c>
    </row>
    <row r="67" spans="1:16" x14ac:dyDescent="0.3">
      <c r="A67" s="14">
        <v>66</v>
      </c>
      <c r="B67" s="4" t="s">
        <v>27</v>
      </c>
      <c r="C67" s="15">
        <v>14.2</v>
      </c>
      <c r="D67" s="14">
        <v>1590</v>
      </c>
      <c r="E67" s="14">
        <v>1200</v>
      </c>
      <c r="F67" s="16">
        <v>0.75</v>
      </c>
      <c r="G67" s="14">
        <v>190</v>
      </c>
      <c r="H67" s="14">
        <v>1272</v>
      </c>
      <c r="I67" s="14">
        <v>0</v>
      </c>
      <c r="J67" s="14">
        <v>0</v>
      </c>
      <c r="K67" s="15">
        <v>21.5</v>
      </c>
      <c r="L67" s="14">
        <v>530</v>
      </c>
      <c r="M67" s="14">
        <v>200</v>
      </c>
      <c r="N67" s="16">
        <v>0.5</v>
      </c>
      <c r="O67" s="15">
        <v>608</v>
      </c>
      <c r="P67" s="15">
        <v>333.2</v>
      </c>
    </row>
    <row r="68" spans="1:16" hidden="1" x14ac:dyDescent="0.3">
      <c r="A68" s="18">
        <v>67</v>
      </c>
      <c r="B68" s="31" t="s">
        <v>28</v>
      </c>
      <c r="C68" s="19">
        <v>17.600000000000001</v>
      </c>
      <c r="D68" s="18">
        <v>1800</v>
      </c>
      <c r="E68" s="18">
        <v>1800</v>
      </c>
      <c r="F68" s="20">
        <v>1</v>
      </c>
      <c r="G68" s="18">
        <v>140</v>
      </c>
      <c r="H68" s="18">
        <v>1440</v>
      </c>
      <c r="I68" s="18">
        <v>1570</v>
      </c>
      <c r="J68" s="18">
        <v>318</v>
      </c>
      <c r="K68" s="19">
        <v>28.3</v>
      </c>
      <c r="L68" s="18">
        <v>325</v>
      </c>
      <c r="M68" s="18">
        <v>400</v>
      </c>
      <c r="N68" s="19">
        <v>1</v>
      </c>
      <c r="O68" s="18">
        <v>0</v>
      </c>
      <c r="P68" s="19">
        <v>215</v>
      </c>
    </row>
    <row r="69" spans="1:16" hidden="1" x14ac:dyDescent="0.3">
      <c r="A69" s="18">
        <v>68</v>
      </c>
      <c r="B69" s="31" t="s">
        <v>28</v>
      </c>
      <c r="C69" s="19">
        <v>17.600000000000001</v>
      </c>
      <c r="D69" s="18">
        <v>1800</v>
      </c>
      <c r="E69" s="18">
        <v>1800</v>
      </c>
      <c r="F69" s="20">
        <v>1</v>
      </c>
      <c r="G69" s="18">
        <v>140</v>
      </c>
      <c r="H69" s="18">
        <v>1440</v>
      </c>
      <c r="I69" s="18">
        <v>1570</v>
      </c>
      <c r="J69" s="18">
        <v>318</v>
      </c>
      <c r="K69" s="19">
        <v>28.3</v>
      </c>
      <c r="L69" s="18">
        <v>325</v>
      </c>
      <c r="M69" s="18">
        <v>1800</v>
      </c>
      <c r="N69" s="19">
        <v>1</v>
      </c>
      <c r="O69" s="18">
        <v>0</v>
      </c>
      <c r="P69" s="19">
        <v>195</v>
      </c>
    </row>
    <row r="70" spans="1:16" hidden="1" x14ac:dyDescent="0.3">
      <c r="A70" s="18">
        <v>69</v>
      </c>
      <c r="B70" s="31" t="s">
        <v>28</v>
      </c>
      <c r="C70" s="18">
        <v>17</v>
      </c>
      <c r="D70" s="18">
        <v>1800</v>
      </c>
      <c r="E70" s="18">
        <v>1800</v>
      </c>
      <c r="F70" s="20">
        <v>1</v>
      </c>
      <c r="G70" s="18">
        <v>140</v>
      </c>
      <c r="H70" s="18">
        <v>1440</v>
      </c>
      <c r="I70" s="18">
        <v>1570</v>
      </c>
      <c r="J70" s="18">
        <v>318</v>
      </c>
      <c r="K70" s="19">
        <v>78.5</v>
      </c>
      <c r="L70" s="18">
        <v>320</v>
      </c>
      <c r="M70" s="18">
        <v>400</v>
      </c>
      <c r="N70" s="19">
        <v>1</v>
      </c>
      <c r="O70" s="18">
        <v>0</v>
      </c>
      <c r="P70" s="19">
        <v>215</v>
      </c>
    </row>
    <row r="71" spans="1:16" hidden="1" x14ac:dyDescent="0.3">
      <c r="A71" s="18">
        <v>70</v>
      </c>
      <c r="B71" s="31" t="s">
        <v>28</v>
      </c>
      <c r="C71" s="18">
        <v>17</v>
      </c>
      <c r="D71" s="18">
        <v>1800</v>
      </c>
      <c r="E71" s="18">
        <v>1800</v>
      </c>
      <c r="F71" s="20">
        <v>1</v>
      </c>
      <c r="G71" s="18">
        <v>140</v>
      </c>
      <c r="H71" s="18">
        <v>1440</v>
      </c>
      <c r="I71" s="18">
        <v>1570</v>
      </c>
      <c r="J71" s="18">
        <v>318</v>
      </c>
      <c r="K71" s="19">
        <v>78.5</v>
      </c>
      <c r="L71" s="18">
        <v>320</v>
      </c>
      <c r="M71" s="18">
        <v>900</v>
      </c>
      <c r="N71" s="19">
        <v>1</v>
      </c>
      <c r="O71" s="18">
        <v>0</v>
      </c>
      <c r="P71" s="19">
        <v>223</v>
      </c>
    </row>
    <row r="72" spans="1:16" x14ac:dyDescent="0.3">
      <c r="A72" s="18">
        <v>71</v>
      </c>
      <c r="B72" s="31" t="s">
        <v>28</v>
      </c>
      <c r="C72" s="19">
        <v>18.5</v>
      </c>
      <c r="D72" s="18">
        <v>1800</v>
      </c>
      <c r="E72" s="18">
        <v>1800</v>
      </c>
      <c r="F72" s="20">
        <v>1</v>
      </c>
      <c r="G72" s="18">
        <v>140</v>
      </c>
      <c r="H72" s="18">
        <v>1440</v>
      </c>
      <c r="I72" s="18">
        <v>1570</v>
      </c>
      <c r="J72" s="18">
        <v>318</v>
      </c>
      <c r="K72" s="18">
        <v>0</v>
      </c>
      <c r="L72" s="18">
        <v>0</v>
      </c>
      <c r="M72" s="20">
        <v>0</v>
      </c>
      <c r="N72" s="19">
        <v>0.5</v>
      </c>
      <c r="O72" s="18">
        <v>0</v>
      </c>
      <c r="P72" s="19">
        <v>143</v>
      </c>
    </row>
    <row r="73" spans="1:16" x14ac:dyDescent="0.3">
      <c r="A73" s="18">
        <v>72</v>
      </c>
      <c r="B73" s="31" t="s">
        <v>28</v>
      </c>
      <c r="C73" s="19">
        <v>18.5</v>
      </c>
      <c r="D73" s="18">
        <v>1800</v>
      </c>
      <c r="E73" s="18">
        <v>1800</v>
      </c>
      <c r="F73" s="20">
        <v>1</v>
      </c>
      <c r="G73" s="18">
        <v>140</v>
      </c>
      <c r="H73" s="18">
        <v>1440</v>
      </c>
      <c r="I73" s="18">
        <v>942</v>
      </c>
      <c r="J73" s="18">
        <v>318</v>
      </c>
      <c r="K73" s="18">
        <v>0</v>
      </c>
      <c r="L73" s="18">
        <v>0</v>
      </c>
      <c r="M73" s="20">
        <v>0</v>
      </c>
      <c r="N73" s="19">
        <v>0.5</v>
      </c>
      <c r="O73" s="18">
        <v>0</v>
      </c>
      <c r="P73" s="19">
        <v>93</v>
      </c>
    </row>
    <row r="74" spans="1:16" hidden="1" x14ac:dyDescent="0.3">
      <c r="A74" s="18">
        <v>73</v>
      </c>
      <c r="B74" s="31" t="s">
        <v>28</v>
      </c>
      <c r="C74" s="19">
        <v>18.8</v>
      </c>
      <c r="D74" s="18">
        <v>1800</v>
      </c>
      <c r="E74" s="18">
        <v>1800</v>
      </c>
      <c r="F74" s="20">
        <v>1</v>
      </c>
      <c r="G74" s="18">
        <v>140</v>
      </c>
      <c r="H74" s="18">
        <v>1440</v>
      </c>
      <c r="I74" s="18">
        <v>1570</v>
      </c>
      <c r="J74" s="18">
        <v>318</v>
      </c>
      <c r="K74" s="19">
        <v>28.3</v>
      </c>
      <c r="L74" s="18">
        <v>325</v>
      </c>
      <c r="M74" s="18">
        <v>400</v>
      </c>
      <c r="N74" s="19">
        <v>1</v>
      </c>
      <c r="O74" s="19">
        <v>126</v>
      </c>
      <c r="P74" s="19">
        <v>263</v>
      </c>
    </row>
    <row r="75" spans="1:16" hidden="1" x14ac:dyDescent="0.3">
      <c r="A75" s="18">
        <v>74</v>
      </c>
      <c r="B75" s="31" t="s">
        <v>28</v>
      </c>
      <c r="C75" s="19">
        <v>18.8</v>
      </c>
      <c r="D75" s="18">
        <v>1800</v>
      </c>
      <c r="E75" s="18">
        <v>1800</v>
      </c>
      <c r="F75" s="20">
        <v>1</v>
      </c>
      <c r="G75" s="18">
        <v>140</v>
      </c>
      <c r="H75" s="18">
        <v>1440</v>
      </c>
      <c r="I75" s="18">
        <v>1570</v>
      </c>
      <c r="J75" s="18">
        <v>318</v>
      </c>
      <c r="K75" s="19">
        <v>28.3</v>
      </c>
      <c r="L75" s="18">
        <v>325</v>
      </c>
      <c r="M75" s="18">
        <v>400</v>
      </c>
      <c r="N75" s="19">
        <v>1</v>
      </c>
      <c r="O75" s="19">
        <v>63</v>
      </c>
      <c r="P75" s="19">
        <v>244</v>
      </c>
    </row>
    <row r="76" spans="1:16" hidden="1" x14ac:dyDescent="0.3">
      <c r="A76" s="18">
        <v>75</v>
      </c>
      <c r="B76" s="31" t="s">
        <v>28</v>
      </c>
      <c r="C76" s="19">
        <v>24.3</v>
      </c>
      <c r="D76" s="18">
        <v>1800</v>
      </c>
      <c r="E76" s="18">
        <v>3600</v>
      </c>
      <c r="F76" s="20">
        <v>2</v>
      </c>
      <c r="G76" s="18">
        <v>140</v>
      </c>
      <c r="H76" s="18">
        <v>1440</v>
      </c>
      <c r="I76" s="18">
        <v>2454</v>
      </c>
      <c r="J76" s="18">
        <v>318</v>
      </c>
      <c r="K76" s="19">
        <v>28.3</v>
      </c>
      <c r="L76" s="18">
        <v>325</v>
      </c>
      <c r="M76" s="18">
        <v>400</v>
      </c>
      <c r="N76" s="19">
        <v>1</v>
      </c>
      <c r="O76" s="19">
        <v>63</v>
      </c>
      <c r="P76" s="19">
        <v>207</v>
      </c>
    </row>
    <row r="77" spans="1:16" hidden="1" x14ac:dyDescent="0.3">
      <c r="A77" s="18">
        <v>76</v>
      </c>
      <c r="B77" s="31" t="s">
        <v>28</v>
      </c>
      <c r="C77" s="19">
        <v>24.3</v>
      </c>
      <c r="D77" s="18">
        <v>3000</v>
      </c>
      <c r="E77" s="18">
        <v>1800</v>
      </c>
      <c r="F77" s="20">
        <v>0.6</v>
      </c>
      <c r="G77" s="18">
        <v>140</v>
      </c>
      <c r="H77" s="18">
        <v>2400</v>
      </c>
      <c r="I77" s="18">
        <v>2513</v>
      </c>
      <c r="J77" s="18">
        <v>318</v>
      </c>
      <c r="K77" s="19">
        <v>28.3</v>
      </c>
      <c r="L77" s="18">
        <v>325</v>
      </c>
      <c r="M77" s="18">
        <v>400</v>
      </c>
      <c r="N77" s="19">
        <v>1</v>
      </c>
      <c r="O77" s="19">
        <v>63</v>
      </c>
      <c r="P77" s="19">
        <v>598</v>
      </c>
    </row>
    <row r="78" spans="1:16" x14ac:dyDescent="0.3">
      <c r="A78" s="14">
        <v>77</v>
      </c>
      <c r="B78" s="4" t="s">
        <v>29</v>
      </c>
      <c r="C78" s="15">
        <v>15.5</v>
      </c>
      <c r="D78" s="14">
        <v>2845</v>
      </c>
      <c r="E78" s="14">
        <v>1422</v>
      </c>
      <c r="F78" s="16">
        <v>0.5</v>
      </c>
      <c r="G78" s="14">
        <v>195</v>
      </c>
      <c r="H78" s="14">
        <v>2276</v>
      </c>
      <c r="I78" s="14">
        <v>1135</v>
      </c>
      <c r="J78" s="14">
        <v>414</v>
      </c>
      <c r="K78" s="15">
        <v>22.2</v>
      </c>
      <c r="L78" s="14">
        <v>483</v>
      </c>
      <c r="M78" s="14">
        <v>200</v>
      </c>
      <c r="N78" s="15">
        <v>0.4</v>
      </c>
      <c r="O78" s="15">
        <v>265</v>
      </c>
      <c r="P78" s="15">
        <v>261.3</v>
      </c>
    </row>
    <row r="79" spans="1:16" x14ac:dyDescent="0.3">
      <c r="A79" s="14">
        <v>78</v>
      </c>
      <c r="B79" s="4" t="s">
        <v>29</v>
      </c>
      <c r="C79" s="15">
        <v>15.5</v>
      </c>
      <c r="D79" s="14">
        <v>2032</v>
      </c>
      <c r="E79" s="14">
        <v>1422</v>
      </c>
      <c r="F79" s="16">
        <v>0.7</v>
      </c>
      <c r="G79" s="14">
        <v>195</v>
      </c>
      <c r="H79" s="14">
        <v>1626</v>
      </c>
      <c r="I79" s="14">
        <v>1135</v>
      </c>
      <c r="J79" s="14">
        <v>414</v>
      </c>
      <c r="K79" s="15">
        <v>22.2</v>
      </c>
      <c r="L79" s="14">
        <v>483</v>
      </c>
      <c r="M79" s="14">
        <v>200</v>
      </c>
      <c r="N79" s="15">
        <v>0.4</v>
      </c>
      <c r="O79" s="15">
        <v>185.4</v>
      </c>
      <c r="P79" s="15">
        <v>253.5</v>
      </c>
    </row>
    <row r="80" spans="1:16" x14ac:dyDescent="0.3">
      <c r="A80" s="14">
        <v>79</v>
      </c>
      <c r="B80" s="4" t="s">
        <v>29</v>
      </c>
      <c r="C80" s="15">
        <v>15.5</v>
      </c>
      <c r="D80" s="14">
        <v>1422</v>
      </c>
      <c r="E80" s="14">
        <v>1422</v>
      </c>
      <c r="F80" s="16">
        <v>1</v>
      </c>
      <c r="G80" s="14">
        <v>195</v>
      </c>
      <c r="H80" s="14">
        <v>1138</v>
      </c>
      <c r="I80" s="14">
        <v>1135</v>
      </c>
      <c r="J80" s="14">
        <v>414</v>
      </c>
      <c r="K80" s="15">
        <v>22.2</v>
      </c>
      <c r="L80" s="14">
        <v>483</v>
      </c>
      <c r="M80" s="14">
        <v>200</v>
      </c>
      <c r="N80" s="15">
        <v>0.4</v>
      </c>
      <c r="O80" s="15">
        <v>130.19999999999999</v>
      </c>
      <c r="P80" s="15">
        <v>175.9</v>
      </c>
    </row>
    <row r="81" spans="1:16" x14ac:dyDescent="0.3">
      <c r="A81" s="14">
        <v>80</v>
      </c>
      <c r="B81" s="4" t="s">
        <v>29</v>
      </c>
      <c r="C81" s="21">
        <v>15.5</v>
      </c>
      <c r="D81" s="22">
        <v>2845</v>
      </c>
      <c r="E81" s="22">
        <v>1422</v>
      </c>
      <c r="F81" s="23">
        <v>0.5</v>
      </c>
      <c r="G81" s="22">
        <v>195</v>
      </c>
      <c r="H81" s="22">
        <v>2276</v>
      </c>
      <c r="I81" s="22">
        <v>1135</v>
      </c>
      <c r="J81" s="22">
        <v>414</v>
      </c>
      <c r="K81" s="21">
        <v>43.5</v>
      </c>
      <c r="L81" s="22">
        <v>483</v>
      </c>
      <c r="M81" s="22">
        <v>200</v>
      </c>
      <c r="N81" s="21">
        <v>0.4</v>
      </c>
      <c r="O81" s="21">
        <v>265.5</v>
      </c>
      <c r="P81" s="21">
        <v>243.4</v>
      </c>
    </row>
    <row r="82" spans="1:16" x14ac:dyDescent="0.3">
      <c r="A82" s="18">
        <v>81</v>
      </c>
      <c r="B82" s="4" t="s">
        <v>29</v>
      </c>
      <c r="C82" s="24">
        <v>15.5</v>
      </c>
      <c r="D82" s="25">
        <v>2032</v>
      </c>
      <c r="E82" s="25">
        <v>1422</v>
      </c>
      <c r="F82" s="26">
        <v>0.7</v>
      </c>
      <c r="G82" s="25">
        <v>195</v>
      </c>
      <c r="H82" s="25">
        <v>1626</v>
      </c>
      <c r="I82" s="25">
        <v>1135</v>
      </c>
      <c r="J82" s="25">
        <v>414</v>
      </c>
      <c r="K82" s="24">
        <v>43.5</v>
      </c>
      <c r="L82" s="25">
        <v>483</v>
      </c>
      <c r="M82" s="25">
        <v>200</v>
      </c>
      <c r="N82" s="24">
        <v>0.4</v>
      </c>
      <c r="O82" s="24">
        <v>187.6</v>
      </c>
      <c r="P82" s="24">
        <v>270.3</v>
      </c>
    </row>
    <row r="83" spans="1:16" x14ac:dyDescent="0.3">
      <c r="A83" s="18">
        <v>82</v>
      </c>
      <c r="B83" s="4" t="s">
        <v>29</v>
      </c>
      <c r="C83" s="24">
        <v>15.5</v>
      </c>
      <c r="D83" s="25">
        <v>1422</v>
      </c>
      <c r="E83" s="25">
        <v>1422</v>
      </c>
      <c r="F83" s="26">
        <v>1</v>
      </c>
      <c r="G83" s="25">
        <v>195</v>
      </c>
      <c r="H83" s="25">
        <v>1138</v>
      </c>
      <c r="I83" s="25">
        <v>1135</v>
      </c>
      <c r="J83" s="25">
        <v>414</v>
      </c>
      <c r="K83" s="24">
        <v>43.5</v>
      </c>
      <c r="L83" s="25">
        <v>483</v>
      </c>
      <c r="M83" s="25">
        <v>200</v>
      </c>
      <c r="N83" s="24">
        <v>0.4</v>
      </c>
      <c r="O83" s="24">
        <v>133.19999999999999</v>
      </c>
      <c r="P83" s="24">
        <v>211.3</v>
      </c>
    </row>
    <row r="84" spans="1:16" hidden="1" x14ac:dyDescent="0.3">
      <c r="A84" s="14">
        <v>83</v>
      </c>
      <c r="B84" s="4" t="s">
        <v>30</v>
      </c>
      <c r="C84" s="15">
        <v>21.8</v>
      </c>
      <c r="D84" s="14">
        <v>1590</v>
      </c>
      <c r="E84" s="14">
        <v>1800</v>
      </c>
      <c r="F84" s="16">
        <v>1.1299999999999999</v>
      </c>
      <c r="G84" s="14">
        <v>150</v>
      </c>
      <c r="H84" s="14">
        <v>1272</v>
      </c>
      <c r="I84" s="14">
        <v>2030</v>
      </c>
      <c r="J84" s="14">
        <v>385</v>
      </c>
      <c r="K84" s="15">
        <v>70.8</v>
      </c>
      <c r="L84" s="14">
        <v>385</v>
      </c>
      <c r="M84" s="14">
        <v>400</v>
      </c>
      <c r="N84" s="15">
        <v>1</v>
      </c>
      <c r="O84" s="15">
        <v>116.9</v>
      </c>
      <c r="P84" s="15">
        <v>381.6</v>
      </c>
    </row>
    <row r="85" spans="1:16" hidden="1" x14ac:dyDescent="0.3">
      <c r="A85" s="14">
        <v>84</v>
      </c>
      <c r="B85" s="4" t="s">
        <v>30</v>
      </c>
      <c r="C85" s="15">
        <v>21.8</v>
      </c>
      <c r="D85" s="14">
        <v>1190</v>
      </c>
      <c r="E85" s="14">
        <v>1800</v>
      </c>
      <c r="F85" s="16">
        <v>1.51</v>
      </c>
      <c r="G85" s="14">
        <v>150</v>
      </c>
      <c r="H85" s="14">
        <v>952</v>
      </c>
      <c r="I85" s="14">
        <v>1548</v>
      </c>
      <c r="J85" s="14">
        <v>385</v>
      </c>
      <c r="K85" s="15">
        <v>70.8</v>
      </c>
      <c r="L85" s="14">
        <v>385</v>
      </c>
      <c r="M85" s="14">
        <v>400</v>
      </c>
      <c r="N85" s="15">
        <v>1</v>
      </c>
      <c r="O85" s="15">
        <v>87.5</v>
      </c>
      <c r="P85" s="15">
        <v>219.6</v>
      </c>
    </row>
    <row r="86" spans="1:16" hidden="1" x14ac:dyDescent="0.3">
      <c r="A86" s="14">
        <v>85</v>
      </c>
      <c r="B86" s="4" t="s">
        <v>30</v>
      </c>
      <c r="C86" s="15">
        <v>21.8</v>
      </c>
      <c r="D86" s="14">
        <v>1190</v>
      </c>
      <c r="E86" s="14">
        <v>1800</v>
      </c>
      <c r="F86" s="16">
        <v>1.51</v>
      </c>
      <c r="G86" s="14">
        <v>150</v>
      </c>
      <c r="H86" s="14">
        <v>952</v>
      </c>
      <c r="I86" s="14">
        <v>1548</v>
      </c>
      <c r="J86" s="14">
        <v>385</v>
      </c>
      <c r="K86" s="15">
        <v>70.8</v>
      </c>
      <c r="L86" s="14">
        <v>385</v>
      </c>
      <c r="M86" s="14">
        <v>400</v>
      </c>
      <c r="N86" s="15">
        <v>1</v>
      </c>
      <c r="O86" s="15">
        <v>87.5</v>
      </c>
      <c r="P86" s="15">
        <v>246.3</v>
      </c>
    </row>
    <row r="87" spans="1:16" hidden="1" x14ac:dyDescent="0.3">
      <c r="A87" s="14">
        <v>86</v>
      </c>
      <c r="B87" s="4" t="s">
        <v>30</v>
      </c>
      <c r="C87" s="15">
        <v>22.3</v>
      </c>
      <c r="D87" s="14">
        <v>1190</v>
      </c>
      <c r="E87" s="14">
        <v>1800</v>
      </c>
      <c r="F87" s="16">
        <v>1.51</v>
      </c>
      <c r="G87" s="14">
        <v>190</v>
      </c>
      <c r="H87" s="14">
        <v>952</v>
      </c>
      <c r="I87" s="14">
        <v>1148</v>
      </c>
      <c r="J87" s="14">
        <v>385</v>
      </c>
      <c r="K87" s="14">
        <v>0</v>
      </c>
      <c r="L87" s="14">
        <v>0</v>
      </c>
      <c r="M87" s="14">
        <v>0</v>
      </c>
      <c r="N87" s="15">
        <v>1</v>
      </c>
      <c r="O87" s="15">
        <v>443.2</v>
      </c>
      <c r="P87" s="15">
        <v>266.8</v>
      </c>
    </row>
    <row r="88" spans="1:16" hidden="1" x14ac:dyDescent="0.3">
      <c r="A88" s="14">
        <v>87</v>
      </c>
      <c r="B88" s="4" t="s">
        <v>30</v>
      </c>
      <c r="C88" s="15">
        <v>22.3</v>
      </c>
      <c r="D88" s="14">
        <v>1190</v>
      </c>
      <c r="E88" s="14">
        <v>1800</v>
      </c>
      <c r="F88" s="16">
        <v>1.51</v>
      </c>
      <c r="G88" s="14">
        <v>190</v>
      </c>
      <c r="H88" s="14">
        <v>952</v>
      </c>
      <c r="I88" s="14">
        <v>1148</v>
      </c>
      <c r="J88" s="14">
        <v>385</v>
      </c>
      <c r="K88" s="15">
        <v>126.9</v>
      </c>
      <c r="L88" s="14">
        <v>385</v>
      </c>
      <c r="M88" s="14">
        <v>400</v>
      </c>
      <c r="N88" s="15">
        <v>1</v>
      </c>
      <c r="O88" s="15">
        <v>443.2</v>
      </c>
      <c r="P88" s="15">
        <v>427.3</v>
      </c>
    </row>
    <row r="89" spans="1:16" hidden="1" x14ac:dyDescent="0.3">
      <c r="A89" s="14">
        <v>88</v>
      </c>
      <c r="B89" s="4" t="s">
        <v>30</v>
      </c>
      <c r="C89" s="15">
        <v>22.3</v>
      </c>
      <c r="D89" s="14">
        <v>1190</v>
      </c>
      <c r="E89" s="14">
        <v>1800</v>
      </c>
      <c r="F89" s="16">
        <v>1.51</v>
      </c>
      <c r="G89" s="14">
        <v>190</v>
      </c>
      <c r="H89" s="14">
        <v>952</v>
      </c>
      <c r="I89" s="14">
        <v>1148</v>
      </c>
      <c r="J89" s="14">
        <v>385</v>
      </c>
      <c r="K89" s="15">
        <v>253.8</v>
      </c>
      <c r="L89" s="14">
        <v>385</v>
      </c>
      <c r="M89" s="14">
        <v>400</v>
      </c>
      <c r="N89" s="15">
        <v>1</v>
      </c>
      <c r="O89" s="15">
        <v>443.2</v>
      </c>
      <c r="P89" s="15">
        <v>490.6</v>
      </c>
    </row>
    <row r="90" spans="1:16" hidden="1" x14ac:dyDescent="0.3">
      <c r="A90" s="14">
        <v>89</v>
      </c>
      <c r="B90" s="4" t="s">
        <v>30</v>
      </c>
      <c r="C90" s="15">
        <v>22.3</v>
      </c>
      <c r="D90" s="14">
        <v>1190</v>
      </c>
      <c r="E90" s="14">
        <v>1800</v>
      </c>
      <c r="F90" s="16">
        <v>1.51</v>
      </c>
      <c r="G90" s="14">
        <v>190</v>
      </c>
      <c r="H90" s="14">
        <v>952</v>
      </c>
      <c r="I90" s="14">
        <v>2026</v>
      </c>
      <c r="J90" s="14">
        <v>385</v>
      </c>
      <c r="K90" s="15">
        <v>253.8</v>
      </c>
      <c r="L90" s="14">
        <v>385</v>
      </c>
      <c r="M90" s="14">
        <v>400</v>
      </c>
      <c r="N90" s="15">
        <v>1</v>
      </c>
      <c r="O90" s="15">
        <v>443.2</v>
      </c>
      <c r="P90" s="15">
        <v>492.9</v>
      </c>
    </row>
    <row r="91" spans="1:16" hidden="1" x14ac:dyDescent="0.3">
      <c r="A91" s="14">
        <v>90</v>
      </c>
      <c r="B91" s="4" t="s">
        <v>30</v>
      </c>
      <c r="C91" s="15">
        <v>22.3</v>
      </c>
      <c r="D91" s="14">
        <v>1190</v>
      </c>
      <c r="E91" s="14">
        <v>1800</v>
      </c>
      <c r="F91" s="16">
        <v>1.51</v>
      </c>
      <c r="G91" s="14">
        <v>190</v>
      </c>
      <c r="H91" s="14">
        <v>952</v>
      </c>
      <c r="I91" s="14">
        <v>2026</v>
      </c>
      <c r="J91" s="14">
        <v>385</v>
      </c>
      <c r="K91" s="15">
        <v>507.7</v>
      </c>
      <c r="L91" s="14">
        <v>385</v>
      </c>
      <c r="M91" s="14">
        <v>400</v>
      </c>
      <c r="N91" s="15">
        <v>1</v>
      </c>
      <c r="O91" s="15">
        <v>443.2</v>
      </c>
      <c r="P91" s="15">
        <v>612.70000000000005</v>
      </c>
    </row>
    <row r="92" spans="1:16" hidden="1" x14ac:dyDescent="0.3">
      <c r="A92" s="14">
        <v>91</v>
      </c>
      <c r="B92" s="4" t="s">
        <v>30</v>
      </c>
      <c r="C92" s="14">
        <v>29</v>
      </c>
      <c r="D92" s="14">
        <v>1190</v>
      </c>
      <c r="E92" s="14">
        <v>1800</v>
      </c>
      <c r="F92" s="16">
        <v>1.51</v>
      </c>
      <c r="G92" s="14">
        <v>190</v>
      </c>
      <c r="H92" s="14">
        <v>952</v>
      </c>
      <c r="I92" s="14">
        <v>2026</v>
      </c>
      <c r="J92" s="14">
        <v>385</v>
      </c>
      <c r="K92" s="15">
        <v>253.8</v>
      </c>
      <c r="L92" s="14">
        <v>385</v>
      </c>
      <c r="M92" s="14">
        <v>400</v>
      </c>
      <c r="N92" s="15">
        <v>1</v>
      </c>
      <c r="O92" s="15">
        <v>443.2</v>
      </c>
      <c r="P92" s="15">
        <v>511</v>
      </c>
    </row>
    <row r="93" spans="1:16" hidden="1" x14ac:dyDescent="0.3">
      <c r="A93" s="14">
        <v>92</v>
      </c>
      <c r="B93" s="4" t="s">
        <v>30</v>
      </c>
      <c r="C93" s="15">
        <v>26.1</v>
      </c>
      <c r="D93" s="14">
        <v>1190</v>
      </c>
      <c r="E93" s="14">
        <v>1800</v>
      </c>
      <c r="F93" s="16">
        <v>1.51</v>
      </c>
      <c r="G93" s="14">
        <v>190</v>
      </c>
      <c r="H93" s="14">
        <v>952</v>
      </c>
      <c r="I93" s="14">
        <v>2026</v>
      </c>
      <c r="J93" s="14">
        <v>385</v>
      </c>
      <c r="K93" s="15">
        <v>253.8</v>
      </c>
      <c r="L93" s="14">
        <v>385</v>
      </c>
      <c r="M93" s="14">
        <v>400</v>
      </c>
      <c r="N93" s="15">
        <v>1</v>
      </c>
      <c r="O93" s="15">
        <v>443.2</v>
      </c>
      <c r="P93" s="15">
        <v>465.8</v>
      </c>
    </row>
    <row r="94" spans="1:16" hidden="1" x14ac:dyDescent="0.3">
      <c r="A94" s="14">
        <v>93</v>
      </c>
      <c r="B94" s="4" t="s">
        <v>30</v>
      </c>
      <c r="C94" s="15">
        <v>27.4</v>
      </c>
      <c r="D94" s="14">
        <v>1190</v>
      </c>
      <c r="E94" s="14">
        <v>1800</v>
      </c>
      <c r="F94" s="16">
        <v>1.51</v>
      </c>
      <c r="G94" s="14">
        <v>190</v>
      </c>
      <c r="H94" s="14">
        <v>952</v>
      </c>
      <c r="I94" s="14">
        <v>2026</v>
      </c>
      <c r="J94" s="14">
        <v>385</v>
      </c>
      <c r="K94" s="15">
        <v>304</v>
      </c>
      <c r="L94" s="14">
        <v>385</v>
      </c>
      <c r="M94" s="14">
        <v>400</v>
      </c>
      <c r="N94" s="15">
        <v>1</v>
      </c>
      <c r="O94" s="15">
        <v>443.2</v>
      </c>
      <c r="P94" s="15">
        <v>592.4</v>
      </c>
    </row>
    <row r="95" spans="1:16" hidden="1" x14ac:dyDescent="0.3">
      <c r="A95" s="14">
        <v>94</v>
      </c>
      <c r="B95" s="4" t="s">
        <v>30</v>
      </c>
      <c r="C95" s="15">
        <v>26.1</v>
      </c>
      <c r="D95" s="14">
        <v>1190</v>
      </c>
      <c r="E95" s="14">
        <v>1800</v>
      </c>
      <c r="F95" s="16">
        <v>1.51</v>
      </c>
      <c r="G95" s="14">
        <v>190</v>
      </c>
      <c r="H95" s="14">
        <v>952</v>
      </c>
      <c r="I95" s="14">
        <v>1148</v>
      </c>
      <c r="J95" s="14">
        <v>385</v>
      </c>
      <c r="K95" s="15">
        <v>253.8</v>
      </c>
      <c r="L95" s="14">
        <v>385</v>
      </c>
      <c r="M95" s="14">
        <v>400</v>
      </c>
      <c r="N95" s="15">
        <v>1</v>
      </c>
      <c r="O95" s="15">
        <v>443.2</v>
      </c>
      <c r="P95" s="15">
        <v>470.3</v>
      </c>
    </row>
    <row r="96" spans="1:16" hidden="1" x14ac:dyDescent="0.3">
      <c r="A96" s="14">
        <v>95</v>
      </c>
      <c r="B96" s="4" t="s">
        <v>30</v>
      </c>
      <c r="C96" s="15">
        <v>26.4</v>
      </c>
      <c r="D96" s="14">
        <v>1190</v>
      </c>
      <c r="E96" s="14">
        <v>1800</v>
      </c>
      <c r="F96" s="16">
        <v>1.51</v>
      </c>
      <c r="G96" s="14">
        <v>180</v>
      </c>
      <c r="H96" s="14">
        <v>952</v>
      </c>
      <c r="I96" s="14">
        <v>2026</v>
      </c>
      <c r="J96" s="14">
        <v>385</v>
      </c>
      <c r="K96" s="15">
        <v>254.2</v>
      </c>
      <c r="L96" s="14">
        <v>385</v>
      </c>
      <c r="M96" s="14">
        <v>400</v>
      </c>
      <c r="N96" s="15">
        <v>1</v>
      </c>
      <c r="O96" s="15">
        <v>419.8</v>
      </c>
      <c r="P96" s="15">
        <v>490.5</v>
      </c>
    </row>
    <row r="97" spans="1:16" hidden="1" x14ac:dyDescent="0.3">
      <c r="A97" s="14">
        <v>96</v>
      </c>
      <c r="B97" s="4" t="s">
        <v>30</v>
      </c>
      <c r="C97" s="15">
        <v>31.4</v>
      </c>
      <c r="D97" s="14">
        <v>1190</v>
      </c>
      <c r="E97" s="14">
        <v>1800</v>
      </c>
      <c r="F97" s="16">
        <v>1.51</v>
      </c>
      <c r="G97" s="14">
        <v>190</v>
      </c>
      <c r="H97" s="14">
        <v>952</v>
      </c>
      <c r="I97" s="14">
        <v>2026</v>
      </c>
      <c r="J97" s="14">
        <v>385</v>
      </c>
      <c r="K97" s="15">
        <v>253.8</v>
      </c>
      <c r="L97" s="14">
        <v>385</v>
      </c>
      <c r="M97" s="14">
        <v>400</v>
      </c>
      <c r="N97" s="15">
        <v>1</v>
      </c>
      <c r="O97" s="15">
        <v>443.2</v>
      </c>
      <c r="P97" s="15">
        <v>585.6</v>
      </c>
    </row>
    <row r="98" spans="1:16" x14ac:dyDescent="0.3">
      <c r="A98" s="14">
        <v>97</v>
      </c>
      <c r="B98" s="4" t="s">
        <v>30</v>
      </c>
      <c r="C98" s="15">
        <v>16.399999999999999</v>
      </c>
      <c r="D98" s="14">
        <v>1720</v>
      </c>
      <c r="E98" s="14">
        <v>1800</v>
      </c>
      <c r="F98" s="16">
        <v>1.05</v>
      </c>
      <c r="G98" s="14">
        <v>150</v>
      </c>
      <c r="H98" s="14">
        <v>1376</v>
      </c>
      <c r="I98" s="14">
        <v>1549</v>
      </c>
      <c r="J98" s="14">
        <v>385</v>
      </c>
      <c r="K98" s="15">
        <v>42.6</v>
      </c>
      <c r="L98" s="14">
        <v>385</v>
      </c>
      <c r="M98" s="14">
        <v>400</v>
      </c>
      <c r="N98" s="15">
        <v>0.5</v>
      </c>
      <c r="O98" s="14">
        <v>0</v>
      </c>
      <c r="P98" s="15">
        <v>108.4</v>
      </c>
    </row>
    <row r="99" spans="1:16" x14ac:dyDescent="0.3">
      <c r="A99" s="14">
        <v>98</v>
      </c>
      <c r="B99" s="4" t="s">
        <v>30</v>
      </c>
      <c r="C99" s="14">
        <v>27</v>
      </c>
      <c r="D99" s="14">
        <v>1720</v>
      </c>
      <c r="E99" s="14">
        <v>1800</v>
      </c>
      <c r="F99" s="16">
        <v>1.05</v>
      </c>
      <c r="G99" s="14">
        <v>150</v>
      </c>
      <c r="H99" s="14">
        <v>1376</v>
      </c>
      <c r="I99" s="14">
        <v>1912</v>
      </c>
      <c r="J99" s="14">
        <v>385</v>
      </c>
      <c r="K99" s="15">
        <v>42.6</v>
      </c>
      <c r="L99" s="14">
        <v>385</v>
      </c>
      <c r="M99" s="14">
        <v>400</v>
      </c>
      <c r="N99" s="15">
        <v>0.5</v>
      </c>
      <c r="O99" s="14">
        <v>0</v>
      </c>
      <c r="P99" s="15">
        <v>157.4</v>
      </c>
    </row>
    <row r="100" spans="1:16" x14ac:dyDescent="0.3">
      <c r="A100" s="14">
        <v>99</v>
      </c>
      <c r="B100" s="4" t="s">
        <v>30</v>
      </c>
      <c r="C100" s="15">
        <v>16.399999999999999</v>
      </c>
      <c r="D100" s="14">
        <v>1320</v>
      </c>
      <c r="E100" s="14">
        <v>1800</v>
      </c>
      <c r="F100" s="16">
        <v>1.36</v>
      </c>
      <c r="G100" s="14">
        <v>150</v>
      </c>
      <c r="H100" s="14">
        <v>1056</v>
      </c>
      <c r="I100" s="14">
        <v>1547</v>
      </c>
      <c r="J100" s="14">
        <v>385</v>
      </c>
      <c r="K100" s="15">
        <v>42.6</v>
      </c>
      <c r="L100" s="14">
        <v>385</v>
      </c>
      <c r="M100" s="14">
        <v>400</v>
      </c>
      <c r="N100" s="15">
        <v>0.5</v>
      </c>
      <c r="O100" s="14">
        <v>0</v>
      </c>
      <c r="P100" s="15">
        <v>87.1</v>
      </c>
    </row>
    <row r="101" spans="1:16" x14ac:dyDescent="0.3">
      <c r="A101" s="14">
        <v>100</v>
      </c>
      <c r="B101" s="4" t="s">
        <v>30</v>
      </c>
      <c r="C101" s="14">
        <v>27</v>
      </c>
      <c r="D101" s="14">
        <v>1320</v>
      </c>
      <c r="E101" s="14">
        <v>1800</v>
      </c>
      <c r="F101" s="16">
        <v>1.36</v>
      </c>
      <c r="G101" s="14">
        <v>150</v>
      </c>
      <c r="H101" s="14">
        <v>1056</v>
      </c>
      <c r="I101" s="14">
        <v>1412</v>
      </c>
      <c r="J101" s="14">
        <v>385</v>
      </c>
      <c r="K101" s="15">
        <v>42.6</v>
      </c>
      <c r="L101" s="14">
        <v>385</v>
      </c>
      <c r="M101" s="14">
        <v>400</v>
      </c>
      <c r="N101" s="15">
        <v>0.5</v>
      </c>
      <c r="O101" s="14">
        <v>0</v>
      </c>
      <c r="P101" s="15">
        <v>93.1</v>
      </c>
    </row>
    <row r="102" spans="1:16" x14ac:dyDescent="0.3">
      <c r="A102" s="14">
        <v>101</v>
      </c>
      <c r="B102" s="4" t="s">
        <v>30</v>
      </c>
      <c r="C102" s="15">
        <v>16.399999999999999</v>
      </c>
      <c r="D102" s="14">
        <v>920</v>
      </c>
      <c r="E102" s="14">
        <v>1800</v>
      </c>
      <c r="F102" s="16">
        <v>1.96</v>
      </c>
      <c r="G102" s="14">
        <v>150</v>
      </c>
      <c r="H102" s="14">
        <v>736</v>
      </c>
      <c r="I102" s="14">
        <v>1549</v>
      </c>
      <c r="J102" s="14">
        <v>385</v>
      </c>
      <c r="K102" s="15">
        <v>42.6</v>
      </c>
      <c r="L102" s="14">
        <v>385</v>
      </c>
      <c r="M102" s="14">
        <v>400</v>
      </c>
      <c r="N102" s="15">
        <v>0.5</v>
      </c>
      <c r="O102" s="14">
        <v>0</v>
      </c>
      <c r="P102" s="15">
        <v>73.099999999999994</v>
      </c>
    </row>
    <row r="103" spans="1:16" x14ac:dyDescent="0.3">
      <c r="A103" s="14">
        <v>102</v>
      </c>
      <c r="B103" s="4" t="s">
        <v>30</v>
      </c>
      <c r="C103" s="14">
        <v>27</v>
      </c>
      <c r="D103" s="14">
        <v>920</v>
      </c>
      <c r="E103" s="14">
        <v>1800</v>
      </c>
      <c r="F103" s="16">
        <v>1.96</v>
      </c>
      <c r="G103" s="14">
        <v>150</v>
      </c>
      <c r="H103" s="14">
        <v>736</v>
      </c>
      <c r="I103" s="14">
        <v>1013</v>
      </c>
      <c r="J103" s="14">
        <v>385</v>
      </c>
      <c r="K103" s="15">
        <v>42.6</v>
      </c>
      <c r="L103" s="14">
        <v>385</v>
      </c>
      <c r="M103" s="14">
        <v>400</v>
      </c>
      <c r="N103" s="15">
        <v>0.5</v>
      </c>
      <c r="O103" s="14">
        <v>0</v>
      </c>
      <c r="P103" s="15">
        <v>73.099999999999994</v>
      </c>
    </row>
    <row r="104" spans="1:16" x14ac:dyDescent="0.3">
      <c r="A104" s="14">
        <v>103</v>
      </c>
      <c r="B104" s="4" t="s">
        <v>30</v>
      </c>
      <c r="C104" s="15">
        <v>16.399999999999999</v>
      </c>
      <c r="D104" s="14">
        <v>1320</v>
      </c>
      <c r="E104" s="14">
        <v>1800</v>
      </c>
      <c r="F104" s="16">
        <v>1.36</v>
      </c>
      <c r="G104" s="14">
        <v>150</v>
      </c>
      <c r="H104" s="14">
        <v>1056</v>
      </c>
      <c r="I104" s="14">
        <v>1547</v>
      </c>
      <c r="J104" s="14">
        <v>385</v>
      </c>
      <c r="K104" s="14">
        <v>0</v>
      </c>
      <c r="L104" s="14">
        <v>0</v>
      </c>
      <c r="M104" s="14">
        <v>0</v>
      </c>
      <c r="N104" s="15">
        <v>0.5</v>
      </c>
      <c r="O104" s="14">
        <v>0</v>
      </c>
      <c r="P104" s="15">
        <v>57.4</v>
      </c>
    </row>
    <row r="105" spans="1:16" x14ac:dyDescent="0.3">
      <c r="A105" s="14">
        <v>104</v>
      </c>
      <c r="B105" s="4" t="s">
        <v>30</v>
      </c>
      <c r="C105" s="15">
        <v>16.399999999999999</v>
      </c>
      <c r="D105" s="14">
        <v>1320</v>
      </c>
      <c r="E105" s="14">
        <v>1800</v>
      </c>
      <c r="F105" s="16">
        <v>1.36</v>
      </c>
      <c r="G105" s="14">
        <v>150</v>
      </c>
      <c r="H105" s="14">
        <v>1056</v>
      </c>
      <c r="I105" s="14">
        <v>1547</v>
      </c>
      <c r="J105" s="14">
        <v>385</v>
      </c>
      <c r="K105" s="14">
        <v>0</v>
      </c>
      <c r="L105" s="14">
        <v>0</v>
      </c>
      <c r="M105" s="14">
        <v>0</v>
      </c>
      <c r="N105" s="15">
        <v>0.5</v>
      </c>
      <c r="O105" s="14">
        <v>0</v>
      </c>
      <c r="P105" s="15">
        <v>65.3</v>
      </c>
    </row>
    <row r="106" spans="1:16" x14ac:dyDescent="0.3">
      <c r="A106" s="14">
        <v>105</v>
      </c>
      <c r="B106" s="4" t="s">
        <v>30</v>
      </c>
      <c r="C106" s="15">
        <v>16.399999999999999</v>
      </c>
      <c r="D106" s="14">
        <v>1320</v>
      </c>
      <c r="E106" s="14">
        <v>1800</v>
      </c>
      <c r="F106" s="16">
        <v>1.36</v>
      </c>
      <c r="G106" s="14">
        <v>150</v>
      </c>
      <c r="H106" s="14">
        <v>1056</v>
      </c>
      <c r="I106" s="14">
        <v>1547</v>
      </c>
      <c r="J106" s="14">
        <v>385</v>
      </c>
      <c r="K106" s="15">
        <v>42.6</v>
      </c>
      <c r="L106" s="14">
        <v>385</v>
      </c>
      <c r="M106" s="14">
        <v>400</v>
      </c>
      <c r="N106" s="15">
        <v>0.5</v>
      </c>
      <c r="O106" s="14">
        <v>0</v>
      </c>
      <c r="P106" s="15">
        <v>63.4</v>
      </c>
    </row>
    <row r="107" spans="1:16" x14ac:dyDescent="0.3">
      <c r="A107" s="14">
        <v>106</v>
      </c>
      <c r="B107" s="4" t="s">
        <v>30</v>
      </c>
      <c r="C107" s="15">
        <v>16.399999999999999</v>
      </c>
      <c r="D107" s="14">
        <v>1320</v>
      </c>
      <c r="E107" s="14">
        <v>1800</v>
      </c>
      <c r="F107" s="16">
        <v>1.36</v>
      </c>
      <c r="G107" s="14">
        <v>150</v>
      </c>
      <c r="H107" s="14">
        <v>1056</v>
      </c>
      <c r="I107" s="14">
        <v>1547</v>
      </c>
      <c r="J107" s="14">
        <v>385</v>
      </c>
      <c r="K107" s="15">
        <v>88.8</v>
      </c>
      <c r="L107" s="14">
        <v>385</v>
      </c>
      <c r="M107" s="14">
        <v>400</v>
      </c>
      <c r="N107" s="15">
        <v>0.5</v>
      </c>
      <c r="O107" s="14">
        <v>0</v>
      </c>
      <c r="P107" s="15">
        <v>73.3</v>
      </c>
    </row>
    <row r="108" spans="1:16" x14ac:dyDescent="0.3">
      <c r="A108" s="14">
        <v>107</v>
      </c>
      <c r="B108" s="4" t="s">
        <v>30</v>
      </c>
      <c r="C108" s="15">
        <v>16.399999999999999</v>
      </c>
      <c r="D108" s="14">
        <v>1320</v>
      </c>
      <c r="E108" s="14">
        <v>1800</v>
      </c>
      <c r="F108" s="16">
        <v>1.36</v>
      </c>
      <c r="G108" s="14">
        <v>150</v>
      </c>
      <c r="H108" s="14">
        <v>1056</v>
      </c>
      <c r="I108" s="14">
        <v>1547</v>
      </c>
      <c r="J108" s="14">
        <v>385</v>
      </c>
      <c r="K108" s="15">
        <v>133.19999999999999</v>
      </c>
      <c r="L108" s="14">
        <v>385</v>
      </c>
      <c r="M108" s="14">
        <v>400</v>
      </c>
      <c r="N108" s="15">
        <v>0.5</v>
      </c>
      <c r="O108" s="14">
        <v>0</v>
      </c>
      <c r="P108" s="15">
        <v>89.1</v>
      </c>
    </row>
    <row r="109" spans="1:16" x14ac:dyDescent="0.3">
      <c r="A109" s="14">
        <v>108</v>
      </c>
      <c r="B109" s="4" t="s">
        <v>30</v>
      </c>
      <c r="C109" s="14">
        <v>27</v>
      </c>
      <c r="D109" s="14">
        <v>1320</v>
      </c>
      <c r="E109" s="14">
        <v>1800</v>
      </c>
      <c r="F109" s="16">
        <v>1.36</v>
      </c>
      <c r="G109" s="14">
        <v>150</v>
      </c>
      <c r="H109" s="14">
        <v>1056</v>
      </c>
      <c r="I109" s="14">
        <v>1547</v>
      </c>
      <c r="J109" s="14">
        <v>385</v>
      </c>
      <c r="K109" s="15">
        <v>42.6</v>
      </c>
      <c r="L109" s="14">
        <v>385</v>
      </c>
      <c r="M109" s="14">
        <v>400</v>
      </c>
      <c r="N109" s="15">
        <v>0.5</v>
      </c>
      <c r="O109" s="15">
        <v>97</v>
      </c>
      <c r="P109" s="15">
        <v>101</v>
      </c>
    </row>
    <row r="110" spans="1:16" x14ac:dyDescent="0.3">
      <c r="A110" s="14">
        <v>109</v>
      </c>
      <c r="B110" s="4" t="s">
        <v>30</v>
      </c>
      <c r="C110" s="14">
        <v>27</v>
      </c>
      <c r="D110" s="14">
        <v>1320</v>
      </c>
      <c r="E110" s="14">
        <v>1800</v>
      </c>
      <c r="F110" s="16">
        <v>1.36</v>
      </c>
      <c r="G110" s="14">
        <v>150</v>
      </c>
      <c r="H110" s="14">
        <v>1056</v>
      </c>
      <c r="I110" s="14">
        <v>1547</v>
      </c>
      <c r="J110" s="14">
        <v>385</v>
      </c>
      <c r="K110" s="15">
        <v>42.6</v>
      </c>
      <c r="L110" s="14">
        <v>385</v>
      </c>
      <c r="M110" s="14">
        <v>400</v>
      </c>
      <c r="N110" s="15">
        <v>0.5</v>
      </c>
      <c r="O110" s="15">
        <v>194</v>
      </c>
      <c r="P110" s="15">
        <v>136.6</v>
      </c>
    </row>
    <row r="111" spans="1:16" x14ac:dyDescent="0.3">
      <c r="A111" s="14">
        <v>110</v>
      </c>
      <c r="B111" s="4" t="s">
        <v>30</v>
      </c>
      <c r="C111" s="14">
        <v>27</v>
      </c>
      <c r="D111" s="14">
        <v>1320</v>
      </c>
      <c r="E111" s="14">
        <v>1800</v>
      </c>
      <c r="F111" s="16">
        <v>1.36</v>
      </c>
      <c r="G111" s="14">
        <v>150</v>
      </c>
      <c r="H111" s="14">
        <v>1056</v>
      </c>
      <c r="I111" s="14">
        <v>1547</v>
      </c>
      <c r="J111" s="14">
        <v>385</v>
      </c>
      <c r="K111" s="15">
        <v>42.6</v>
      </c>
      <c r="L111" s="14">
        <v>385</v>
      </c>
      <c r="M111" s="14">
        <v>400</v>
      </c>
      <c r="N111" s="15">
        <v>0.5</v>
      </c>
      <c r="O111" s="15">
        <v>291.10000000000002</v>
      </c>
      <c r="P111" s="15">
        <v>166.3</v>
      </c>
    </row>
    <row r="112" spans="1:16" x14ac:dyDescent="0.3">
      <c r="A112" s="14">
        <v>111</v>
      </c>
      <c r="B112" s="4" t="s">
        <v>30</v>
      </c>
      <c r="C112" s="14">
        <v>14</v>
      </c>
      <c r="D112" s="14">
        <v>1370</v>
      </c>
      <c r="E112" s="14">
        <v>1800</v>
      </c>
      <c r="F112" s="16">
        <v>1.31</v>
      </c>
      <c r="G112" s="14">
        <v>150</v>
      </c>
      <c r="H112" s="14">
        <v>1096</v>
      </c>
      <c r="I112" s="14">
        <v>1548</v>
      </c>
      <c r="J112" s="14">
        <v>385</v>
      </c>
      <c r="K112" s="14">
        <v>0</v>
      </c>
      <c r="L112" s="14">
        <v>0</v>
      </c>
      <c r="M112" s="14">
        <v>0</v>
      </c>
      <c r="N112" s="15">
        <v>0.5</v>
      </c>
      <c r="O112" s="15">
        <v>100.7</v>
      </c>
      <c r="P112" s="15">
        <v>84.3</v>
      </c>
    </row>
    <row r="113" spans="1:16" x14ac:dyDescent="0.3">
      <c r="A113" s="14">
        <v>112</v>
      </c>
      <c r="B113" s="4" t="s">
        <v>30</v>
      </c>
      <c r="C113" s="14">
        <v>14</v>
      </c>
      <c r="D113" s="14">
        <v>1370</v>
      </c>
      <c r="E113" s="14">
        <v>1800</v>
      </c>
      <c r="F113" s="16">
        <v>1.31</v>
      </c>
      <c r="G113" s="14">
        <v>150</v>
      </c>
      <c r="H113" s="14">
        <v>1096</v>
      </c>
      <c r="I113" s="14">
        <v>1548</v>
      </c>
      <c r="J113" s="14">
        <v>385</v>
      </c>
      <c r="K113" s="15">
        <v>88.8</v>
      </c>
      <c r="L113" s="14">
        <v>385</v>
      </c>
      <c r="M113" s="14">
        <v>400</v>
      </c>
      <c r="N113" s="15">
        <v>0.5</v>
      </c>
      <c r="O113" s="15">
        <v>100.7</v>
      </c>
      <c r="P113" s="15">
        <v>150</v>
      </c>
    </row>
    <row r="114" spans="1:16" x14ac:dyDescent="0.3">
      <c r="A114" s="14">
        <v>113</v>
      </c>
      <c r="B114" s="4" t="s">
        <v>30</v>
      </c>
      <c r="C114" s="14">
        <v>14</v>
      </c>
      <c r="D114" s="14">
        <v>1370</v>
      </c>
      <c r="E114" s="14">
        <v>1800</v>
      </c>
      <c r="F114" s="16">
        <v>1.31</v>
      </c>
      <c r="G114" s="14">
        <v>150</v>
      </c>
      <c r="H114" s="14">
        <v>1096</v>
      </c>
      <c r="I114" s="14">
        <v>1548</v>
      </c>
      <c r="J114" s="14">
        <v>385</v>
      </c>
      <c r="K114" s="15">
        <v>133.19999999999999</v>
      </c>
      <c r="L114" s="14">
        <v>385</v>
      </c>
      <c r="M114" s="14">
        <v>400</v>
      </c>
      <c r="N114" s="15">
        <v>0.5</v>
      </c>
      <c r="O114" s="15">
        <v>100.7</v>
      </c>
      <c r="P114" s="15">
        <v>160.30000000000001</v>
      </c>
    </row>
    <row r="115" spans="1:16" x14ac:dyDescent="0.3">
      <c r="A115" s="14">
        <v>114</v>
      </c>
      <c r="B115" s="4" t="s">
        <v>30</v>
      </c>
      <c r="C115" s="14">
        <v>14</v>
      </c>
      <c r="D115" s="14">
        <v>1370</v>
      </c>
      <c r="E115" s="14">
        <v>1800</v>
      </c>
      <c r="F115" s="16">
        <v>1.31</v>
      </c>
      <c r="G115" s="14">
        <v>150</v>
      </c>
      <c r="H115" s="14">
        <v>1096</v>
      </c>
      <c r="I115" s="14">
        <v>1548</v>
      </c>
      <c r="J115" s="14">
        <v>385</v>
      </c>
      <c r="K115" s="15">
        <v>201</v>
      </c>
      <c r="L115" s="14">
        <v>385</v>
      </c>
      <c r="M115" s="14">
        <v>400</v>
      </c>
      <c r="N115" s="15">
        <v>0.5</v>
      </c>
      <c r="O115" s="15">
        <v>100.7</v>
      </c>
      <c r="P115" s="15">
        <v>141.80000000000001</v>
      </c>
    </row>
    <row r="116" spans="1:16" x14ac:dyDescent="0.3">
      <c r="A116" s="14">
        <v>115</v>
      </c>
      <c r="B116" s="4" t="s">
        <v>30</v>
      </c>
      <c r="C116" s="14">
        <v>14</v>
      </c>
      <c r="D116" s="14">
        <v>1370</v>
      </c>
      <c r="E116" s="14">
        <v>1800</v>
      </c>
      <c r="F116" s="16">
        <v>1.31</v>
      </c>
      <c r="G116" s="14">
        <v>150</v>
      </c>
      <c r="H116" s="14">
        <v>1096</v>
      </c>
      <c r="I116" s="14">
        <v>574</v>
      </c>
      <c r="J116" s="14">
        <v>385</v>
      </c>
      <c r="K116" s="15">
        <v>42.6</v>
      </c>
      <c r="L116" s="14">
        <v>385</v>
      </c>
      <c r="M116" s="14">
        <v>400</v>
      </c>
      <c r="N116" s="15">
        <v>0.5</v>
      </c>
      <c r="O116" s="15">
        <v>100.7</v>
      </c>
      <c r="P116" s="15">
        <v>129.5</v>
      </c>
    </row>
    <row r="117" spans="1:16" x14ac:dyDescent="0.3">
      <c r="A117" s="14">
        <v>116</v>
      </c>
      <c r="B117" s="4" t="s">
        <v>30</v>
      </c>
      <c r="C117" s="14">
        <v>27</v>
      </c>
      <c r="D117" s="14">
        <v>1320</v>
      </c>
      <c r="E117" s="14">
        <v>1800</v>
      </c>
      <c r="F117" s="16">
        <v>1.36</v>
      </c>
      <c r="G117" s="14">
        <v>150</v>
      </c>
      <c r="H117" s="14">
        <v>1056</v>
      </c>
      <c r="I117" s="14">
        <v>1547</v>
      </c>
      <c r="J117" s="14">
        <v>385</v>
      </c>
      <c r="K117" s="14">
        <v>0</v>
      </c>
      <c r="L117" s="14">
        <v>0</v>
      </c>
      <c r="M117" s="16">
        <v>0</v>
      </c>
      <c r="N117" s="15">
        <v>0.5</v>
      </c>
      <c r="O117" s="15">
        <v>194</v>
      </c>
      <c r="P117" s="15">
        <v>136.6</v>
      </c>
    </row>
    <row r="118" spans="1:16" x14ac:dyDescent="0.3">
      <c r="A118" s="14">
        <v>117</v>
      </c>
      <c r="B118" s="4" t="s">
        <v>30</v>
      </c>
      <c r="C118" s="14">
        <v>14</v>
      </c>
      <c r="D118" s="14">
        <v>1320</v>
      </c>
      <c r="E118" s="14">
        <v>1800</v>
      </c>
      <c r="F118" s="16">
        <v>1.36</v>
      </c>
      <c r="G118" s="14">
        <v>150</v>
      </c>
      <c r="H118" s="14">
        <v>1056</v>
      </c>
      <c r="I118" s="14">
        <v>1547</v>
      </c>
      <c r="J118" s="14">
        <v>385</v>
      </c>
      <c r="K118" s="14">
        <v>0</v>
      </c>
      <c r="L118" s="14">
        <v>0</v>
      </c>
      <c r="M118" s="16">
        <v>0</v>
      </c>
      <c r="N118" s="15">
        <v>0.5</v>
      </c>
      <c r="O118" s="15">
        <v>194</v>
      </c>
      <c r="P118" s="15">
        <v>79.2</v>
      </c>
    </row>
    <row r="119" spans="1:16" x14ac:dyDescent="0.3">
      <c r="A119" s="14">
        <v>118</v>
      </c>
      <c r="B119" s="4" t="s">
        <v>30</v>
      </c>
      <c r="C119" s="14">
        <v>27</v>
      </c>
      <c r="D119" s="14">
        <v>1320</v>
      </c>
      <c r="E119" s="14">
        <v>1800</v>
      </c>
      <c r="F119" s="16">
        <v>1.36</v>
      </c>
      <c r="G119" s="14">
        <v>150</v>
      </c>
      <c r="H119" s="14">
        <v>1056</v>
      </c>
      <c r="I119" s="14">
        <v>1547</v>
      </c>
      <c r="J119" s="14">
        <v>385</v>
      </c>
      <c r="K119" s="15">
        <v>88.8</v>
      </c>
      <c r="L119" s="14">
        <v>385</v>
      </c>
      <c r="M119" s="14">
        <v>400</v>
      </c>
      <c r="N119" s="15">
        <v>0.5</v>
      </c>
      <c r="O119" s="15">
        <v>194</v>
      </c>
      <c r="P119" s="15">
        <v>138.6</v>
      </c>
    </row>
    <row r="120" spans="1:16" x14ac:dyDescent="0.3">
      <c r="A120" s="14">
        <v>119</v>
      </c>
      <c r="B120" s="4" t="s">
        <v>30</v>
      </c>
      <c r="C120" s="14">
        <v>27</v>
      </c>
      <c r="D120" s="14">
        <v>1320</v>
      </c>
      <c r="E120" s="14">
        <v>1800</v>
      </c>
      <c r="F120" s="16">
        <v>1.36</v>
      </c>
      <c r="G120" s="14">
        <v>150</v>
      </c>
      <c r="H120" s="14">
        <v>1056</v>
      </c>
      <c r="I120" s="14">
        <v>1547</v>
      </c>
      <c r="J120" s="14">
        <v>385</v>
      </c>
      <c r="K120" s="15">
        <v>133.19999999999999</v>
      </c>
      <c r="L120" s="14">
        <v>385</v>
      </c>
      <c r="M120" s="14">
        <v>400</v>
      </c>
      <c r="N120" s="15">
        <v>0.5</v>
      </c>
      <c r="O120" s="15">
        <v>194</v>
      </c>
      <c r="P120" s="15">
        <v>152.5</v>
      </c>
    </row>
    <row r="121" spans="1:16" x14ac:dyDescent="0.3">
      <c r="A121" s="14">
        <v>120</v>
      </c>
      <c r="B121" s="4" t="s">
        <v>30</v>
      </c>
      <c r="C121" s="15">
        <v>15.2</v>
      </c>
      <c r="D121" s="14">
        <v>1970</v>
      </c>
      <c r="E121" s="14">
        <v>1800</v>
      </c>
      <c r="F121" s="16">
        <v>0.91</v>
      </c>
      <c r="G121" s="14">
        <v>150</v>
      </c>
      <c r="H121" s="14">
        <v>1576</v>
      </c>
      <c r="I121" s="14">
        <v>1545</v>
      </c>
      <c r="J121" s="14">
        <v>385</v>
      </c>
      <c r="K121" s="15">
        <v>88.8</v>
      </c>
      <c r="L121" s="14">
        <v>385</v>
      </c>
      <c r="M121" s="14">
        <v>400</v>
      </c>
      <c r="N121" s="15">
        <v>0.5</v>
      </c>
      <c r="O121" s="15">
        <v>144.80000000000001</v>
      </c>
      <c r="P121" s="15">
        <v>224.6</v>
      </c>
    </row>
    <row r="122" spans="1:16" x14ac:dyDescent="0.3">
      <c r="A122" s="14">
        <v>121</v>
      </c>
      <c r="B122" s="4" t="s">
        <v>30</v>
      </c>
      <c r="C122" s="15">
        <v>15.2</v>
      </c>
      <c r="D122" s="14">
        <v>1970</v>
      </c>
      <c r="E122" s="27">
        <v>1800</v>
      </c>
      <c r="F122" s="16">
        <v>0.91</v>
      </c>
      <c r="G122" s="14">
        <v>150</v>
      </c>
      <c r="H122" s="14">
        <v>1576</v>
      </c>
      <c r="I122" s="14">
        <v>1545</v>
      </c>
      <c r="J122" s="14">
        <v>385</v>
      </c>
      <c r="K122" s="15">
        <v>88.8</v>
      </c>
      <c r="L122" s="14">
        <v>385</v>
      </c>
      <c r="M122" s="14">
        <v>400</v>
      </c>
      <c r="N122" s="15">
        <v>0.5</v>
      </c>
      <c r="O122" s="15">
        <v>144.80000000000001</v>
      </c>
      <c r="P122" s="15">
        <v>218.7</v>
      </c>
    </row>
    <row r="123" spans="1:16" x14ac:dyDescent="0.3">
      <c r="A123" s="14">
        <v>122</v>
      </c>
      <c r="B123" s="4" t="s">
        <v>30</v>
      </c>
      <c r="C123" s="15">
        <v>15.2</v>
      </c>
      <c r="D123" s="14">
        <v>1770</v>
      </c>
      <c r="E123" s="27">
        <v>1800</v>
      </c>
      <c r="F123" s="16">
        <v>1.02</v>
      </c>
      <c r="G123" s="14">
        <v>150</v>
      </c>
      <c r="H123" s="14">
        <v>1416</v>
      </c>
      <c r="I123" s="14">
        <v>1285</v>
      </c>
      <c r="J123" s="14">
        <v>385</v>
      </c>
      <c r="K123" s="15">
        <v>88.8</v>
      </c>
      <c r="L123" s="14">
        <v>385</v>
      </c>
      <c r="M123" s="14">
        <v>400</v>
      </c>
      <c r="N123" s="15">
        <v>0.5</v>
      </c>
      <c r="O123" s="15">
        <v>130.1</v>
      </c>
      <c r="P123" s="15">
        <v>180.5</v>
      </c>
    </row>
    <row r="124" spans="1:16" x14ac:dyDescent="0.3">
      <c r="A124" s="14">
        <v>123</v>
      </c>
      <c r="B124" s="4" t="s">
        <v>30</v>
      </c>
      <c r="C124" s="15">
        <v>15.2</v>
      </c>
      <c r="D124" s="14">
        <v>1370</v>
      </c>
      <c r="E124" s="27">
        <v>1800</v>
      </c>
      <c r="F124" s="16">
        <v>1.31</v>
      </c>
      <c r="G124" s="14">
        <v>150</v>
      </c>
      <c r="H124" s="14">
        <v>1096</v>
      </c>
      <c r="I124" s="14">
        <v>1014</v>
      </c>
      <c r="J124" s="14">
        <v>385</v>
      </c>
      <c r="K124" s="15">
        <v>88.8</v>
      </c>
      <c r="L124" s="14">
        <v>385</v>
      </c>
      <c r="M124" s="14">
        <v>400</v>
      </c>
      <c r="N124" s="15">
        <v>0.5</v>
      </c>
      <c r="O124" s="15">
        <v>100.7</v>
      </c>
      <c r="P124" s="15">
        <v>143.9</v>
      </c>
    </row>
    <row r="125" spans="1:16" x14ac:dyDescent="0.3">
      <c r="A125" s="14">
        <v>124</v>
      </c>
      <c r="B125" s="4" t="s">
        <v>30</v>
      </c>
      <c r="C125" s="15">
        <v>15.2</v>
      </c>
      <c r="D125" s="14">
        <v>970</v>
      </c>
      <c r="E125" s="27">
        <v>1800</v>
      </c>
      <c r="F125" s="16">
        <v>1.86</v>
      </c>
      <c r="G125" s="14">
        <v>150</v>
      </c>
      <c r="H125" s="14">
        <v>776</v>
      </c>
      <c r="I125" s="14">
        <v>774</v>
      </c>
      <c r="J125" s="14">
        <v>385</v>
      </c>
      <c r="K125" s="15">
        <v>88.8</v>
      </c>
      <c r="L125" s="14">
        <v>385</v>
      </c>
      <c r="M125" s="14">
        <v>400</v>
      </c>
      <c r="N125" s="15">
        <v>0.5</v>
      </c>
      <c r="O125" s="15">
        <v>71.3</v>
      </c>
      <c r="P125" s="15">
        <v>69.8</v>
      </c>
    </row>
    <row r="126" spans="1:16" x14ac:dyDescent="0.3">
      <c r="A126" s="14">
        <v>125</v>
      </c>
      <c r="B126" s="4" t="s">
        <v>30</v>
      </c>
      <c r="C126" s="15">
        <v>15.2</v>
      </c>
      <c r="D126" s="14">
        <v>970</v>
      </c>
      <c r="E126" s="27">
        <v>1800</v>
      </c>
      <c r="F126" s="16">
        <v>1.86</v>
      </c>
      <c r="G126" s="14">
        <v>150</v>
      </c>
      <c r="H126" s="14">
        <v>776</v>
      </c>
      <c r="I126" s="14">
        <v>774</v>
      </c>
      <c r="J126" s="14">
        <v>385</v>
      </c>
      <c r="K126" s="15">
        <v>88.8</v>
      </c>
      <c r="L126" s="14">
        <v>385</v>
      </c>
      <c r="M126" s="14">
        <v>400</v>
      </c>
      <c r="N126" s="15">
        <v>0.5</v>
      </c>
      <c r="O126" s="15">
        <v>71.3</v>
      </c>
      <c r="P126" s="15">
        <v>68.400000000000006</v>
      </c>
    </row>
    <row r="127" spans="1:16" x14ac:dyDescent="0.3">
      <c r="A127" s="18">
        <v>126</v>
      </c>
      <c r="B127" s="32" t="s">
        <v>37</v>
      </c>
      <c r="C127" s="20">
        <v>13.24</v>
      </c>
      <c r="D127" s="18">
        <v>2631</v>
      </c>
      <c r="E127" s="28">
        <v>2337</v>
      </c>
      <c r="F127" s="20">
        <v>0.89</v>
      </c>
      <c r="G127" s="18">
        <v>194</v>
      </c>
      <c r="H127" s="18">
        <v>2105</v>
      </c>
      <c r="I127" s="18">
        <v>2323</v>
      </c>
      <c r="J127" s="18">
        <v>439</v>
      </c>
      <c r="K127" s="19">
        <v>200</v>
      </c>
      <c r="L127" s="18">
        <v>493</v>
      </c>
      <c r="M127" s="18">
        <v>1118</v>
      </c>
      <c r="N127" s="19">
        <v>0.5</v>
      </c>
      <c r="O127" s="19">
        <v>49.3</v>
      </c>
      <c r="P127" s="19">
        <v>221.8</v>
      </c>
    </row>
    <row r="128" spans="1:16" x14ac:dyDescent="0.3">
      <c r="A128" s="18">
        <v>127</v>
      </c>
      <c r="B128" s="32" t="s">
        <v>37</v>
      </c>
      <c r="C128" s="20">
        <v>13.24</v>
      </c>
      <c r="D128" s="18">
        <v>2631</v>
      </c>
      <c r="E128" s="28">
        <v>2337</v>
      </c>
      <c r="F128" s="20">
        <v>0.89</v>
      </c>
      <c r="G128" s="18">
        <v>194</v>
      </c>
      <c r="H128" s="18">
        <v>2105</v>
      </c>
      <c r="I128" s="18">
        <v>2323</v>
      </c>
      <c r="J128" s="18">
        <v>439</v>
      </c>
      <c r="K128" s="19">
        <v>284</v>
      </c>
      <c r="L128" s="18">
        <v>493</v>
      </c>
      <c r="M128" s="18">
        <v>1118</v>
      </c>
      <c r="N128" s="19">
        <v>0.5</v>
      </c>
      <c r="O128" s="19">
        <v>49.3</v>
      </c>
      <c r="P128" s="19">
        <v>227.7</v>
      </c>
    </row>
    <row r="129" spans="1:17" x14ac:dyDescent="0.3">
      <c r="A129" s="18">
        <v>128</v>
      </c>
      <c r="B129" s="32" t="s">
        <v>37</v>
      </c>
      <c r="C129" s="20">
        <v>13.24</v>
      </c>
      <c r="D129" s="18">
        <v>2631</v>
      </c>
      <c r="E129" s="28">
        <v>2337</v>
      </c>
      <c r="F129" s="20">
        <v>0.89</v>
      </c>
      <c r="G129" s="18">
        <v>194</v>
      </c>
      <c r="H129" s="18">
        <v>2105</v>
      </c>
      <c r="I129" s="18">
        <v>2323</v>
      </c>
      <c r="J129" s="18">
        <v>439</v>
      </c>
      <c r="K129" s="19">
        <v>400</v>
      </c>
      <c r="L129" s="18">
        <v>493</v>
      </c>
      <c r="M129" s="18">
        <v>1118</v>
      </c>
      <c r="N129" s="19">
        <v>0.5</v>
      </c>
      <c r="O129" s="19">
        <v>49.3</v>
      </c>
      <c r="P129" s="19">
        <v>202.9</v>
      </c>
    </row>
    <row r="130" spans="1:17" x14ac:dyDescent="0.3">
      <c r="A130" s="18">
        <v>129</v>
      </c>
      <c r="B130" s="32" t="s">
        <v>37</v>
      </c>
      <c r="C130" s="20">
        <v>13.88</v>
      </c>
      <c r="D130" s="18">
        <v>2631</v>
      </c>
      <c r="E130" s="28">
        <v>2337</v>
      </c>
      <c r="F130" s="20">
        <v>0.89</v>
      </c>
      <c r="G130" s="18">
        <v>194</v>
      </c>
      <c r="H130" s="18">
        <v>2105</v>
      </c>
      <c r="I130" s="18">
        <v>2323</v>
      </c>
      <c r="J130" s="18">
        <v>439</v>
      </c>
      <c r="K130" s="19">
        <v>200</v>
      </c>
      <c r="L130" s="18">
        <v>493</v>
      </c>
      <c r="M130" s="18">
        <v>1118</v>
      </c>
      <c r="N130" s="19">
        <v>0.5</v>
      </c>
      <c r="O130" s="19">
        <v>49.3</v>
      </c>
      <c r="P130" s="19">
        <v>260</v>
      </c>
    </row>
    <row r="131" spans="1:17" x14ac:dyDescent="0.3">
      <c r="A131" s="18">
        <v>130</v>
      </c>
      <c r="B131" s="32" t="s">
        <v>37</v>
      </c>
      <c r="C131" s="20">
        <v>14.53</v>
      </c>
      <c r="D131" s="18">
        <v>2631</v>
      </c>
      <c r="E131" s="28">
        <v>2337</v>
      </c>
      <c r="F131" s="20">
        <v>0.89</v>
      </c>
      <c r="G131" s="18">
        <v>194</v>
      </c>
      <c r="H131" s="18">
        <v>2105</v>
      </c>
      <c r="I131" s="18">
        <v>2323</v>
      </c>
      <c r="J131" s="18">
        <v>439</v>
      </c>
      <c r="K131" s="19">
        <v>200</v>
      </c>
      <c r="L131" s="18">
        <v>493</v>
      </c>
      <c r="M131" s="18">
        <v>1118</v>
      </c>
      <c r="N131" s="19">
        <v>0.5</v>
      </c>
      <c r="O131" s="19">
        <v>49.3</v>
      </c>
      <c r="P131" s="19">
        <v>295</v>
      </c>
    </row>
    <row r="132" spans="1:17" ht="30" x14ac:dyDescent="0.3">
      <c r="A132" s="14">
        <v>131</v>
      </c>
      <c r="B132" s="5" t="s">
        <v>31</v>
      </c>
      <c r="C132" s="15">
        <v>18.7</v>
      </c>
      <c r="D132" s="14">
        <v>2850</v>
      </c>
      <c r="E132" s="27">
        <v>2640</v>
      </c>
      <c r="F132" s="16">
        <v>0.93</v>
      </c>
      <c r="G132" s="14">
        <v>203</v>
      </c>
      <c r="H132" s="14">
        <v>2280</v>
      </c>
      <c r="I132" s="14">
        <v>1394</v>
      </c>
      <c r="J132" s="14">
        <v>436</v>
      </c>
      <c r="K132" s="15">
        <v>43</v>
      </c>
      <c r="L132" s="14">
        <v>445</v>
      </c>
      <c r="M132" s="14">
        <v>200</v>
      </c>
      <c r="N132" s="15">
        <v>0.5</v>
      </c>
      <c r="O132" s="14">
        <v>0</v>
      </c>
      <c r="P132" s="15">
        <v>208.2</v>
      </c>
    </row>
    <row r="133" spans="1:17" ht="30" x14ac:dyDescent="0.3">
      <c r="A133" s="14">
        <v>132</v>
      </c>
      <c r="B133" s="5" t="s">
        <v>31</v>
      </c>
      <c r="C133" s="15">
        <v>18.7</v>
      </c>
      <c r="D133" s="14">
        <v>2850</v>
      </c>
      <c r="E133" s="27">
        <v>2640</v>
      </c>
      <c r="F133" s="16">
        <v>0.93</v>
      </c>
      <c r="G133" s="14">
        <v>203</v>
      </c>
      <c r="H133" s="14">
        <v>2280</v>
      </c>
      <c r="I133" s="14">
        <v>1394</v>
      </c>
      <c r="J133" s="14">
        <v>436</v>
      </c>
      <c r="K133" s="15">
        <v>35</v>
      </c>
      <c r="L133" s="14">
        <v>606</v>
      </c>
      <c r="M133" s="14">
        <v>200</v>
      </c>
      <c r="N133" s="15">
        <v>0.5</v>
      </c>
      <c r="O133" s="14">
        <v>0</v>
      </c>
      <c r="P133" s="15">
        <v>201.1</v>
      </c>
    </row>
    <row r="134" spans="1:17" ht="30" x14ac:dyDescent="0.3">
      <c r="A134" s="14">
        <v>133</v>
      </c>
      <c r="B134" s="5" t="s">
        <v>31</v>
      </c>
      <c r="C134" s="15">
        <v>18.7</v>
      </c>
      <c r="D134" s="14">
        <v>4270</v>
      </c>
      <c r="E134" s="27">
        <v>2640</v>
      </c>
      <c r="F134" s="16">
        <v>0.62</v>
      </c>
      <c r="G134" s="14">
        <v>203</v>
      </c>
      <c r="H134" s="14">
        <v>3416</v>
      </c>
      <c r="I134" s="14">
        <v>1652</v>
      </c>
      <c r="J134" s="14">
        <v>436</v>
      </c>
      <c r="K134" s="15">
        <v>43</v>
      </c>
      <c r="L134" s="14">
        <v>445</v>
      </c>
      <c r="M134" s="14">
        <v>200</v>
      </c>
      <c r="N134" s="15">
        <v>0.5</v>
      </c>
      <c r="O134" s="14">
        <v>0</v>
      </c>
      <c r="P134" s="15">
        <v>348.3</v>
      </c>
    </row>
    <row r="135" spans="1:17" ht="30" x14ac:dyDescent="0.3">
      <c r="A135" s="14">
        <v>134</v>
      </c>
      <c r="B135" s="5" t="s">
        <v>31</v>
      </c>
      <c r="C135" s="15">
        <v>19.7</v>
      </c>
      <c r="D135" s="14">
        <v>4270</v>
      </c>
      <c r="E135" s="27">
        <v>2640</v>
      </c>
      <c r="F135" s="16">
        <v>0.62</v>
      </c>
      <c r="G135" s="14">
        <v>203</v>
      </c>
      <c r="H135" s="14">
        <v>3416</v>
      </c>
      <c r="I135" s="14">
        <v>1910</v>
      </c>
      <c r="J135" s="14">
        <v>436</v>
      </c>
      <c r="K135" s="15">
        <v>35</v>
      </c>
      <c r="L135" s="14">
        <v>606</v>
      </c>
      <c r="M135" s="14">
        <v>200</v>
      </c>
      <c r="N135" s="15">
        <v>0.5</v>
      </c>
      <c r="O135" s="14">
        <v>0</v>
      </c>
      <c r="P135" s="15">
        <v>431</v>
      </c>
    </row>
    <row r="136" spans="1:17" ht="30" x14ac:dyDescent="0.3">
      <c r="A136" s="14">
        <v>135</v>
      </c>
      <c r="B136" s="5" t="s">
        <v>31</v>
      </c>
      <c r="C136" s="15">
        <v>19.600000000000001</v>
      </c>
      <c r="D136" s="14">
        <v>2850</v>
      </c>
      <c r="E136" s="27">
        <v>2640</v>
      </c>
      <c r="F136" s="16">
        <v>0.93</v>
      </c>
      <c r="G136" s="14">
        <v>203</v>
      </c>
      <c r="H136" s="14">
        <v>2280</v>
      </c>
      <c r="I136" s="14">
        <v>1084</v>
      </c>
      <c r="J136" s="14">
        <v>436</v>
      </c>
      <c r="K136" s="15">
        <v>35</v>
      </c>
      <c r="L136" s="14">
        <v>606</v>
      </c>
      <c r="M136" s="14">
        <v>200</v>
      </c>
      <c r="N136" s="15">
        <v>0.5</v>
      </c>
      <c r="O136" s="14">
        <v>0</v>
      </c>
      <c r="P136" s="15">
        <v>266</v>
      </c>
    </row>
    <row r="137" spans="1:17" ht="30" x14ac:dyDescent="0.3">
      <c r="A137" s="14">
        <v>136</v>
      </c>
      <c r="B137" s="5" t="s">
        <v>31</v>
      </c>
      <c r="C137" s="15">
        <v>19.600000000000001</v>
      </c>
      <c r="D137" s="14">
        <v>2850</v>
      </c>
      <c r="E137" s="27">
        <v>2640</v>
      </c>
      <c r="F137" s="16">
        <v>0.93</v>
      </c>
      <c r="G137" s="14">
        <v>203</v>
      </c>
      <c r="H137" s="14">
        <v>2280</v>
      </c>
      <c r="I137" s="14">
        <v>1084</v>
      </c>
      <c r="J137" s="14">
        <v>436</v>
      </c>
      <c r="K137" s="15">
        <v>71</v>
      </c>
      <c r="L137" s="14">
        <v>606</v>
      </c>
      <c r="M137" s="14">
        <v>200</v>
      </c>
      <c r="N137" s="15">
        <v>0.5</v>
      </c>
      <c r="O137" s="14">
        <v>0</v>
      </c>
      <c r="P137" s="15">
        <v>325.60000000000002</v>
      </c>
    </row>
    <row r="138" spans="1:17" ht="30" x14ac:dyDescent="0.3">
      <c r="A138" s="14">
        <v>137</v>
      </c>
      <c r="B138" s="5" t="s">
        <v>31</v>
      </c>
      <c r="C138" s="15">
        <v>24.3</v>
      </c>
      <c r="D138" s="14">
        <v>2850</v>
      </c>
      <c r="E138" s="27">
        <v>2640</v>
      </c>
      <c r="F138" s="16">
        <v>0.93</v>
      </c>
      <c r="G138" s="14">
        <v>203</v>
      </c>
      <c r="H138" s="14">
        <v>2280</v>
      </c>
      <c r="I138" s="14">
        <v>1084</v>
      </c>
      <c r="J138" s="14">
        <v>436</v>
      </c>
      <c r="K138" s="15">
        <v>43</v>
      </c>
      <c r="L138" s="14">
        <v>445</v>
      </c>
      <c r="M138" s="14">
        <v>200</v>
      </c>
      <c r="N138" s="15">
        <v>0.5</v>
      </c>
      <c r="O138" s="14">
        <v>0</v>
      </c>
      <c r="P138" s="15">
        <v>249.1</v>
      </c>
    </row>
    <row r="139" spans="1:17" ht="30" x14ac:dyDescent="0.3">
      <c r="A139" s="14">
        <v>138</v>
      </c>
      <c r="B139" s="5" t="s">
        <v>31</v>
      </c>
      <c r="C139" s="14">
        <v>23</v>
      </c>
      <c r="D139" s="14">
        <v>4270</v>
      </c>
      <c r="E139" s="27">
        <v>2640</v>
      </c>
      <c r="F139" s="16">
        <v>0.62</v>
      </c>
      <c r="G139" s="14">
        <v>203</v>
      </c>
      <c r="H139" s="14">
        <v>3416</v>
      </c>
      <c r="I139" s="14">
        <v>1910</v>
      </c>
      <c r="J139" s="14">
        <v>436</v>
      </c>
      <c r="K139" s="15">
        <v>71</v>
      </c>
      <c r="L139" s="14">
        <v>606</v>
      </c>
      <c r="M139" s="14">
        <v>200</v>
      </c>
      <c r="N139" s="15">
        <v>0.5</v>
      </c>
      <c r="O139" s="14">
        <v>0</v>
      </c>
      <c r="P139" s="15">
        <v>405.7</v>
      </c>
    </row>
    <row r="140" spans="1:17" ht="30" x14ac:dyDescent="0.3">
      <c r="A140" s="14">
        <v>139</v>
      </c>
      <c r="B140" s="5" t="s">
        <v>31</v>
      </c>
      <c r="C140" s="15">
        <v>21.4</v>
      </c>
      <c r="D140" s="14">
        <v>2850</v>
      </c>
      <c r="E140" s="27">
        <v>2640</v>
      </c>
      <c r="F140" s="16">
        <v>0.93</v>
      </c>
      <c r="G140" s="14">
        <v>203</v>
      </c>
      <c r="H140" s="14">
        <v>2280</v>
      </c>
      <c r="I140" s="14">
        <v>1600</v>
      </c>
      <c r="J140" s="14">
        <v>436</v>
      </c>
      <c r="K140" s="15">
        <v>43</v>
      </c>
      <c r="L140" s="14">
        <v>445</v>
      </c>
      <c r="M140" s="14">
        <v>200</v>
      </c>
      <c r="N140" s="15">
        <v>0.5</v>
      </c>
      <c r="O140" s="14">
        <v>0</v>
      </c>
      <c r="P140" s="15">
        <v>425.2</v>
      </c>
    </row>
    <row r="141" spans="1:17" ht="30" x14ac:dyDescent="0.3">
      <c r="A141" s="14">
        <v>140</v>
      </c>
      <c r="B141" s="5" t="s">
        <v>31</v>
      </c>
      <c r="C141" s="14">
        <v>20</v>
      </c>
      <c r="D141" s="14">
        <v>2850</v>
      </c>
      <c r="E141" s="27">
        <v>2640</v>
      </c>
      <c r="F141" s="16">
        <v>0.93</v>
      </c>
      <c r="G141" s="14">
        <v>203</v>
      </c>
      <c r="H141" s="14">
        <v>2280</v>
      </c>
      <c r="I141" s="14">
        <v>1600</v>
      </c>
      <c r="J141" s="14">
        <v>436</v>
      </c>
      <c r="K141" s="15">
        <v>71</v>
      </c>
      <c r="L141" s="14">
        <v>606</v>
      </c>
      <c r="M141" s="14">
        <v>200</v>
      </c>
      <c r="N141" s="15">
        <v>0.5</v>
      </c>
      <c r="O141" s="14">
        <v>0</v>
      </c>
      <c r="P141" s="15">
        <v>424.4</v>
      </c>
    </row>
    <row r="142" spans="1:17" x14ac:dyDescent="0.3">
      <c r="A142" s="14">
        <v>141</v>
      </c>
      <c r="B142" s="4" t="s">
        <v>32</v>
      </c>
      <c r="C142" s="15">
        <v>8.1</v>
      </c>
      <c r="D142" s="14">
        <v>2400</v>
      </c>
      <c r="E142" s="14">
        <v>2600</v>
      </c>
      <c r="F142" s="16">
        <v>1.08</v>
      </c>
      <c r="G142" s="14">
        <v>140</v>
      </c>
      <c r="H142" s="14">
        <v>1920</v>
      </c>
      <c r="I142" s="14">
        <v>0</v>
      </c>
      <c r="J142" s="14">
        <v>0</v>
      </c>
      <c r="K142" s="15">
        <v>0</v>
      </c>
      <c r="L142" s="14">
        <v>0</v>
      </c>
      <c r="M142" s="14">
        <v>0</v>
      </c>
      <c r="N142" s="15">
        <v>0.3</v>
      </c>
      <c r="O142" s="15">
        <v>138.30000000000001</v>
      </c>
      <c r="P142" s="15">
        <v>124.5</v>
      </c>
      <c r="Q142" s="1">
        <f>O142/P142</f>
        <v>1.110843373493976</v>
      </c>
    </row>
    <row r="143" spans="1:17" x14ac:dyDescent="0.3">
      <c r="A143" s="14">
        <v>142</v>
      </c>
      <c r="B143" s="4" t="s">
        <v>32</v>
      </c>
      <c r="C143" s="15">
        <v>10.7</v>
      </c>
      <c r="D143" s="14">
        <v>2400</v>
      </c>
      <c r="E143" s="14">
        <v>2600</v>
      </c>
      <c r="F143" s="16">
        <v>1.08</v>
      </c>
      <c r="G143" s="14">
        <v>14</v>
      </c>
      <c r="H143" s="14">
        <v>1920</v>
      </c>
      <c r="I143" s="14">
        <v>400</v>
      </c>
      <c r="J143" s="14">
        <v>287</v>
      </c>
      <c r="K143" s="15">
        <v>0</v>
      </c>
      <c r="L143" s="14">
        <v>0</v>
      </c>
      <c r="M143" s="14">
        <v>0</v>
      </c>
      <c r="N143" s="15">
        <v>0.4</v>
      </c>
      <c r="O143" s="15">
        <v>336.1</v>
      </c>
      <c r="P143" s="15">
        <v>302.5</v>
      </c>
      <c r="Q143" s="1">
        <f t="shared" ref="Q143:Q153" si="0">O143/P143</f>
        <v>1.1110743801652894</v>
      </c>
    </row>
    <row r="144" spans="1:17" x14ac:dyDescent="0.3">
      <c r="A144" s="14">
        <v>143</v>
      </c>
      <c r="B144" s="4" t="s">
        <v>32</v>
      </c>
      <c r="C144" s="15">
        <v>8.1</v>
      </c>
      <c r="D144" s="14">
        <v>2400</v>
      </c>
      <c r="E144" s="14">
        <v>2600</v>
      </c>
      <c r="F144" s="16">
        <v>1.08</v>
      </c>
      <c r="G144" s="14">
        <v>140</v>
      </c>
      <c r="H144" s="14">
        <v>1920</v>
      </c>
      <c r="I144" s="14">
        <v>0</v>
      </c>
      <c r="J144" s="14">
        <v>0</v>
      </c>
      <c r="K144" s="15">
        <v>219.3</v>
      </c>
      <c r="L144" s="14">
        <v>297</v>
      </c>
      <c r="M144" s="14">
        <v>800</v>
      </c>
      <c r="N144" s="15">
        <v>0.3</v>
      </c>
      <c r="O144" s="15">
        <v>237.2</v>
      </c>
      <c r="P144" s="15">
        <v>213.5</v>
      </c>
      <c r="Q144" s="1">
        <f t="shared" si="0"/>
        <v>1.111007025761124</v>
      </c>
    </row>
    <row r="145" spans="1:17" x14ac:dyDescent="0.3">
      <c r="A145" s="14">
        <v>144</v>
      </c>
      <c r="B145" s="4" t="s">
        <v>32</v>
      </c>
      <c r="C145" s="15">
        <v>8.1</v>
      </c>
      <c r="D145" s="14">
        <v>2400</v>
      </c>
      <c r="E145" s="14">
        <v>2600</v>
      </c>
      <c r="F145" s="16">
        <v>1.08</v>
      </c>
      <c r="G145" s="14">
        <v>140</v>
      </c>
      <c r="H145" s="14">
        <v>1920</v>
      </c>
      <c r="I145" s="14">
        <v>400</v>
      </c>
      <c r="J145" s="14">
        <v>282</v>
      </c>
      <c r="K145" s="15">
        <v>86</v>
      </c>
      <c r="L145" s="14">
        <v>297</v>
      </c>
      <c r="M145" s="14">
        <v>800</v>
      </c>
      <c r="N145" s="15">
        <v>0.4</v>
      </c>
      <c r="O145" s="15">
        <v>296.60000000000002</v>
      </c>
      <c r="P145" s="15">
        <v>266.89999999999998</v>
      </c>
      <c r="Q145" s="1">
        <f t="shared" si="0"/>
        <v>1.1112776320719373</v>
      </c>
    </row>
    <row r="146" spans="1:17" x14ac:dyDescent="0.3">
      <c r="A146" s="14">
        <v>145</v>
      </c>
      <c r="B146" s="4" t="s">
        <v>32</v>
      </c>
      <c r="C146" s="15">
        <v>8.1</v>
      </c>
      <c r="D146" s="14">
        <v>2400</v>
      </c>
      <c r="E146" s="14">
        <v>2600</v>
      </c>
      <c r="F146" s="16">
        <v>1.08</v>
      </c>
      <c r="G146" s="14">
        <v>140</v>
      </c>
      <c r="H146" s="14">
        <v>1920</v>
      </c>
      <c r="I146" s="14">
        <v>529</v>
      </c>
      <c r="J146" s="14">
        <v>282</v>
      </c>
      <c r="K146" s="15">
        <v>129</v>
      </c>
      <c r="L146" s="14">
        <v>297</v>
      </c>
      <c r="M146" s="14">
        <v>2400</v>
      </c>
      <c r="N146" s="15">
        <v>0.5</v>
      </c>
      <c r="O146" s="15">
        <v>276.8</v>
      </c>
      <c r="P146" s="15">
        <v>249.1</v>
      </c>
      <c r="Q146" s="1">
        <f t="shared" si="0"/>
        <v>1.1112003211561623</v>
      </c>
    </row>
    <row r="147" spans="1:17" x14ac:dyDescent="0.3">
      <c r="A147" s="14">
        <v>146</v>
      </c>
      <c r="B147" s="4" t="s">
        <v>32</v>
      </c>
      <c r="C147" s="15">
        <v>8.1</v>
      </c>
      <c r="D147" s="14">
        <v>2400</v>
      </c>
      <c r="E147" s="14">
        <v>2600</v>
      </c>
      <c r="F147" s="16">
        <v>1.08</v>
      </c>
      <c r="G147" s="14">
        <v>140</v>
      </c>
      <c r="H147" s="14">
        <v>1920</v>
      </c>
      <c r="I147" s="14">
        <v>658</v>
      </c>
      <c r="J147" s="14">
        <v>282</v>
      </c>
      <c r="K147" s="14">
        <v>0</v>
      </c>
      <c r="L147" s="14">
        <v>0</v>
      </c>
      <c r="M147" s="14">
        <v>0</v>
      </c>
      <c r="N147" s="15">
        <v>0.5</v>
      </c>
      <c r="O147" s="15">
        <v>296.60000000000002</v>
      </c>
      <c r="P147" s="15">
        <v>266.89999999999998</v>
      </c>
      <c r="Q147" s="1">
        <f t="shared" si="0"/>
        <v>1.1112776320719373</v>
      </c>
    </row>
    <row r="148" spans="1:17" x14ac:dyDescent="0.3">
      <c r="A148" s="14">
        <v>147</v>
      </c>
      <c r="B148" s="4" t="s">
        <v>32</v>
      </c>
      <c r="C148" s="15">
        <v>10.7</v>
      </c>
      <c r="D148" s="14">
        <v>2400</v>
      </c>
      <c r="E148" s="14">
        <v>2600</v>
      </c>
      <c r="F148" s="16">
        <v>1.08</v>
      </c>
      <c r="G148" s="14">
        <v>140</v>
      </c>
      <c r="H148" s="14">
        <v>1920</v>
      </c>
      <c r="I148" s="14">
        <v>658</v>
      </c>
      <c r="J148" s="14">
        <v>287</v>
      </c>
      <c r="K148" s="14">
        <v>0</v>
      </c>
      <c r="L148" s="14">
        <v>0</v>
      </c>
      <c r="M148" s="14">
        <v>0</v>
      </c>
      <c r="N148" s="15">
        <v>0.5</v>
      </c>
      <c r="O148" s="15">
        <v>321.2</v>
      </c>
      <c r="P148" s="15">
        <v>289.10000000000002</v>
      </c>
      <c r="Q148" s="1">
        <f t="shared" si="0"/>
        <v>1.1110342442061569</v>
      </c>
    </row>
    <row r="149" spans="1:17" x14ac:dyDescent="0.3">
      <c r="A149" s="14">
        <v>148</v>
      </c>
      <c r="B149" s="4" t="s">
        <v>32</v>
      </c>
      <c r="C149" s="15">
        <v>8.1</v>
      </c>
      <c r="D149" s="14">
        <v>2400</v>
      </c>
      <c r="E149" s="14">
        <v>2600</v>
      </c>
      <c r="F149" s="16">
        <v>1.08</v>
      </c>
      <c r="G149" s="14">
        <v>140</v>
      </c>
      <c r="H149" s="14">
        <v>1920</v>
      </c>
      <c r="I149" s="14">
        <v>787</v>
      </c>
      <c r="J149" s="14">
        <v>282</v>
      </c>
      <c r="K149" s="14">
        <v>0</v>
      </c>
      <c r="L149" s="14">
        <v>0</v>
      </c>
      <c r="M149" s="14">
        <v>0</v>
      </c>
      <c r="N149" s="15">
        <v>0.5</v>
      </c>
      <c r="O149" s="15">
        <v>346</v>
      </c>
      <c r="P149" s="15">
        <v>311.39999999999998</v>
      </c>
      <c r="Q149" s="1">
        <f t="shared" si="0"/>
        <v>1.1111111111111112</v>
      </c>
    </row>
    <row r="150" spans="1:17" x14ac:dyDescent="0.3">
      <c r="A150" s="14">
        <v>149</v>
      </c>
      <c r="B150" s="4" t="s">
        <v>32</v>
      </c>
      <c r="C150" s="15">
        <v>10.7</v>
      </c>
      <c r="D150" s="14">
        <v>2400</v>
      </c>
      <c r="E150" s="14">
        <v>2600</v>
      </c>
      <c r="F150" s="16">
        <v>1.08</v>
      </c>
      <c r="G150" s="14">
        <v>140</v>
      </c>
      <c r="H150" s="14">
        <v>1920</v>
      </c>
      <c r="I150" s="14">
        <v>787</v>
      </c>
      <c r="J150" s="14">
        <v>287</v>
      </c>
      <c r="K150" s="15">
        <v>86</v>
      </c>
      <c r="L150" s="14">
        <v>297</v>
      </c>
      <c r="M150" s="14">
        <v>800</v>
      </c>
      <c r="N150" s="15">
        <v>0.5</v>
      </c>
      <c r="O150" s="15">
        <v>514</v>
      </c>
      <c r="P150" s="15">
        <v>462.6</v>
      </c>
      <c r="Q150" s="1">
        <f t="shared" si="0"/>
        <v>1.1111111111111112</v>
      </c>
    </row>
    <row r="151" spans="1:17" x14ac:dyDescent="0.3">
      <c r="A151" s="14">
        <v>150</v>
      </c>
      <c r="B151" s="4" t="s">
        <v>32</v>
      </c>
      <c r="C151" s="15">
        <v>10.7</v>
      </c>
      <c r="D151" s="14">
        <v>2400</v>
      </c>
      <c r="E151" s="14">
        <v>2600</v>
      </c>
      <c r="F151" s="16">
        <v>1.08</v>
      </c>
      <c r="G151" s="14">
        <v>140</v>
      </c>
      <c r="H151" s="14">
        <v>1920</v>
      </c>
      <c r="I151" s="14">
        <v>787</v>
      </c>
      <c r="J151" s="14">
        <v>287</v>
      </c>
      <c r="K151" s="15">
        <v>172</v>
      </c>
      <c r="L151" s="14">
        <v>297</v>
      </c>
      <c r="M151" s="14">
        <v>800</v>
      </c>
      <c r="N151" s="15">
        <v>0.5</v>
      </c>
      <c r="O151" s="15">
        <v>553.6</v>
      </c>
      <c r="P151" s="15">
        <v>498.2</v>
      </c>
      <c r="Q151" s="1">
        <f t="shared" si="0"/>
        <v>1.1112003211561623</v>
      </c>
    </row>
    <row r="152" spans="1:17" x14ac:dyDescent="0.3">
      <c r="A152" s="14">
        <v>151</v>
      </c>
      <c r="B152" s="4" t="s">
        <v>32</v>
      </c>
      <c r="C152" s="15">
        <v>10.7</v>
      </c>
      <c r="D152" s="14">
        <v>2400</v>
      </c>
      <c r="E152" s="14">
        <v>2600</v>
      </c>
      <c r="F152" s="16">
        <v>1.08</v>
      </c>
      <c r="G152" s="14">
        <v>140</v>
      </c>
      <c r="H152" s="14">
        <v>1920</v>
      </c>
      <c r="I152" s="14">
        <v>1000</v>
      </c>
      <c r="J152" s="14">
        <v>287</v>
      </c>
      <c r="K152" s="15">
        <v>300</v>
      </c>
      <c r="L152" s="14">
        <v>287</v>
      </c>
      <c r="M152" s="14">
        <v>800</v>
      </c>
      <c r="N152" s="15">
        <v>0.3</v>
      </c>
      <c r="O152" s="15">
        <v>474.4</v>
      </c>
      <c r="P152" s="15">
        <v>427</v>
      </c>
      <c r="Q152" s="1">
        <f t="shared" si="0"/>
        <v>1.111007025761124</v>
      </c>
    </row>
    <row r="153" spans="1:17" x14ac:dyDescent="0.3">
      <c r="A153" s="14">
        <v>152</v>
      </c>
      <c r="B153" s="4" t="s">
        <v>32</v>
      </c>
      <c r="C153" s="15">
        <v>10.7</v>
      </c>
      <c r="D153" s="14">
        <v>2400</v>
      </c>
      <c r="E153" s="14">
        <v>2600</v>
      </c>
      <c r="F153" s="16">
        <v>1.08</v>
      </c>
      <c r="G153" s="14">
        <v>140</v>
      </c>
      <c r="H153" s="14">
        <v>1920</v>
      </c>
      <c r="I153" s="14">
        <v>1000</v>
      </c>
      <c r="J153" s="14">
        <v>287</v>
      </c>
      <c r="K153" s="15">
        <v>266.7</v>
      </c>
      <c r="L153" s="14">
        <v>287</v>
      </c>
      <c r="M153" s="14">
        <v>800</v>
      </c>
      <c r="N153" s="15">
        <v>0.4</v>
      </c>
      <c r="O153" s="15">
        <v>553.6</v>
      </c>
      <c r="P153" s="15">
        <v>498.2</v>
      </c>
      <c r="Q153" s="1">
        <f t="shared" si="0"/>
        <v>1.1112003211561623</v>
      </c>
    </row>
    <row r="154" spans="1:17" hidden="1" x14ac:dyDescent="0.3">
      <c r="A154" s="18">
        <v>153</v>
      </c>
      <c r="B154" s="31" t="s">
        <v>33</v>
      </c>
      <c r="C154" s="20">
        <v>20.67</v>
      </c>
      <c r="D154" s="18">
        <v>1829</v>
      </c>
      <c r="E154" s="18">
        <v>1829</v>
      </c>
      <c r="F154" s="20">
        <v>1</v>
      </c>
      <c r="G154" s="18">
        <v>143</v>
      </c>
      <c r="H154" s="18">
        <v>1727</v>
      </c>
      <c r="I154" s="18">
        <v>1935</v>
      </c>
      <c r="J154" s="18">
        <v>496</v>
      </c>
      <c r="K154" s="18">
        <v>71</v>
      </c>
      <c r="L154" s="18">
        <v>386</v>
      </c>
      <c r="M154" s="18">
        <v>406</v>
      </c>
      <c r="N154" s="19">
        <v>1</v>
      </c>
      <c r="O154" s="19">
        <v>491.7</v>
      </c>
      <c r="P154" s="19">
        <v>455.1</v>
      </c>
    </row>
    <row r="155" spans="1:17" hidden="1" x14ac:dyDescent="0.3">
      <c r="A155" s="18">
        <v>154</v>
      </c>
      <c r="B155" s="31" t="s">
        <v>33</v>
      </c>
      <c r="C155" s="20">
        <v>17.91</v>
      </c>
      <c r="D155" s="18">
        <v>1829</v>
      </c>
      <c r="E155" s="18">
        <v>1829</v>
      </c>
      <c r="F155" s="20">
        <v>1</v>
      </c>
      <c r="G155" s="18">
        <v>143</v>
      </c>
      <c r="H155" s="18">
        <v>1727</v>
      </c>
      <c r="I155" s="18">
        <v>1935</v>
      </c>
      <c r="J155" s="18">
        <v>496</v>
      </c>
      <c r="K155" s="18">
        <v>71</v>
      </c>
      <c r="L155" s="18">
        <v>386</v>
      </c>
      <c r="M155" s="18">
        <v>406</v>
      </c>
      <c r="N155" s="19">
        <v>1</v>
      </c>
      <c r="O155" s="19">
        <v>0</v>
      </c>
      <c r="P155" s="19">
        <v>353.1</v>
      </c>
    </row>
    <row r="156" spans="1:17" hidden="1" x14ac:dyDescent="0.3">
      <c r="A156" s="18">
        <v>155</v>
      </c>
      <c r="B156" s="31" t="s">
        <v>33</v>
      </c>
      <c r="C156" s="20">
        <v>17.91</v>
      </c>
      <c r="D156" s="18">
        <v>1829</v>
      </c>
      <c r="E156" s="18">
        <v>1829</v>
      </c>
      <c r="F156" s="20">
        <v>1</v>
      </c>
      <c r="G156" s="18">
        <v>143</v>
      </c>
      <c r="H156" s="18">
        <v>1727</v>
      </c>
      <c r="I156" s="18">
        <v>1935</v>
      </c>
      <c r="J156" s="18">
        <v>496</v>
      </c>
      <c r="K156" s="18">
        <v>71</v>
      </c>
      <c r="L156" s="18">
        <v>386</v>
      </c>
      <c r="M156" s="18">
        <v>406</v>
      </c>
      <c r="N156" s="19">
        <v>1</v>
      </c>
      <c r="O156" s="19">
        <v>180.5</v>
      </c>
      <c r="P156" s="19">
        <v>384.5</v>
      </c>
    </row>
    <row r="157" spans="1:17" hidden="1" x14ac:dyDescent="0.3">
      <c r="A157" s="18">
        <v>156</v>
      </c>
      <c r="B157" s="31" t="s">
        <v>33</v>
      </c>
      <c r="C157" s="20">
        <v>20.67</v>
      </c>
      <c r="D157" s="18">
        <v>1829</v>
      </c>
      <c r="E157" s="18">
        <v>1829</v>
      </c>
      <c r="F157" s="20">
        <v>1</v>
      </c>
      <c r="G157" s="18">
        <v>143</v>
      </c>
      <c r="H157" s="18">
        <v>1727</v>
      </c>
      <c r="I157" s="18">
        <v>1935</v>
      </c>
      <c r="J157" s="18">
        <v>496</v>
      </c>
      <c r="K157" s="18">
        <v>71</v>
      </c>
      <c r="L157" s="18">
        <v>386</v>
      </c>
      <c r="M157" s="18">
        <v>406</v>
      </c>
      <c r="N157" s="19">
        <v>1</v>
      </c>
      <c r="O157" s="19">
        <v>180.5</v>
      </c>
      <c r="P157" s="19">
        <v>431.6</v>
      </c>
    </row>
    <row r="158" spans="1:17" hidden="1" x14ac:dyDescent="0.3">
      <c r="A158" s="18">
        <v>157</v>
      </c>
      <c r="B158" s="31" t="s">
        <v>33</v>
      </c>
      <c r="C158" s="20">
        <v>20.67</v>
      </c>
      <c r="D158" s="18">
        <v>1829</v>
      </c>
      <c r="E158" s="18">
        <v>1829</v>
      </c>
      <c r="F158" s="20">
        <v>1</v>
      </c>
      <c r="G158" s="18">
        <v>143</v>
      </c>
      <c r="H158" s="18">
        <v>1727</v>
      </c>
      <c r="I158" s="18">
        <v>1000</v>
      </c>
      <c r="J158" s="18">
        <v>441</v>
      </c>
      <c r="K158" s="18">
        <v>71</v>
      </c>
      <c r="L158" s="18">
        <v>386</v>
      </c>
      <c r="M158" s="18">
        <v>406</v>
      </c>
      <c r="N158" s="19">
        <v>1</v>
      </c>
      <c r="O158" s="19">
        <v>486.5</v>
      </c>
      <c r="P158" s="19">
        <v>426.3</v>
      </c>
    </row>
    <row r="159" spans="1:17" hidden="1" x14ac:dyDescent="0.3">
      <c r="A159" s="18">
        <v>158</v>
      </c>
      <c r="B159" s="31" t="s">
        <v>33</v>
      </c>
      <c r="C159" s="20">
        <v>22.74</v>
      </c>
      <c r="D159" s="18">
        <v>1829</v>
      </c>
      <c r="E159" s="18">
        <v>1829</v>
      </c>
      <c r="F159" s="20">
        <v>1</v>
      </c>
      <c r="G159" s="18">
        <v>143</v>
      </c>
      <c r="H159" s="18">
        <v>1727</v>
      </c>
      <c r="I159" s="18">
        <v>1420</v>
      </c>
      <c r="J159" s="18">
        <v>448</v>
      </c>
      <c r="K159" s="18">
        <v>71</v>
      </c>
      <c r="L159" s="18">
        <v>462</v>
      </c>
      <c r="M159" s="18">
        <v>406</v>
      </c>
      <c r="N159" s="19">
        <v>1</v>
      </c>
      <c r="O159" s="19">
        <v>486.5</v>
      </c>
      <c r="P159" s="19">
        <v>499.6</v>
      </c>
    </row>
    <row r="160" spans="1:17" hidden="1" x14ac:dyDescent="0.3">
      <c r="A160" s="18">
        <v>159</v>
      </c>
      <c r="B160" s="31" t="s">
        <v>33</v>
      </c>
      <c r="C160" s="20">
        <v>22.74</v>
      </c>
      <c r="D160" s="18">
        <v>1829</v>
      </c>
      <c r="E160" s="18">
        <v>1829</v>
      </c>
      <c r="F160" s="20">
        <v>1</v>
      </c>
      <c r="G160" s="18">
        <v>143</v>
      </c>
      <c r="H160" s="18">
        <v>1727</v>
      </c>
      <c r="I160" s="18">
        <v>1420</v>
      </c>
      <c r="J160" s="18">
        <v>448</v>
      </c>
      <c r="K160" s="18">
        <v>71</v>
      </c>
      <c r="L160" s="18">
        <v>386</v>
      </c>
      <c r="M160" s="18">
        <v>406</v>
      </c>
      <c r="N160" s="19">
        <v>1</v>
      </c>
      <c r="O160" s="19">
        <v>486.5</v>
      </c>
      <c r="P160" s="19">
        <v>468.2</v>
      </c>
    </row>
    <row r="161" spans="1:16" hidden="1" x14ac:dyDescent="0.3">
      <c r="A161" s="18">
        <v>160</v>
      </c>
      <c r="B161" s="31" t="s">
        <v>33</v>
      </c>
      <c r="C161" s="20">
        <v>17.23</v>
      </c>
      <c r="D161" s="18">
        <v>1829</v>
      </c>
      <c r="E161" s="18">
        <v>1829</v>
      </c>
      <c r="F161" s="20">
        <v>1</v>
      </c>
      <c r="G161" s="18">
        <v>143</v>
      </c>
      <c r="H161" s="18">
        <v>1727</v>
      </c>
      <c r="I161" s="18">
        <v>1935</v>
      </c>
      <c r="J161" s="18">
        <v>496</v>
      </c>
      <c r="K161" s="18">
        <v>71</v>
      </c>
      <c r="L161" s="18">
        <v>462</v>
      </c>
      <c r="M161" s="18">
        <v>406</v>
      </c>
      <c r="N161" s="19">
        <v>1</v>
      </c>
      <c r="O161" s="19">
        <v>486.5</v>
      </c>
      <c r="P161" s="19">
        <v>536.20000000000005</v>
      </c>
    </row>
    <row r="162" spans="1:16" hidden="1" x14ac:dyDescent="0.3">
      <c r="A162" s="18">
        <v>161</v>
      </c>
      <c r="B162" s="31" t="s">
        <v>34</v>
      </c>
      <c r="C162" s="20">
        <v>22.81</v>
      </c>
      <c r="D162" s="18">
        <v>1200</v>
      </c>
      <c r="E162" s="18">
        <v>1800</v>
      </c>
      <c r="F162" s="20">
        <v>1.5</v>
      </c>
      <c r="G162" s="18">
        <v>190</v>
      </c>
      <c r="H162" s="18">
        <v>1105</v>
      </c>
      <c r="I162" s="18">
        <v>1537</v>
      </c>
      <c r="J162" s="18">
        <v>387</v>
      </c>
      <c r="K162" s="19">
        <v>126.9</v>
      </c>
      <c r="L162" s="18">
        <v>354</v>
      </c>
      <c r="M162" s="18">
        <v>400</v>
      </c>
      <c r="N162" s="19">
        <v>1</v>
      </c>
      <c r="O162" s="19">
        <v>893.8</v>
      </c>
      <c r="P162" s="19">
        <v>547.20000000000005</v>
      </c>
    </row>
    <row r="163" spans="1:16" hidden="1" x14ac:dyDescent="0.3">
      <c r="A163" s="18">
        <v>162</v>
      </c>
      <c r="B163" s="31" t="s">
        <v>34</v>
      </c>
      <c r="C163" s="20">
        <v>22.81</v>
      </c>
      <c r="D163" s="18">
        <v>2000</v>
      </c>
      <c r="E163" s="18">
        <v>1800</v>
      </c>
      <c r="F163" s="20">
        <v>0.9</v>
      </c>
      <c r="G163" s="18">
        <v>190</v>
      </c>
      <c r="H163" s="18">
        <v>1105</v>
      </c>
      <c r="I163" s="18">
        <v>2561</v>
      </c>
      <c r="J163" s="18">
        <v>387</v>
      </c>
      <c r="K163" s="19">
        <v>126.9</v>
      </c>
      <c r="L163" s="18">
        <v>354</v>
      </c>
      <c r="M163" s="18">
        <v>400</v>
      </c>
      <c r="N163" s="19">
        <v>1</v>
      </c>
      <c r="O163" s="19">
        <v>2230.6</v>
      </c>
      <c r="P163" s="19">
        <v>991.8</v>
      </c>
    </row>
    <row r="164" spans="1:16" hidden="1" x14ac:dyDescent="0.3">
      <c r="A164" s="18">
        <v>163</v>
      </c>
      <c r="B164" s="31" t="s">
        <v>34</v>
      </c>
      <c r="C164" s="20">
        <v>26.73</v>
      </c>
      <c r="D164" s="18">
        <v>1200</v>
      </c>
      <c r="E164" s="18">
        <v>1800</v>
      </c>
      <c r="F164" s="20">
        <v>1.5</v>
      </c>
      <c r="G164" s="18">
        <v>190</v>
      </c>
      <c r="H164" s="18">
        <v>1905</v>
      </c>
      <c r="I164" s="18">
        <v>1161</v>
      </c>
      <c r="J164" s="18">
        <v>387</v>
      </c>
      <c r="K164" s="19">
        <v>126.9</v>
      </c>
      <c r="L164" s="18">
        <v>354</v>
      </c>
      <c r="M164" s="18">
        <v>400</v>
      </c>
      <c r="N164" s="19">
        <v>1</v>
      </c>
      <c r="O164" s="19">
        <v>0</v>
      </c>
      <c r="P164" s="19">
        <v>711.4</v>
      </c>
    </row>
    <row r="165" spans="1:16" hidden="1" x14ac:dyDescent="0.3">
      <c r="A165" s="18">
        <v>164</v>
      </c>
      <c r="B165" s="31" t="s">
        <v>34</v>
      </c>
      <c r="C165" s="20">
        <v>25.16</v>
      </c>
      <c r="D165" s="18">
        <v>1200</v>
      </c>
      <c r="E165" s="18">
        <v>1800</v>
      </c>
      <c r="F165" s="20">
        <v>1.5</v>
      </c>
      <c r="G165" s="18">
        <v>190</v>
      </c>
      <c r="H165" s="18">
        <v>1105</v>
      </c>
      <c r="I165" s="18">
        <v>1537</v>
      </c>
      <c r="J165" s="18">
        <v>387</v>
      </c>
      <c r="K165" s="19">
        <v>126.9</v>
      </c>
      <c r="L165" s="18">
        <v>354</v>
      </c>
      <c r="M165" s="18">
        <v>400</v>
      </c>
      <c r="N165" s="19">
        <v>1</v>
      </c>
      <c r="O165" s="19">
        <v>0</v>
      </c>
      <c r="P165" s="19">
        <v>529</v>
      </c>
    </row>
    <row r="166" spans="1:16" hidden="1" x14ac:dyDescent="0.3">
      <c r="A166" s="14">
        <v>165</v>
      </c>
      <c r="B166" s="33" t="s">
        <v>38</v>
      </c>
      <c r="C166" s="16">
        <v>23.14</v>
      </c>
      <c r="D166" s="14">
        <v>1219</v>
      </c>
      <c r="E166" s="14">
        <v>1422</v>
      </c>
      <c r="F166" s="16">
        <v>1.17</v>
      </c>
      <c r="G166" s="14">
        <v>194</v>
      </c>
      <c r="H166" s="14">
        <v>1143</v>
      </c>
      <c r="I166" s="14">
        <v>464</v>
      </c>
      <c r="J166" s="14">
        <v>465</v>
      </c>
      <c r="K166" s="15">
        <v>154.80000000000001</v>
      </c>
      <c r="L166" s="14">
        <v>407</v>
      </c>
      <c r="M166" s="14">
        <v>284</v>
      </c>
      <c r="N166" s="15">
        <v>1</v>
      </c>
      <c r="O166" s="15">
        <v>444.6</v>
      </c>
      <c r="P166" s="15">
        <v>461.1</v>
      </c>
    </row>
    <row r="167" spans="1:16" hidden="1" x14ac:dyDescent="0.3">
      <c r="A167" s="14">
        <v>166</v>
      </c>
      <c r="B167" s="33" t="s">
        <v>38</v>
      </c>
      <c r="C167" s="16">
        <v>23.14</v>
      </c>
      <c r="D167" s="14">
        <v>1219</v>
      </c>
      <c r="E167" s="14">
        <v>1422</v>
      </c>
      <c r="F167" s="16">
        <v>1.17</v>
      </c>
      <c r="G167" s="14">
        <v>194</v>
      </c>
      <c r="H167" s="14">
        <v>1143</v>
      </c>
      <c r="I167" s="14">
        <v>400</v>
      </c>
      <c r="J167" s="14">
        <v>465</v>
      </c>
      <c r="K167" s="15">
        <v>154.80000000000001</v>
      </c>
      <c r="L167" s="14">
        <v>407</v>
      </c>
      <c r="M167" s="14">
        <v>284</v>
      </c>
      <c r="N167" s="15">
        <v>1</v>
      </c>
      <c r="O167" s="15">
        <v>711.8</v>
      </c>
      <c r="P167" s="15">
        <v>562.79999999999995</v>
      </c>
    </row>
    <row r="168" spans="1:16" hidden="1" x14ac:dyDescent="0.3">
      <c r="A168" s="14">
        <v>167</v>
      </c>
      <c r="B168" s="33" t="s">
        <v>38</v>
      </c>
      <c r="C168" s="16">
        <v>15.83</v>
      </c>
      <c r="D168" s="14">
        <v>1219</v>
      </c>
      <c r="E168" s="14">
        <v>1422</v>
      </c>
      <c r="F168" s="16">
        <v>1.17</v>
      </c>
      <c r="G168" s="14">
        <v>143</v>
      </c>
      <c r="H168" s="14">
        <v>1143</v>
      </c>
      <c r="I168" s="14">
        <v>774</v>
      </c>
      <c r="J168" s="14">
        <v>391</v>
      </c>
      <c r="K168" s="15">
        <v>160</v>
      </c>
      <c r="L168" s="14">
        <v>438</v>
      </c>
      <c r="M168" s="14">
        <v>284</v>
      </c>
      <c r="N168" s="15">
        <v>1</v>
      </c>
      <c r="O168" s="15">
        <v>484.6</v>
      </c>
      <c r="P168" s="15">
        <v>428.8</v>
      </c>
    </row>
    <row r="169" spans="1:16" hidden="1" x14ac:dyDescent="0.3">
      <c r="A169" s="14">
        <v>168</v>
      </c>
      <c r="B169" s="33" t="s">
        <v>38</v>
      </c>
      <c r="C169" s="16">
        <v>15.83</v>
      </c>
      <c r="D169" s="14">
        <v>1219</v>
      </c>
      <c r="E169" s="14">
        <v>1422</v>
      </c>
      <c r="F169" s="16">
        <v>1.17</v>
      </c>
      <c r="G169" s="14">
        <v>143</v>
      </c>
      <c r="H169" s="14">
        <v>1143</v>
      </c>
      <c r="I169" s="14">
        <v>774</v>
      </c>
      <c r="J169" s="14">
        <v>410</v>
      </c>
      <c r="K169" s="15">
        <v>160</v>
      </c>
      <c r="L169" s="14">
        <v>438</v>
      </c>
      <c r="M169" s="14">
        <v>284</v>
      </c>
      <c r="N169" s="15">
        <v>1</v>
      </c>
      <c r="O169" s="15">
        <v>484.6</v>
      </c>
      <c r="P169" s="15">
        <v>428.8</v>
      </c>
    </row>
    <row r="170" spans="1:16" hidden="1" x14ac:dyDescent="0.3">
      <c r="A170" s="14">
        <v>169</v>
      </c>
      <c r="B170" s="33" t="s">
        <v>38</v>
      </c>
      <c r="C170" s="16">
        <v>15.13</v>
      </c>
      <c r="D170" s="14">
        <v>1219</v>
      </c>
      <c r="E170" s="14">
        <v>1422</v>
      </c>
      <c r="F170" s="16">
        <v>1.17</v>
      </c>
      <c r="G170" s="14">
        <v>143</v>
      </c>
      <c r="H170" s="14">
        <v>1143</v>
      </c>
      <c r="I170" s="14">
        <v>774</v>
      </c>
      <c r="J170" s="14">
        <v>391</v>
      </c>
      <c r="K170" s="15">
        <v>133.5</v>
      </c>
      <c r="L170" s="14">
        <v>438</v>
      </c>
      <c r="M170" s="14">
        <v>474</v>
      </c>
      <c r="N170" s="15">
        <v>1</v>
      </c>
      <c r="O170" s="15">
        <v>484.6</v>
      </c>
      <c r="P170" s="15">
        <v>411.4</v>
      </c>
    </row>
    <row r="171" spans="1:16" hidden="1" x14ac:dyDescent="0.3">
      <c r="A171" s="14">
        <v>170</v>
      </c>
      <c r="B171" s="33" t="s">
        <v>38</v>
      </c>
      <c r="C171" s="16">
        <v>15.13</v>
      </c>
      <c r="D171" s="14">
        <v>1219</v>
      </c>
      <c r="E171" s="14">
        <v>1422</v>
      </c>
      <c r="F171" s="16">
        <v>1.17</v>
      </c>
      <c r="G171" s="14">
        <v>143</v>
      </c>
      <c r="H171" s="14">
        <v>1143</v>
      </c>
      <c r="I171" s="14">
        <v>774</v>
      </c>
      <c r="J171" s="14">
        <v>410</v>
      </c>
      <c r="K171" s="15">
        <v>133.5</v>
      </c>
      <c r="L171" s="14">
        <v>438</v>
      </c>
      <c r="M171" s="14">
        <v>474</v>
      </c>
      <c r="N171" s="15">
        <v>1</v>
      </c>
      <c r="O171" s="15">
        <v>484.6</v>
      </c>
      <c r="P171" s="15">
        <v>388.7</v>
      </c>
    </row>
    <row r="172" spans="1:16" hidden="1" x14ac:dyDescent="0.3">
      <c r="A172" s="14">
        <v>171</v>
      </c>
      <c r="B172" s="33" t="s">
        <v>38</v>
      </c>
      <c r="C172" s="16">
        <v>15.13</v>
      </c>
      <c r="D172" s="14">
        <v>1219</v>
      </c>
      <c r="E172" s="14">
        <v>1422</v>
      </c>
      <c r="F172" s="16">
        <v>1.17</v>
      </c>
      <c r="G172" s="14">
        <v>143</v>
      </c>
      <c r="H172" s="14">
        <v>1143</v>
      </c>
      <c r="I172" s="14">
        <v>774</v>
      </c>
      <c r="J172" s="14">
        <v>391</v>
      </c>
      <c r="K172" s="15">
        <v>21.8</v>
      </c>
      <c r="L172" s="14">
        <v>438</v>
      </c>
      <c r="M172" s="14">
        <v>203</v>
      </c>
      <c r="N172" s="15">
        <v>1</v>
      </c>
      <c r="O172" s="15">
        <v>484.6</v>
      </c>
      <c r="P172" s="15">
        <v>334.7</v>
      </c>
    </row>
    <row r="173" spans="1:16" hidden="1" x14ac:dyDescent="0.3">
      <c r="A173" s="14">
        <v>172</v>
      </c>
      <c r="B173" s="33" t="s">
        <v>38</v>
      </c>
      <c r="C173" s="16">
        <v>15.13</v>
      </c>
      <c r="D173" s="14">
        <v>1219</v>
      </c>
      <c r="E173" s="14">
        <v>1422</v>
      </c>
      <c r="F173" s="16">
        <v>1.17</v>
      </c>
      <c r="G173" s="14">
        <v>143</v>
      </c>
      <c r="H173" s="14">
        <v>1143</v>
      </c>
      <c r="I173" s="14">
        <v>774</v>
      </c>
      <c r="J173" s="14">
        <v>391</v>
      </c>
      <c r="K173" s="15">
        <v>155.19999999999999</v>
      </c>
      <c r="L173" s="14">
        <v>438</v>
      </c>
      <c r="M173" s="14">
        <v>399</v>
      </c>
      <c r="N173" s="15">
        <v>1</v>
      </c>
      <c r="O173" s="15">
        <v>484.6</v>
      </c>
      <c r="P173" s="15">
        <v>423.6</v>
      </c>
    </row>
    <row r="174" spans="1:16" hidden="1" x14ac:dyDescent="0.3">
      <c r="A174" s="14">
        <v>173</v>
      </c>
      <c r="B174" s="33" t="s">
        <v>38</v>
      </c>
      <c r="C174" s="16">
        <v>15.13</v>
      </c>
      <c r="D174" s="14">
        <v>1219</v>
      </c>
      <c r="E174" s="14">
        <v>1422</v>
      </c>
      <c r="F174" s="16">
        <v>1.17</v>
      </c>
      <c r="G174" s="14">
        <v>143</v>
      </c>
      <c r="H174" s="14">
        <v>1143</v>
      </c>
      <c r="I174" s="14">
        <v>774</v>
      </c>
      <c r="J174" s="14">
        <v>391</v>
      </c>
      <c r="K174" s="15">
        <v>133.5</v>
      </c>
      <c r="L174" s="14">
        <v>438</v>
      </c>
      <c r="M174" s="14">
        <v>474</v>
      </c>
      <c r="N174" s="15">
        <v>1</v>
      </c>
      <c r="O174" s="15">
        <v>303.3</v>
      </c>
      <c r="P174" s="15">
        <v>341.7</v>
      </c>
    </row>
    <row r="175" spans="1:16" hidden="1" x14ac:dyDescent="0.3">
      <c r="A175" s="14">
        <v>174</v>
      </c>
      <c r="B175" s="33" t="s">
        <v>38</v>
      </c>
      <c r="C175" s="16">
        <v>15.13</v>
      </c>
      <c r="D175" s="14">
        <v>1219</v>
      </c>
      <c r="E175" s="14">
        <v>1422</v>
      </c>
      <c r="F175" s="16">
        <v>1.17</v>
      </c>
      <c r="G175" s="14">
        <v>143</v>
      </c>
      <c r="H175" s="14">
        <v>1143</v>
      </c>
      <c r="I175" s="14">
        <v>774</v>
      </c>
      <c r="J175" s="14">
        <v>391</v>
      </c>
      <c r="K175" s="15">
        <v>133.5</v>
      </c>
      <c r="L175" s="14">
        <v>438</v>
      </c>
      <c r="M175" s="14">
        <v>474</v>
      </c>
      <c r="N175" s="15">
        <v>1</v>
      </c>
      <c r="O175" s="15">
        <v>481.1</v>
      </c>
      <c r="P175" s="15">
        <v>418.4</v>
      </c>
    </row>
    <row r="176" spans="1:16" hidden="1" x14ac:dyDescent="0.3">
      <c r="A176" s="14">
        <v>175</v>
      </c>
      <c r="B176" s="33" t="s">
        <v>38</v>
      </c>
      <c r="C176" s="16">
        <v>20.11</v>
      </c>
      <c r="D176" s="14">
        <v>1219</v>
      </c>
      <c r="E176" s="14">
        <v>1422</v>
      </c>
      <c r="F176" s="16">
        <v>1.17</v>
      </c>
      <c r="G176" s="14">
        <v>143</v>
      </c>
      <c r="H176" s="14">
        <v>1143</v>
      </c>
      <c r="I176" s="14">
        <v>774</v>
      </c>
      <c r="J176" s="14">
        <v>391</v>
      </c>
      <c r="K176" s="15">
        <v>133.5</v>
      </c>
      <c r="L176" s="14">
        <v>438</v>
      </c>
      <c r="M176" s="14">
        <v>474</v>
      </c>
      <c r="N176" s="15">
        <v>1</v>
      </c>
      <c r="O176" s="15">
        <v>481.1</v>
      </c>
      <c r="P176" s="15">
        <v>320.7</v>
      </c>
    </row>
    <row r="177" spans="1:16" hidden="1" x14ac:dyDescent="0.3">
      <c r="A177" s="14">
        <v>176</v>
      </c>
      <c r="B177" s="33" t="s">
        <v>38</v>
      </c>
      <c r="C177" s="16">
        <v>20.11</v>
      </c>
      <c r="D177" s="14">
        <v>1219</v>
      </c>
      <c r="E177" s="14">
        <v>1422</v>
      </c>
      <c r="F177" s="16">
        <v>1.17</v>
      </c>
      <c r="G177" s="14">
        <v>143</v>
      </c>
      <c r="H177" s="14">
        <v>1143</v>
      </c>
      <c r="I177" s="14">
        <v>774</v>
      </c>
      <c r="J177" s="14">
        <v>391</v>
      </c>
      <c r="K177" s="15">
        <v>166.7</v>
      </c>
      <c r="L177" s="14">
        <v>438</v>
      </c>
      <c r="M177" s="14">
        <v>237</v>
      </c>
      <c r="N177" s="15">
        <v>1</v>
      </c>
      <c r="O177" s="15">
        <v>481.1</v>
      </c>
      <c r="P177" s="15">
        <v>334.7</v>
      </c>
    </row>
    <row r="178" spans="1:16" hidden="1" x14ac:dyDescent="0.3">
      <c r="A178" s="14">
        <v>177</v>
      </c>
      <c r="B178" s="33" t="s">
        <v>38</v>
      </c>
      <c r="C178" s="16">
        <v>20.11</v>
      </c>
      <c r="D178" s="14">
        <v>1219</v>
      </c>
      <c r="E178" s="14">
        <v>1422</v>
      </c>
      <c r="F178" s="16">
        <v>1.17</v>
      </c>
      <c r="G178" s="14">
        <v>143</v>
      </c>
      <c r="H178" s="14">
        <v>1143</v>
      </c>
      <c r="I178" s="14">
        <v>1175</v>
      </c>
      <c r="J178" s="14">
        <v>391</v>
      </c>
      <c r="K178" s="15">
        <v>133.5</v>
      </c>
      <c r="L178" s="14">
        <v>438</v>
      </c>
      <c r="M178" s="14">
        <v>474</v>
      </c>
      <c r="N178" s="15">
        <v>1</v>
      </c>
      <c r="O178" s="15">
        <v>481.1</v>
      </c>
      <c r="P178" s="15">
        <v>409.6</v>
      </c>
    </row>
    <row r="179" spans="1:16" hidden="1" x14ac:dyDescent="0.3">
      <c r="A179" s="14">
        <v>178</v>
      </c>
      <c r="B179" s="33" t="s">
        <v>38</v>
      </c>
      <c r="C179" s="16">
        <v>20.11</v>
      </c>
      <c r="D179" s="14">
        <v>1219</v>
      </c>
      <c r="E179" s="14">
        <v>1422</v>
      </c>
      <c r="F179" s="16">
        <v>1.17</v>
      </c>
      <c r="G179" s="14">
        <v>143</v>
      </c>
      <c r="H179" s="14">
        <v>1143</v>
      </c>
      <c r="I179" s="14">
        <v>800</v>
      </c>
      <c r="J179" s="14">
        <v>438</v>
      </c>
      <c r="K179" s="15">
        <v>166.7</v>
      </c>
      <c r="L179" s="14">
        <v>438</v>
      </c>
      <c r="M179" s="14">
        <v>237</v>
      </c>
      <c r="N179" s="15">
        <v>1</v>
      </c>
      <c r="O179" s="15">
        <v>481.1</v>
      </c>
      <c r="P179" s="15">
        <v>418.4</v>
      </c>
    </row>
    <row r="180" spans="1:16" hidden="1" x14ac:dyDescent="0.3">
      <c r="A180" s="14">
        <v>179</v>
      </c>
      <c r="B180" s="33" t="s">
        <v>38</v>
      </c>
      <c r="C180" s="16">
        <v>20.11</v>
      </c>
      <c r="D180" s="14">
        <v>1219</v>
      </c>
      <c r="E180" s="14">
        <v>1422</v>
      </c>
      <c r="F180" s="16">
        <v>1.17</v>
      </c>
      <c r="G180" s="14">
        <v>143</v>
      </c>
      <c r="H180" s="14">
        <v>1143</v>
      </c>
      <c r="I180" s="14">
        <v>774</v>
      </c>
      <c r="J180" s="14">
        <v>410</v>
      </c>
      <c r="K180" s="15">
        <v>133.5</v>
      </c>
      <c r="L180" s="14">
        <v>438</v>
      </c>
      <c r="M180" s="14">
        <v>474</v>
      </c>
      <c r="N180" s="15">
        <v>1</v>
      </c>
      <c r="O180" s="14">
        <v>143</v>
      </c>
      <c r="P180" s="15">
        <v>353.9</v>
      </c>
    </row>
    <row r="181" spans="1:16" hidden="1" x14ac:dyDescent="0.3">
      <c r="A181" s="14">
        <v>180</v>
      </c>
      <c r="B181" s="33" t="s">
        <v>38</v>
      </c>
      <c r="C181" s="16">
        <v>20.11</v>
      </c>
      <c r="D181" s="14">
        <v>1219</v>
      </c>
      <c r="E181" s="14">
        <v>1422</v>
      </c>
      <c r="F181" s="16">
        <v>1.17</v>
      </c>
      <c r="G181" s="14">
        <v>143</v>
      </c>
      <c r="H181" s="14">
        <v>1143</v>
      </c>
      <c r="I181" s="14">
        <v>774</v>
      </c>
      <c r="J181" s="14">
        <v>410</v>
      </c>
      <c r="K181" s="15">
        <v>166.7</v>
      </c>
      <c r="L181" s="14">
        <v>438</v>
      </c>
      <c r="M181" s="14">
        <v>237</v>
      </c>
      <c r="N181" s="15">
        <v>1</v>
      </c>
      <c r="O181" s="14">
        <v>143</v>
      </c>
      <c r="P181" s="15">
        <v>383.5</v>
      </c>
    </row>
    <row r="182" spans="1:16" hidden="1" x14ac:dyDescent="0.3">
      <c r="A182" s="14">
        <v>181</v>
      </c>
      <c r="B182" s="33" t="s">
        <v>38</v>
      </c>
      <c r="C182" s="16">
        <v>20.11</v>
      </c>
      <c r="D182" s="14">
        <v>1219</v>
      </c>
      <c r="E182" s="27">
        <v>1422</v>
      </c>
      <c r="F182" s="16">
        <v>1.17</v>
      </c>
      <c r="G182" s="14">
        <v>143</v>
      </c>
      <c r="H182" s="14">
        <v>1143</v>
      </c>
      <c r="I182" s="14">
        <v>258</v>
      </c>
      <c r="J182" s="14">
        <v>391</v>
      </c>
      <c r="K182" s="15">
        <v>133.5</v>
      </c>
      <c r="L182" s="14">
        <v>438</v>
      </c>
      <c r="M182" s="14">
        <v>474</v>
      </c>
      <c r="N182" s="15">
        <v>1</v>
      </c>
      <c r="O182" s="14">
        <v>143</v>
      </c>
      <c r="P182" s="15">
        <v>380</v>
      </c>
    </row>
    <row r="183" spans="1:16" hidden="1" x14ac:dyDescent="0.3">
      <c r="A183" s="14">
        <v>182</v>
      </c>
      <c r="B183" s="33" t="s">
        <v>38</v>
      </c>
      <c r="C183" s="16">
        <v>20.11</v>
      </c>
      <c r="D183" s="14">
        <v>1219</v>
      </c>
      <c r="E183" s="27">
        <v>1422</v>
      </c>
      <c r="F183" s="16">
        <v>1.17</v>
      </c>
      <c r="G183" s="14">
        <v>143</v>
      </c>
      <c r="H183" s="14">
        <v>1143</v>
      </c>
      <c r="I183" s="14">
        <v>774</v>
      </c>
      <c r="J183" s="14">
        <v>391</v>
      </c>
      <c r="K183" s="15">
        <v>166.7</v>
      </c>
      <c r="L183" s="14">
        <v>438</v>
      </c>
      <c r="M183" s="14">
        <v>237</v>
      </c>
      <c r="N183" s="15">
        <v>1</v>
      </c>
      <c r="O183" s="14">
        <v>143</v>
      </c>
      <c r="P183" s="15">
        <v>373</v>
      </c>
    </row>
    <row r="184" spans="1:16" hidden="1" x14ac:dyDescent="0.3">
      <c r="A184" s="14">
        <v>183</v>
      </c>
      <c r="B184" s="33" t="s">
        <v>38</v>
      </c>
      <c r="C184" s="16">
        <v>20.11</v>
      </c>
      <c r="D184" s="14">
        <v>1219</v>
      </c>
      <c r="E184" s="27">
        <v>1422</v>
      </c>
      <c r="F184" s="16">
        <v>1.17</v>
      </c>
      <c r="G184" s="14">
        <v>143</v>
      </c>
      <c r="H184" s="14">
        <v>1143</v>
      </c>
      <c r="I184" s="14">
        <v>774</v>
      </c>
      <c r="J184" s="14">
        <v>391</v>
      </c>
      <c r="K184" s="15">
        <v>103.2</v>
      </c>
      <c r="L184" s="14">
        <v>410</v>
      </c>
      <c r="M184" s="14">
        <v>284</v>
      </c>
      <c r="N184" s="15">
        <v>1</v>
      </c>
      <c r="O184" s="14">
        <v>143</v>
      </c>
      <c r="P184" s="15">
        <v>392.2</v>
      </c>
    </row>
    <row r="185" spans="1:16" hidden="1" x14ac:dyDescent="0.3">
      <c r="A185" s="14">
        <v>184</v>
      </c>
      <c r="B185" s="33" t="s">
        <v>38</v>
      </c>
      <c r="C185" s="16">
        <v>20.11</v>
      </c>
      <c r="D185" s="14">
        <v>1219</v>
      </c>
      <c r="E185" s="27">
        <v>1422</v>
      </c>
      <c r="F185" s="16">
        <v>1.17</v>
      </c>
      <c r="G185" s="14">
        <v>143</v>
      </c>
      <c r="H185" s="14">
        <v>1143</v>
      </c>
      <c r="I185" s="14">
        <v>774</v>
      </c>
      <c r="J185" s="14">
        <v>410</v>
      </c>
      <c r="K185" s="15">
        <v>117.1</v>
      </c>
      <c r="L185" s="14">
        <v>417</v>
      </c>
      <c r="M185" s="14">
        <v>129</v>
      </c>
      <c r="N185" s="15">
        <v>1</v>
      </c>
      <c r="O185" s="14">
        <v>143</v>
      </c>
      <c r="P185" s="15">
        <v>395.7</v>
      </c>
    </row>
    <row r="186" spans="1:16" hidden="1" x14ac:dyDescent="0.3">
      <c r="A186" s="14">
        <v>185</v>
      </c>
      <c r="B186" s="33" t="s">
        <v>38</v>
      </c>
      <c r="C186" s="16">
        <v>27.62</v>
      </c>
      <c r="D186" s="14">
        <v>1219</v>
      </c>
      <c r="E186" s="27">
        <v>1422</v>
      </c>
      <c r="F186" s="16">
        <v>1.17</v>
      </c>
      <c r="G186" s="14">
        <v>143</v>
      </c>
      <c r="H186" s="14">
        <v>1143</v>
      </c>
      <c r="I186" s="14">
        <v>774</v>
      </c>
      <c r="J186" s="14">
        <v>391</v>
      </c>
      <c r="K186" s="15">
        <v>29</v>
      </c>
      <c r="L186" s="14">
        <v>438</v>
      </c>
      <c r="M186" s="14">
        <v>203</v>
      </c>
      <c r="N186" s="15">
        <v>1</v>
      </c>
      <c r="O186" s="14">
        <v>143</v>
      </c>
      <c r="P186" s="15">
        <v>468.9</v>
      </c>
    </row>
    <row r="187" spans="1:16" hidden="1" x14ac:dyDescent="0.3">
      <c r="A187" s="18">
        <v>186</v>
      </c>
      <c r="B187" s="32" t="s">
        <v>39</v>
      </c>
      <c r="C187" s="19">
        <v>9.1999999999999993</v>
      </c>
      <c r="D187" s="18">
        <v>1200</v>
      </c>
      <c r="E187" s="28">
        <v>1400</v>
      </c>
      <c r="F187" s="20">
        <v>1.17</v>
      </c>
      <c r="G187" s="18">
        <v>190</v>
      </c>
      <c r="H187" s="18">
        <v>960</v>
      </c>
      <c r="I187" s="18">
        <v>0</v>
      </c>
      <c r="J187" s="18">
        <v>0</v>
      </c>
      <c r="K187" s="19">
        <v>0</v>
      </c>
      <c r="L187" s="18">
        <v>0</v>
      </c>
      <c r="M187" s="18">
        <v>0</v>
      </c>
      <c r="N187" s="20">
        <v>1</v>
      </c>
      <c r="O187" s="19">
        <v>89</v>
      </c>
      <c r="P187" s="19">
        <v>220</v>
      </c>
    </row>
    <row r="188" spans="1:16" x14ac:dyDescent="0.3">
      <c r="A188" s="18">
        <v>187</v>
      </c>
      <c r="B188" s="32" t="s">
        <v>39</v>
      </c>
      <c r="C188" s="19">
        <v>9.1999999999999993</v>
      </c>
      <c r="D188" s="18">
        <v>1200</v>
      </c>
      <c r="E188" s="28">
        <v>1400</v>
      </c>
      <c r="F188" s="20">
        <v>1.17</v>
      </c>
      <c r="G188" s="18">
        <v>190</v>
      </c>
      <c r="H188" s="18">
        <v>960</v>
      </c>
      <c r="I188" s="18">
        <v>0</v>
      </c>
      <c r="J188" s="18">
        <v>0</v>
      </c>
      <c r="K188" s="19">
        <v>0</v>
      </c>
      <c r="L188" s="18">
        <v>0</v>
      </c>
      <c r="M188" s="18">
        <v>0</v>
      </c>
      <c r="N188" s="20">
        <v>0.5</v>
      </c>
      <c r="O188" s="19">
        <v>89</v>
      </c>
      <c r="P188" s="19">
        <v>117</v>
      </c>
    </row>
    <row r="189" spans="1:16" hidden="1" x14ac:dyDescent="0.3">
      <c r="A189" s="18">
        <v>188</v>
      </c>
      <c r="B189" s="32" t="s">
        <v>39</v>
      </c>
      <c r="C189" s="19">
        <v>12.6</v>
      </c>
      <c r="D189" s="18">
        <v>1200</v>
      </c>
      <c r="E189" s="28">
        <v>1400</v>
      </c>
      <c r="F189" s="20">
        <v>1.17</v>
      </c>
      <c r="G189" s="18">
        <v>190</v>
      </c>
      <c r="H189" s="18">
        <v>960</v>
      </c>
      <c r="I189" s="18">
        <v>400</v>
      </c>
      <c r="J189" s="18">
        <v>488</v>
      </c>
      <c r="K189" s="19">
        <v>0</v>
      </c>
      <c r="L189" s="18">
        <v>0</v>
      </c>
      <c r="M189" s="18">
        <v>0</v>
      </c>
      <c r="N189" s="20">
        <v>1</v>
      </c>
      <c r="O189" s="19">
        <v>89</v>
      </c>
      <c r="P189" s="19">
        <v>218</v>
      </c>
    </row>
    <row r="190" spans="1:16" hidden="1" x14ac:dyDescent="0.3">
      <c r="A190" s="18">
        <v>189</v>
      </c>
      <c r="B190" s="32" t="s">
        <v>39</v>
      </c>
      <c r="C190" s="19">
        <v>12.6</v>
      </c>
      <c r="D190" s="18">
        <v>1200</v>
      </c>
      <c r="E190" s="28">
        <v>1400</v>
      </c>
      <c r="F190" s="20">
        <v>1.17</v>
      </c>
      <c r="G190" s="18">
        <v>190</v>
      </c>
      <c r="H190" s="18">
        <v>960</v>
      </c>
      <c r="I190" s="18">
        <v>400</v>
      </c>
      <c r="J190" s="18">
        <v>488</v>
      </c>
      <c r="K190" s="19">
        <v>200</v>
      </c>
      <c r="L190" s="18">
        <v>330</v>
      </c>
      <c r="M190" s="18">
        <v>1400</v>
      </c>
      <c r="N190" s="20">
        <v>1</v>
      </c>
      <c r="O190" s="19">
        <v>89</v>
      </c>
      <c r="P190" s="19">
        <v>279</v>
      </c>
    </row>
    <row r="191" spans="1:16" x14ac:dyDescent="0.3">
      <c r="A191" s="18">
        <v>190</v>
      </c>
      <c r="B191" s="32" t="s">
        <v>39</v>
      </c>
      <c r="C191" s="19">
        <v>9.1999999999999993</v>
      </c>
      <c r="D191" s="18">
        <v>1200</v>
      </c>
      <c r="E191" s="28">
        <v>1400</v>
      </c>
      <c r="F191" s="20">
        <v>1.17</v>
      </c>
      <c r="G191" s="18">
        <v>190</v>
      </c>
      <c r="H191" s="18">
        <v>960</v>
      </c>
      <c r="I191" s="18">
        <v>400</v>
      </c>
      <c r="J191" s="18">
        <v>488</v>
      </c>
      <c r="K191" s="19">
        <v>200</v>
      </c>
      <c r="L191" s="18">
        <v>330</v>
      </c>
      <c r="M191" s="18">
        <v>1400</v>
      </c>
      <c r="N191" s="20">
        <v>0.5</v>
      </c>
      <c r="O191" s="19">
        <v>89</v>
      </c>
      <c r="P191" s="19">
        <v>220</v>
      </c>
    </row>
    <row r="192" spans="1:16" hidden="1" x14ac:dyDescent="0.3">
      <c r="A192" s="18">
        <v>191</v>
      </c>
      <c r="B192" s="32" t="s">
        <v>39</v>
      </c>
      <c r="C192" s="19">
        <v>12.6</v>
      </c>
      <c r="D192" s="18">
        <v>1200</v>
      </c>
      <c r="E192" s="28">
        <v>1400</v>
      </c>
      <c r="F192" s="20">
        <v>1.17</v>
      </c>
      <c r="G192" s="18">
        <v>190</v>
      </c>
      <c r="H192" s="18">
        <v>960</v>
      </c>
      <c r="I192" s="18">
        <v>400</v>
      </c>
      <c r="J192" s="18">
        <v>488</v>
      </c>
      <c r="K192" s="19">
        <v>200</v>
      </c>
      <c r="L192" s="18">
        <v>330</v>
      </c>
      <c r="M192" s="18">
        <v>280</v>
      </c>
      <c r="N192" s="20">
        <v>1</v>
      </c>
      <c r="O192" s="19">
        <v>89</v>
      </c>
      <c r="P192" s="19">
        <v>368</v>
      </c>
    </row>
    <row r="193" spans="1:17" hidden="1" x14ac:dyDescent="0.3">
      <c r="A193" s="18">
        <v>192</v>
      </c>
      <c r="B193" s="32" t="s">
        <v>39</v>
      </c>
      <c r="C193" s="19">
        <v>13.1</v>
      </c>
      <c r="D193" s="18">
        <v>1200</v>
      </c>
      <c r="E193" s="28">
        <v>1400</v>
      </c>
      <c r="F193" s="20">
        <v>1.17</v>
      </c>
      <c r="G193" s="18">
        <v>190</v>
      </c>
      <c r="H193" s="18">
        <v>960</v>
      </c>
      <c r="I193" s="18">
        <v>1018</v>
      </c>
      <c r="J193" s="18">
        <v>477</v>
      </c>
      <c r="K193" s="19">
        <v>0</v>
      </c>
      <c r="L193" s="18">
        <v>0</v>
      </c>
      <c r="M193" s="18">
        <v>0</v>
      </c>
      <c r="N193" s="20">
        <v>1</v>
      </c>
      <c r="O193" s="19">
        <v>89</v>
      </c>
      <c r="P193" s="19">
        <v>293</v>
      </c>
    </row>
    <row r="194" spans="1:17" x14ac:dyDescent="0.3">
      <c r="A194" s="18">
        <v>193</v>
      </c>
      <c r="B194" s="32" t="s">
        <v>39</v>
      </c>
      <c r="C194" s="19">
        <v>13.1</v>
      </c>
      <c r="D194" s="18">
        <v>1200</v>
      </c>
      <c r="E194" s="28">
        <v>1400</v>
      </c>
      <c r="F194" s="20">
        <v>1.17</v>
      </c>
      <c r="G194" s="18">
        <v>190</v>
      </c>
      <c r="H194" s="18">
        <v>960</v>
      </c>
      <c r="I194" s="18">
        <v>1018</v>
      </c>
      <c r="J194" s="18">
        <v>477</v>
      </c>
      <c r="K194" s="19">
        <v>0</v>
      </c>
      <c r="L194" s="18">
        <v>0</v>
      </c>
      <c r="M194" s="18">
        <v>0</v>
      </c>
      <c r="N194" s="20">
        <v>0.5</v>
      </c>
      <c r="O194" s="19">
        <v>89</v>
      </c>
      <c r="P194" s="19">
        <v>169</v>
      </c>
    </row>
    <row r="195" spans="1:17" hidden="1" x14ac:dyDescent="0.3">
      <c r="A195" s="18">
        <v>194</v>
      </c>
      <c r="B195" s="32" t="s">
        <v>39</v>
      </c>
      <c r="C195" s="19">
        <v>13.1</v>
      </c>
      <c r="D195" s="18">
        <v>1200</v>
      </c>
      <c r="E195" s="28">
        <v>1400</v>
      </c>
      <c r="F195" s="20">
        <v>1.17</v>
      </c>
      <c r="G195" s="18">
        <v>190</v>
      </c>
      <c r="H195" s="18">
        <v>960</v>
      </c>
      <c r="I195" s="18">
        <v>1018</v>
      </c>
      <c r="J195" s="18">
        <v>477</v>
      </c>
      <c r="K195" s="19">
        <v>200</v>
      </c>
      <c r="L195" s="18">
        <v>330</v>
      </c>
      <c r="M195" s="18">
        <v>700</v>
      </c>
      <c r="N195" s="20">
        <v>1</v>
      </c>
      <c r="O195" s="19">
        <v>89</v>
      </c>
      <c r="P195" s="19">
        <v>253</v>
      </c>
    </row>
    <row r="196" spans="1:17" x14ac:dyDescent="0.3">
      <c r="A196" s="18">
        <v>195</v>
      </c>
      <c r="B196" s="32" t="s">
        <v>39</v>
      </c>
      <c r="C196" s="19">
        <v>9.1999999999999993</v>
      </c>
      <c r="D196" s="18">
        <v>1200</v>
      </c>
      <c r="E196" s="28">
        <v>1400</v>
      </c>
      <c r="F196" s="20">
        <v>1.17</v>
      </c>
      <c r="G196" s="18">
        <v>190</v>
      </c>
      <c r="H196" s="18">
        <v>960</v>
      </c>
      <c r="I196" s="18">
        <v>1018</v>
      </c>
      <c r="J196" s="18">
        <v>477</v>
      </c>
      <c r="K196" s="19">
        <v>200</v>
      </c>
      <c r="L196" s="18">
        <v>330</v>
      </c>
      <c r="M196" s="18">
        <v>700</v>
      </c>
      <c r="N196" s="20">
        <v>0.5</v>
      </c>
      <c r="O196" s="19">
        <v>89</v>
      </c>
      <c r="P196" s="19">
        <v>223</v>
      </c>
    </row>
    <row r="197" spans="1:17" hidden="1" x14ac:dyDescent="0.3">
      <c r="A197" s="18">
        <v>196</v>
      </c>
      <c r="B197" s="34" t="s">
        <v>39</v>
      </c>
      <c r="C197" s="19">
        <v>9.1999999999999993</v>
      </c>
      <c r="D197" s="18">
        <v>1200</v>
      </c>
      <c r="E197" s="28">
        <v>1400</v>
      </c>
      <c r="F197" s="20">
        <v>1.17</v>
      </c>
      <c r="G197" s="18">
        <v>190</v>
      </c>
      <c r="H197" s="18">
        <v>960</v>
      </c>
      <c r="I197" s="18">
        <v>1018</v>
      </c>
      <c r="J197" s="18">
        <v>477</v>
      </c>
      <c r="K197" s="19">
        <v>284</v>
      </c>
      <c r="L197" s="18">
        <v>509</v>
      </c>
      <c r="M197" s="18">
        <v>280</v>
      </c>
      <c r="N197" s="20">
        <v>1</v>
      </c>
      <c r="O197" s="19">
        <v>89</v>
      </c>
      <c r="P197" s="19">
        <v>390</v>
      </c>
    </row>
    <row r="198" spans="1:17" x14ac:dyDescent="0.3">
      <c r="A198" s="29" t="s">
        <v>35</v>
      </c>
      <c r="B198" s="30"/>
      <c r="C198" s="30"/>
      <c r="D198" s="30"/>
      <c r="E198" s="30"/>
      <c r="F198" s="30"/>
      <c r="G198" s="30"/>
      <c r="H198" s="30"/>
      <c r="I198" s="30"/>
      <c r="J198" s="30"/>
      <c r="K198" s="30"/>
      <c r="L198" s="30"/>
      <c r="M198" s="30"/>
      <c r="N198" s="30"/>
      <c r="O198" s="30"/>
      <c r="P198" s="30"/>
      <c r="Q198" s="3"/>
    </row>
  </sheetData>
  <autoFilter ref="A1:P198" xr:uid="{00000000-0009-0000-0000-000002000000}">
    <filterColumn colId="13">
      <filters blank="1">
        <filter val="0.3"/>
        <filter val="0.37"/>
        <filter val="0.4"/>
        <filter val="0.5"/>
        <filter val="0.50"/>
      </filters>
    </filterColumn>
    <sortState xmlns:xlrd2="http://schemas.microsoft.com/office/spreadsheetml/2017/richdata2" ref="A2:P198">
      <sortCondition ref="A1"/>
    </sortState>
  </autoFilter>
  <customSheetViews>
    <customSheetView guid="{6A3968C5-0A0A-44BD-9D91-8A632DB179F3}" scale="130" filter="1" showAutoFilter="1">
      <pane ySplit="1" topLeftCell="A59" activePane="bottomLeft" state="frozen"/>
      <selection pane="bottomLeft" activeCell="M27" sqref="M27"/>
      <pageMargins left="0.7" right="0.7" top="0.75" bottom="0.75" header="0.3" footer="0.3"/>
      <pageSetup orientation="portrait" verticalDpi="0" r:id="rId1"/>
      <autoFilter ref="A1:P198" xr:uid="{D2CE0842-BC94-41FE-96F2-0286D9E31675}">
        <filterColumn colId="13">
          <filters blank="1">
            <filter val="0.3"/>
            <filter val="0.37"/>
            <filter val="0.4"/>
            <filter val="0.5"/>
            <filter val="0.50"/>
          </filters>
        </filterColumn>
        <sortState xmlns:xlrd2="http://schemas.microsoft.com/office/spreadsheetml/2017/richdata2" ref="A2:P198">
          <sortCondition ref="A1"/>
        </sortState>
      </autoFilter>
    </customSheetView>
    <customSheetView guid="{F952AE04-5FFA-4EC5-9AC4-659942525BDB}" scale="130" filter="1" showAutoFilter="1" state="hidden">
      <pane ySplit="1" topLeftCell="A59" activePane="bottomLeft" state="frozen"/>
      <selection pane="bottomLeft" activeCell="M27" sqref="M27"/>
      <pageMargins left="0.7" right="0.7" top="0.75" bottom="0.75" header="0.3" footer="0.3"/>
      <pageSetup orientation="portrait" verticalDpi="0" r:id="rId2"/>
      <autoFilter ref="A1:P198" xr:uid="{8FF938D1-8E0E-44C0-B635-884F89F8F16C}">
        <filterColumn colId="13">
          <filters blank="1">
            <filter val="0.3"/>
            <filter val="0.37"/>
            <filter val="0.4"/>
            <filter val="0.5"/>
            <filter val="0.50"/>
          </filters>
        </filterColumn>
        <sortState xmlns:xlrd2="http://schemas.microsoft.com/office/spreadsheetml/2017/richdata2" ref="A2:P198">
          <sortCondition ref="A1"/>
        </sortState>
      </autoFilter>
    </customSheetView>
  </customSheetViews>
  <pageMargins left="0.7" right="0.7" top="0.75" bottom="0.75" header="0.3" footer="0.3"/>
  <pageSetup orientation="portrait" verticalDpi="0"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6" filterMode="1">
    <tabColor theme="7"/>
  </sheetPr>
  <dimension ref="A1:CF263"/>
  <sheetViews>
    <sheetView topLeftCell="A149" zoomScale="115" zoomScaleNormal="115" workbookViewId="0">
      <selection activeCell="M27" sqref="M27"/>
    </sheetView>
  </sheetViews>
  <sheetFormatPr defaultColWidth="8" defaultRowHeight="14.25" x14ac:dyDescent="0.25"/>
  <cols>
    <col min="1" max="5" width="8" style="77"/>
    <col min="6" max="6" width="11" style="77" customWidth="1"/>
    <col min="7" max="30" width="8" style="77"/>
    <col min="31" max="31" width="8" style="99"/>
    <col min="32" max="71" width="8" style="77" hidden="1" customWidth="1"/>
    <col min="72" max="73" width="8" style="77" customWidth="1"/>
    <col min="74" max="74" width="14.140625" style="74" customWidth="1"/>
    <col min="75" max="82" width="8" style="77"/>
    <col min="83" max="84" width="8" style="99"/>
    <col min="85" max="16384" width="8" style="77"/>
  </cols>
  <sheetData>
    <row r="1" spans="1:84" ht="42.75" x14ac:dyDescent="0.25">
      <c r="A1" s="56" t="s">
        <v>147</v>
      </c>
      <c r="B1" s="57" t="s">
        <v>148</v>
      </c>
      <c r="C1" s="57" t="s">
        <v>149</v>
      </c>
      <c r="D1" s="58" t="s">
        <v>150</v>
      </c>
      <c r="E1" s="59" t="s">
        <v>151</v>
      </c>
      <c r="F1" s="60" t="s">
        <v>152</v>
      </c>
      <c r="G1" s="59" t="s">
        <v>153</v>
      </c>
      <c r="H1" s="59" t="s">
        <v>154</v>
      </c>
      <c r="I1" s="61" t="s">
        <v>155</v>
      </c>
      <c r="J1" s="58" t="s">
        <v>156</v>
      </c>
      <c r="K1" s="61" t="s">
        <v>157</v>
      </c>
      <c r="L1" s="62" t="s">
        <v>158</v>
      </c>
      <c r="M1" s="58" t="s">
        <v>159</v>
      </c>
      <c r="N1" s="59" t="s">
        <v>160</v>
      </c>
      <c r="O1" s="59" t="s">
        <v>161</v>
      </c>
      <c r="P1" s="61" t="s">
        <v>162</v>
      </c>
      <c r="Q1" s="58" t="s">
        <v>163</v>
      </c>
      <c r="R1" s="59" t="s">
        <v>164</v>
      </c>
      <c r="S1" s="59" t="s">
        <v>165</v>
      </c>
      <c r="T1" s="59" t="s">
        <v>166</v>
      </c>
      <c r="U1" s="61" t="s">
        <v>167</v>
      </c>
      <c r="V1" s="63" t="s">
        <v>168</v>
      </c>
      <c r="W1" s="60" t="s">
        <v>169</v>
      </c>
      <c r="X1" s="61" t="s">
        <v>170</v>
      </c>
      <c r="Y1" s="62" t="s">
        <v>171</v>
      </c>
      <c r="Z1" s="64" t="s">
        <v>172</v>
      </c>
      <c r="AA1" s="58" t="s">
        <v>173</v>
      </c>
      <c r="AB1" s="59" t="s">
        <v>174</v>
      </c>
      <c r="AC1" s="65" t="s">
        <v>175</v>
      </c>
      <c r="AD1" s="66" t="s">
        <v>176</v>
      </c>
      <c r="AE1" s="67" t="s">
        <v>177</v>
      </c>
      <c r="AF1" s="68" t="s">
        <v>178</v>
      </c>
      <c r="AG1" s="69" t="s">
        <v>179</v>
      </c>
      <c r="AH1" s="69"/>
      <c r="AI1" s="70" t="s">
        <v>180</v>
      </c>
      <c r="AJ1" s="68" t="s">
        <v>178</v>
      </c>
      <c r="AK1" s="69" t="s">
        <v>181</v>
      </c>
      <c r="AL1" s="69"/>
      <c r="AM1" s="70" t="s">
        <v>180</v>
      </c>
      <c r="AN1" s="68" t="s">
        <v>178</v>
      </c>
      <c r="AO1" s="69" t="s">
        <v>182</v>
      </c>
      <c r="AP1" s="69"/>
      <c r="AQ1" s="70" t="s">
        <v>180</v>
      </c>
      <c r="AR1" s="68" t="s">
        <v>178</v>
      </c>
      <c r="AS1" s="69" t="s">
        <v>183</v>
      </c>
      <c r="AT1" s="69"/>
      <c r="AU1" s="70" t="s">
        <v>180</v>
      </c>
      <c r="AV1" s="68" t="s">
        <v>178</v>
      </c>
      <c r="AW1" s="69" t="s">
        <v>184</v>
      </c>
      <c r="AX1" s="69"/>
      <c r="AY1" s="70" t="s">
        <v>180</v>
      </c>
      <c r="AZ1" s="68" t="s">
        <v>178</v>
      </c>
      <c r="BA1" s="66" t="s">
        <v>185</v>
      </c>
      <c r="BB1" s="71" t="s">
        <v>186</v>
      </c>
      <c r="BC1" s="70" t="s">
        <v>180</v>
      </c>
      <c r="BD1" s="72" t="s">
        <v>187</v>
      </c>
      <c r="BE1" s="68" t="s">
        <v>178</v>
      </c>
      <c r="BF1" s="69" t="s">
        <v>188</v>
      </c>
      <c r="BG1" s="69"/>
      <c r="BH1" s="70" t="s">
        <v>180</v>
      </c>
      <c r="BI1" s="68" t="s">
        <v>178</v>
      </c>
      <c r="BJ1" s="73" t="s">
        <v>189</v>
      </c>
      <c r="BK1" s="73"/>
      <c r="BL1" s="70" t="s">
        <v>180</v>
      </c>
      <c r="BM1" s="68" t="s">
        <v>190</v>
      </c>
      <c r="BN1" s="71" t="s">
        <v>191</v>
      </c>
      <c r="BO1" s="71" t="s">
        <v>192</v>
      </c>
      <c r="BP1" s="73" t="s">
        <v>193</v>
      </c>
      <c r="BQ1" s="73"/>
      <c r="BR1" s="73"/>
      <c r="BS1" s="71" t="s">
        <v>194</v>
      </c>
      <c r="BT1" s="71" t="s">
        <v>22</v>
      </c>
      <c r="BU1" s="70" t="s">
        <v>195</v>
      </c>
      <c r="BV1" s="74" t="s">
        <v>196</v>
      </c>
      <c r="BW1" s="59" t="s">
        <v>153</v>
      </c>
      <c r="BX1" s="59" t="s">
        <v>154</v>
      </c>
      <c r="BY1" s="62" t="s">
        <v>158</v>
      </c>
      <c r="BZ1" s="59" t="s">
        <v>160</v>
      </c>
      <c r="CA1" s="59" t="s">
        <v>165</v>
      </c>
      <c r="CB1" s="59" t="s">
        <v>166</v>
      </c>
      <c r="CC1" s="63" t="s">
        <v>168</v>
      </c>
      <c r="CD1" s="60" t="s">
        <v>169</v>
      </c>
      <c r="CE1" s="75" t="s">
        <v>197</v>
      </c>
      <c r="CF1" s="76" t="s">
        <v>198</v>
      </c>
    </row>
    <row r="2" spans="1:84" ht="14.25" hidden="1" customHeight="1" x14ac:dyDescent="0.25">
      <c r="A2" s="78">
        <v>1</v>
      </c>
      <c r="B2" s="79" t="s">
        <v>199</v>
      </c>
      <c r="C2" s="80" t="s">
        <v>200</v>
      </c>
      <c r="D2" s="81">
        <v>2400</v>
      </c>
      <c r="E2" s="82">
        <v>2400</v>
      </c>
      <c r="F2" s="83">
        <f>E2*D2</f>
        <v>5760000</v>
      </c>
      <c r="G2" s="83">
        <v>139.19999999999999</v>
      </c>
      <c r="H2" s="82">
        <v>1920</v>
      </c>
      <c r="I2" s="84">
        <v>1</v>
      </c>
      <c r="J2" s="85">
        <v>30</v>
      </c>
      <c r="K2" s="86">
        <v>19.100000000000001</v>
      </c>
      <c r="L2" s="87">
        <v>19.100000000000001</v>
      </c>
      <c r="M2" s="88">
        <v>1.04</v>
      </c>
      <c r="N2" s="83">
        <v>13.5</v>
      </c>
      <c r="O2" s="89" t="s">
        <v>201</v>
      </c>
      <c r="P2" s="90" t="s">
        <v>202</v>
      </c>
      <c r="Q2" s="91">
        <v>1.1999999999999999E-3</v>
      </c>
      <c r="R2" s="92">
        <v>4.4999999999999999E-4</v>
      </c>
      <c r="S2" s="92">
        <v>2.7000000000000001E-3</v>
      </c>
      <c r="T2" s="82">
        <v>487</v>
      </c>
      <c r="U2" s="93">
        <v>800</v>
      </c>
      <c r="V2" s="91">
        <v>0</v>
      </c>
      <c r="W2" s="82">
        <v>0</v>
      </c>
      <c r="X2" s="93">
        <v>0</v>
      </c>
      <c r="Y2" s="94">
        <v>0</v>
      </c>
      <c r="Z2" s="94">
        <v>1</v>
      </c>
      <c r="AA2" s="85">
        <v>6.4</v>
      </c>
      <c r="AB2" s="83">
        <v>6.4</v>
      </c>
      <c r="AC2" s="86">
        <v>1</v>
      </c>
      <c r="AD2" s="95">
        <v>0.5</v>
      </c>
      <c r="AE2" s="96">
        <v>0.5</v>
      </c>
      <c r="AF2" s="97">
        <v>0.34</v>
      </c>
      <c r="AG2" s="95">
        <v>0</v>
      </c>
      <c r="AH2" s="95">
        <v>0</v>
      </c>
      <c r="AI2" s="96">
        <v>0.34</v>
      </c>
      <c r="AJ2" s="97">
        <v>0.21</v>
      </c>
      <c r="AK2" s="95">
        <v>0</v>
      </c>
      <c r="AL2" s="95">
        <v>0</v>
      </c>
      <c r="AM2" s="96">
        <v>0.21</v>
      </c>
      <c r="AN2" s="97">
        <v>0.64</v>
      </c>
      <c r="AO2" s="95">
        <v>0</v>
      </c>
      <c r="AP2" s="95">
        <v>0</v>
      </c>
      <c r="AQ2" s="96">
        <v>0.64</v>
      </c>
      <c r="AR2" s="97">
        <v>0.47</v>
      </c>
      <c r="AS2" s="95">
        <v>0</v>
      </c>
      <c r="AT2" s="95">
        <v>0</v>
      </c>
      <c r="AU2" s="96">
        <v>0.47</v>
      </c>
      <c r="AV2" s="97">
        <v>0.18</v>
      </c>
      <c r="AW2" s="95">
        <v>0</v>
      </c>
      <c r="AX2" s="95">
        <v>0</v>
      </c>
      <c r="AY2" s="96">
        <v>0.18</v>
      </c>
      <c r="AZ2" s="97">
        <v>0.22</v>
      </c>
      <c r="BA2" s="95">
        <v>0.28000000000000003</v>
      </c>
      <c r="BB2" s="95">
        <v>0</v>
      </c>
      <c r="BC2" s="96">
        <v>0.5</v>
      </c>
      <c r="BD2" s="98">
        <v>0.19</v>
      </c>
      <c r="BE2" s="97">
        <v>0.52</v>
      </c>
      <c r="BF2" s="95">
        <v>0</v>
      </c>
      <c r="BG2" s="95">
        <v>0</v>
      </c>
      <c r="BH2" s="96">
        <v>0.52</v>
      </c>
      <c r="BI2" s="97">
        <v>0.52</v>
      </c>
      <c r="BJ2" s="95">
        <v>0</v>
      </c>
      <c r="BK2" s="95">
        <v>0</v>
      </c>
      <c r="BL2" s="96">
        <v>0.52</v>
      </c>
      <c r="BM2" s="97">
        <v>1.44</v>
      </c>
      <c r="BN2" s="95">
        <v>2.36</v>
      </c>
      <c r="BO2" s="95">
        <v>0.77</v>
      </c>
      <c r="BP2" s="95">
        <v>1.05</v>
      </c>
      <c r="BQ2" s="95">
        <v>2.71</v>
      </c>
      <c r="BR2" s="95">
        <v>1</v>
      </c>
      <c r="BS2" s="95">
        <v>2.61</v>
      </c>
      <c r="BT2" s="95">
        <v>0.95</v>
      </c>
      <c r="BU2" s="96">
        <v>0.95</v>
      </c>
      <c r="BV2" s="74">
        <v>5760000</v>
      </c>
      <c r="BW2" s="83">
        <v>139.19999999999999</v>
      </c>
      <c r="BX2" s="82">
        <v>1920</v>
      </c>
      <c r="BY2" s="87">
        <v>19.100000000000001</v>
      </c>
      <c r="BZ2" s="83">
        <v>13.5</v>
      </c>
      <c r="CA2" s="92">
        <v>2.7000000000000001E-3</v>
      </c>
      <c r="CB2" s="82">
        <v>487</v>
      </c>
      <c r="CC2" s="91">
        <v>0</v>
      </c>
      <c r="CD2" s="82">
        <v>0</v>
      </c>
      <c r="CE2" s="99">
        <f>BT2/(G2*E2)*1000</f>
        <v>2.8436302681992334E-3</v>
      </c>
      <c r="CF2" s="100">
        <f t="shared" ref="CF2:CF65" si="0">AE2</f>
        <v>0.5</v>
      </c>
    </row>
    <row r="3" spans="1:84" hidden="1" x14ac:dyDescent="0.25">
      <c r="A3" s="101">
        <v>2</v>
      </c>
      <c r="B3" s="102"/>
      <c r="C3" s="103" t="s">
        <v>203</v>
      </c>
      <c r="D3" s="104">
        <v>2400</v>
      </c>
      <c r="E3" s="105">
        <v>1200</v>
      </c>
      <c r="F3" s="106">
        <f t="shared" ref="F3:F66" si="1">E3*D3</f>
        <v>2880000</v>
      </c>
      <c r="G3" s="106">
        <v>139.19999999999999</v>
      </c>
      <c r="H3" s="105">
        <v>960</v>
      </c>
      <c r="I3" s="107">
        <v>2</v>
      </c>
      <c r="J3" s="108">
        <v>30</v>
      </c>
      <c r="K3" s="109">
        <v>19.100000000000001</v>
      </c>
      <c r="L3" s="110">
        <v>19.100000000000001</v>
      </c>
      <c r="M3" s="111">
        <v>1.04</v>
      </c>
      <c r="N3" s="106">
        <v>13.5</v>
      </c>
      <c r="O3" s="112" t="s">
        <v>201</v>
      </c>
      <c r="P3" s="113" t="s">
        <v>202</v>
      </c>
      <c r="Q3" s="114">
        <v>2.3999999999999998E-3</v>
      </c>
      <c r="R3" s="115">
        <v>0</v>
      </c>
      <c r="S3" s="115">
        <v>4.8999999999999998E-3</v>
      </c>
      <c r="T3" s="105">
        <v>487</v>
      </c>
      <c r="U3" s="116">
        <v>1200</v>
      </c>
      <c r="V3" s="114">
        <v>5.2999999999999998E-4</v>
      </c>
      <c r="W3" s="105">
        <v>739</v>
      </c>
      <c r="X3" s="116">
        <v>400</v>
      </c>
      <c r="Y3" s="117">
        <v>0</v>
      </c>
      <c r="Z3" s="117">
        <v>1</v>
      </c>
      <c r="AA3" s="108">
        <v>9.6</v>
      </c>
      <c r="AB3" s="106">
        <v>16.3</v>
      </c>
      <c r="AC3" s="109">
        <v>1.7</v>
      </c>
      <c r="AD3" s="118">
        <v>0.42</v>
      </c>
      <c r="AE3" s="119">
        <v>0.55000000000000004</v>
      </c>
      <c r="AF3" s="120">
        <v>0.34</v>
      </c>
      <c r="AG3" s="118">
        <v>0.16</v>
      </c>
      <c r="AH3" s="118">
        <v>0</v>
      </c>
      <c r="AI3" s="119">
        <v>0.5</v>
      </c>
      <c r="AJ3" s="120">
        <v>0.21</v>
      </c>
      <c r="AK3" s="118">
        <v>0.41</v>
      </c>
      <c r="AL3" s="118">
        <v>0</v>
      </c>
      <c r="AM3" s="119">
        <v>0.62</v>
      </c>
      <c r="AN3" s="120">
        <v>0.62</v>
      </c>
      <c r="AO3" s="118">
        <v>0.25</v>
      </c>
      <c r="AP3" s="118">
        <v>0</v>
      </c>
      <c r="AQ3" s="119">
        <v>0.87</v>
      </c>
      <c r="AR3" s="120">
        <v>0.47</v>
      </c>
      <c r="AS3" s="118">
        <v>0.19</v>
      </c>
      <c r="AT3" s="118">
        <v>0</v>
      </c>
      <c r="AU3" s="119">
        <v>0.59</v>
      </c>
      <c r="AV3" s="120">
        <v>0.18</v>
      </c>
      <c r="AW3" s="118">
        <v>0.39</v>
      </c>
      <c r="AX3" s="118">
        <v>0</v>
      </c>
      <c r="AY3" s="119">
        <v>0.57999999999999996</v>
      </c>
      <c r="AZ3" s="120">
        <v>0.14000000000000001</v>
      </c>
      <c r="BA3" s="118">
        <v>0.37</v>
      </c>
      <c r="BB3" s="118">
        <v>0</v>
      </c>
      <c r="BC3" s="119">
        <v>0.51</v>
      </c>
      <c r="BD3" s="121">
        <v>0.48</v>
      </c>
      <c r="BE3" s="120">
        <v>0.26</v>
      </c>
      <c r="BF3" s="118">
        <v>0</v>
      </c>
      <c r="BG3" s="118">
        <v>0</v>
      </c>
      <c r="BH3" s="119">
        <v>0.26</v>
      </c>
      <c r="BI3" s="120">
        <v>0.52</v>
      </c>
      <c r="BJ3" s="118">
        <v>0.24</v>
      </c>
      <c r="BK3" s="118">
        <v>0</v>
      </c>
      <c r="BL3" s="119">
        <v>0.76</v>
      </c>
      <c r="BM3" s="120">
        <v>1.0900000000000001</v>
      </c>
      <c r="BN3" s="118">
        <v>0.88</v>
      </c>
      <c r="BO3" s="118">
        <v>0.62</v>
      </c>
      <c r="BP3" s="118">
        <v>0.93</v>
      </c>
      <c r="BQ3" s="118">
        <v>0.95</v>
      </c>
      <c r="BR3" s="118">
        <v>1.08</v>
      </c>
      <c r="BS3" s="118">
        <v>1.1399999999999999</v>
      </c>
      <c r="BT3" s="118">
        <v>2.1</v>
      </c>
      <c r="BU3" s="119">
        <v>0.72</v>
      </c>
      <c r="BV3" s="74">
        <v>2880000</v>
      </c>
      <c r="BW3" s="106">
        <v>139.19999999999999</v>
      </c>
      <c r="BX3" s="105">
        <v>960</v>
      </c>
      <c r="BY3" s="110">
        <v>19.100000000000001</v>
      </c>
      <c r="BZ3" s="106">
        <v>13.5</v>
      </c>
      <c r="CA3" s="115">
        <v>4.8999999999999998E-3</v>
      </c>
      <c r="CB3" s="105">
        <v>487</v>
      </c>
      <c r="CC3" s="114">
        <v>5.2999999999999998E-4</v>
      </c>
      <c r="CD3" s="105">
        <v>739</v>
      </c>
      <c r="CE3" s="99">
        <f t="shared" ref="CE3:CE66" si="2">BT3/(G3*E3)*1000</f>
        <v>1.257183908045977E-2</v>
      </c>
      <c r="CF3" s="100">
        <f t="shared" si="0"/>
        <v>0.55000000000000004</v>
      </c>
    </row>
    <row r="4" spans="1:84" hidden="1" x14ac:dyDescent="0.25">
      <c r="A4" s="122">
        <v>3</v>
      </c>
      <c r="B4" s="102"/>
      <c r="C4" s="103" t="s">
        <v>204</v>
      </c>
      <c r="D4" s="123">
        <v>2400</v>
      </c>
      <c r="E4" s="124">
        <v>2400</v>
      </c>
      <c r="F4" s="106">
        <f t="shared" si="1"/>
        <v>5760000</v>
      </c>
      <c r="G4" s="124">
        <v>139.19999999999999</v>
      </c>
      <c r="H4" s="124">
        <v>1920</v>
      </c>
      <c r="I4" s="107">
        <v>1</v>
      </c>
      <c r="J4" s="108">
        <v>30</v>
      </c>
      <c r="K4" s="125">
        <v>19.100000000000001</v>
      </c>
      <c r="L4" s="110">
        <v>19.100000000000001</v>
      </c>
      <c r="M4" s="111">
        <v>1.04</v>
      </c>
      <c r="N4" s="106">
        <v>13.5</v>
      </c>
      <c r="O4" s="112" t="s">
        <v>201</v>
      </c>
      <c r="P4" s="113" t="s">
        <v>202</v>
      </c>
      <c r="Q4" s="114">
        <v>1.1999999999999999E-3</v>
      </c>
      <c r="R4" s="115">
        <v>4.4999999999999999E-4</v>
      </c>
      <c r="S4" s="115">
        <v>2.7000000000000001E-3</v>
      </c>
      <c r="T4" s="105">
        <v>487</v>
      </c>
      <c r="U4" s="116">
        <v>800</v>
      </c>
      <c r="V4" s="114">
        <v>5.2999999999999998E-4</v>
      </c>
      <c r="W4" s="105">
        <v>739</v>
      </c>
      <c r="X4" s="116">
        <v>400</v>
      </c>
      <c r="Y4" s="117">
        <v>0</v>
      </c>
      <c r="Z4" s="117">
        <v>1</v>
      </c>
      <c r="AA4" s="108">
        <v>6.3</v>
      </c>
      <c r="AB4" s="106">
        <v>12</v>
      </c>
      <c r="AC4" s="109">
        <v>1.9</v>
      </c>
      <c r="AD4" s="118">
        <v>0.45</v>
      </c>
      <c r="AE4" s="119">
        <v>0.59</v>
      </c>
      <c r="AF4" s="120">
        <v>0.34</v>
      </c>
      <c r="AG4" s="118">
        <v>0.16</v>
      </c>
      <c r="AH4" s="118">
        <v>0</v>
      </c>
      <c r="AI4" s="119">
        <v>0.5</v>
      </c>
      <c r="AJ4" s="120">
        <v>0.21</v>
      </c>
      <c r="AK4" s="118">
        <v>0.41</v>
      </c>
      <c r="AL4" s="118">
        <v>0</v>
      </c>
      <c r="AM4" s="119">
        <v>0.62</v>
      </c>
      <c r="AN4" s="120">
        <v>0.49</v>
      </c>
      <c r="AO4" s="118">
        <v>0.25</v>
      </c>
      <c r="AP4" s="118">
        <v>0</v>
      </c>
      <c r="AQ4" s="119">
        <v>0.74</v>
      </c>
      <c r="AR4" s="120">
        <v>0.47</v>
      </c>
      <c r="AS4" s="118">
        <v>0.19</v>
      </c>
      <c r="AT4" s="118">
        <v>0</v>
      </c>
      <c r="AU4" s="119">
        <v>0.59</v>
      </c>
      <c r="AV4" s="120">
        <v>0.18</v>
      </c>
      <c r="AW4" s="118">
        <v>0.39</v>
      </c>
      <c r="AX4" s="118">
        <v>0</v>
      </c>
      <c r="AY4" s="119">
        <v>0.57999999999999996</v>
      </c>
      <c r="AZ4" s="120">
        <v>0.22</v>
      </c>
      <c r="BA4" s="118">
        <v>0.65</v>
      </c>
      <c r="BB4" s="118">
        <v>0</v>
      </c>
      <c r="BC4" s="119">
        <v>0.87</v>
      </c>
      <c r="BD4" s="121">
        <v>0.48</v>
      </c>
      <c r="BE4" s="120">
        <v>0.52</v>
      </c>
      <c r="BF4" s="118">
        <v>0</v>
      </c>
      <c r="BG4" s="118">
        <v>0</v>
      </c>
      <c r="BH4" s="119">
        <v>0.52</v>
      </c>
      <c r="BI4" s="120">
        <v>0.52</v>
      </c>
      <c r="BJ4" s="118">
        <v>0.24</v>
      </c>
      <c r="BK4" s="118">
        <v>0</v>
      </c>
      <c r="BL4" s="119">
        <v>0.76</v>
      </c>
      <c r="BM4" s="120">
        <v>1.17</v>
      </c>
      <c r="BN4" s="118">
        <v>0.94</v>
      </c>
      <c r="BO4" s="118">
        <v>0.79</v>
      </c>
      <c r="BP4" s="118">
        <v>1</v>
      </c>
      <c r="BQ4" s="118">
        <v>1.02</v>
      </c>
      <c r="BR4" s="118">
        <v>0.68</v>
      </c>
      <c r="BS4" s="118">
        <v>1.23</v>
      </c>
      <c r="BT4" s="118">
        <v>1.1299999999999999</v>
      </c>
      <c r="BU4" s="119">
        <v>0.78</v>
      </c>
      <c r="BV4" s="74">
        <v>5760000</v>
      </c>
      <c r="BW4" s="124">
        <v>139.19999999999999</v>
      </c>
      <c r="BX4" s="124">
        <v>1920</v>
      </c>
      <c r="BY4" s="110">
        <v>19.100000000000001</v>
      </c>
      <c r="BZ4" s="106">
        <v>13.5</v>
      </c>
      <c r="CA4" s="115">
        <v>2.7000000000000001E-3</v>
      </c>
      <c r="CB4" s="105">
        <v>487</v>
      </c>
      <c r="CC4" s="114">
        <v>5.2999999999999998E-4</v>
      </c>
      <c r="CD4" s="105">
        <v>739</v>
      </c>
      <c r="CE4" s="99">
        <f t="shared" si="2"/>
        <v>3.3824233716475095E-3</v>
      </c>
      <c r="CF4" s="100">
        <f t="shared" si="0"/>
        <v>0.59</v>
      </c>
    </row>
    <row r="5" spans="1:84" hidden="1" x14ac:dyDescent="0.25">
      <c r="A5" s="126">
        <v>4</v>
      </c>
      <c r="B5" s="102"/>
      <c r="C5" s="103" t="s">
        <v>205</v>
      </c>
      <c r="D5" s="127">
        <v>2400</v>
      </c>
      <c r="E5" s="124">
        <v>2400</v>
      </c>
      <c r="F5" s="106">
        <f t="shared" si="1"/>
        <v>5760000</v>
      </c>
      <c r="G5" s="124">
        <v>139.19999999999999</v>
      </c>
      <c r="H5" s="124">
        <v>1920</v>
      </c>
      <c r="I5" s="107">
        <v>1</v>
      </c>
      <c r="J5" s="108">
        <v>30</v>
      </c>
      <c r="K5" s="125">
        <v>19.100000000000001</v>
      </c>
      <c r="L5" s="110">
        <v>19.100000000000001</v>
      </c>
      <c r="M5" s="111">
        <v>1.04</v>
      </c>
      <c r="N5" s="106">
        <v>13.5</v>
      </c>
      <c r="O5" s="112" t="s">
        <v>201</v>
      </c>
      <c r="P5" s="113" t="s">
        <v>202</v>
      </c>
      <c r="Q5" s="114">
        <v>1.1999999999999999E-3</v>
      </c>
      <c r="R5" s="115">
        <v>4.4999999999999999E-4</v>
      </c>
      <c r="S5" s="115">
        <v>2.7000000000000001E-3</v>
      </c>
      <c r="T5" s="105">
        <v>487</v>
      </c>
      <c r="U5" s="116">
        <v>800</v>
      </c>
      <c r="V5" s="114">
        <v>5.2999999999999998E-4</v>
      </c>
      <c r="W5" s="105">
        <v>739</v>
      </c>
      <c r="X5" s="116">
        <v>400</v>
      </c>
      <c r="Y5" s="117">
        <v>0</v>
      </c>
      <c r="Z5" s="117">
        <v>1</v>
      </c>
      <c r="AA5" s="108">
        <v>5.4</v>
      </c>
      <c r="AB5" s="106">
        <v>10.6</v>
      </c>
      <c r="AC5" s="109">
        <v>2</v>
      </c>
      <c r="AD5" s="118">
        <v>0.47</v>
      </c>
      <c r="AE5" s="119">
        <v>0.61</v>
      </c>
      <c r="AF5" s="120">
        <v>0.34</v>
      </c>
      <c r="AG5" s="118">
        <v>0.16</v>
      </c>
      <c r="AH5" s="118">
        <v>0</v>
      </c>
      <c r="AI5" s="119">
        <v>0.5</v>
      </c>
      <c r="AJ5" s="120">
        <v>0.21</v>
      </c>
      <c r="AK5" s="118">
        <v>0.41</v>
      </c>
      <c r="AL5" s="118">
        <v>0</v>
      </c>
      <c r="AM5" s="119">
        <v>0.62</v>
      </c>
      <c r="AN5" s="120">
        <v>0.47</v>
      </c>
      <c r="AO5" s="118">
        <v>0.25</v>
      </c>
      <c r="AP5" s="118">
        <v>0</v>
      </c>
      <c r="AQ5" s="119">
        <v>0.73</v>
      </c>
      <c r="AR5" s="120">
        <v>0.47</v>
      </c>
      <c r="AS5" s="118">
        <v>0.19</v>
      </c>
      <c r="AT5" s="118">
        <v>0</v>
      </c>
      <c r="AU5" s="119">
        <v>0.59</v>
      </c>
      <c r="AV5" s="120">
        <v>0.18</v>
      </c>
      <c r="AW5" s="118">
        <v>0.39</v>
      </c>
      <c r="AX5" s="118">
        <v>0</v>
      </c>
      <c r="AY5" s="119">
        <v>0.57999999999999996</v>
      </c>
      <c r="AZ5" s="120">
        <v>0.22</v>
      </c>
      <c r="BA5" s="118">
        <v>0.65</v>
      </c>
      <c r="BB5" s="118">
        <v>0</v>
      </c>
      <c r="BC5" s="119">
        <v>0.87</v>
      </c>
      <c r="BD5" s="121">
        <v>0.48</v>
      </c>
      <c r="BE5" s="120">
        <v>0.52</v>
      </c>
      <c r="BF5" s="118">
        <v>0</v>
      </c>
      <c r="BG5" s="118">
        <v>0</v>
      </c>
      <c r="BH5" s="119">
        <v>0.52</v>
      </c>
      <c r="BI5" s="120">
        <v>0.52</v>
      </c>
      <c r="BJ5" s="118">
        <v>0.24</v>
      </c>
      <c r="BK5" s="118">
        <v>0</v>
      </c>
      <c r="BL5" s="119">
        <v>0.76</v>
      </c>
      <c r="BM5" s="120">
        <v>1.22</v>
      </c>
      <c r="BN5" s="118">
        <v>0.98</v>
      </c>
      <c r="BO5" s="118">
        <v>0.84</v>
      </c>
      <c r="BP5" s="118">
        <v>1.03</v>
      </c>
      <c r="BQ5" s="118">
        <v>1.06</v>
      </c>
      <c r="BR5" s="118">
        <v>0.7</v>
      </c>
      <c r="BS5" s="118">
        <v>1.27</v>
      </c>
      <c r="BT5" s="118">
        <v>1.17</v>
      </c>
      <c r="BU5" s="119">
        <v>0.81</v>
      </c>
      <c r="BV5" s="74">
        <v>5760000</v>
      </c>
      <c r="BW5" s="124">
        <v>139.19999999999999</v>
      </c>
      <c r="BX5" s="124">
        <v>1920</v>
      </c>
      <c r="BY5" s="110">
        <v>19.100000000000001</v>
      </c>
      <c r="BZ5" s="106">
        <v>13.5</v>
      </c>
      <c r="CA5" s="115">
        <v>2.7000000000000001E-3</v>
      </c>
      <c r="CB5" s="105">
        <v>487</v>
      </c>
      <c r="CC5" s="114">
        <v>5.2999999999999998E-4</v>
      </c>
      <c r="CD5" s="105">
        <v>739</v>
      </c>
      <c r="CE5" s="99">
        <f t="shared" si="2"/>
        <v>3.5021551724137932E-3</v>
      </c>
      <c r="CF5" s="100">
        <f t="shared" si="0"/>
        <v>0.61</v>
      </c>
    </row>
    <row r="6" spans="1:84" hidden="1" x14ac:dyDescent="0.25">
      <c r="A6" s="101">
        <v>5</v>
      </c>
      <c r="B6" s="102"/>
      <c r="C6" s="103" t="s">
        <v>206</v>
      </c>
      <c r="D6" s="104">
        <v>2400</v>
      </c>
      <c r="E6" s="105">
        <v>1200</v>
      </c>
      <c r="F6" s="106">
        <f t="shared" si="1"/>
        <v>2880000</v>
      </c>
      <c r="G6" s="106">
        <v>139.19999999999999</v>
      </c>
      <c r="H6" s="105">
        <v>960</v>
      </c>
      <c r="I6" s="107">
        <v>2</v>
      </c>
      <c r="J6" s="108">
        <v>30</v>
      </c>
      <c r="K6" s="109">
        <v>19.100000000000001</v>
      </c>
      <c r="L6" s="110">
        <v>19.100000000000001</v>
      </c>
      <c r="M6" s="111">
        <v>1.04</v>
      </c>
      <c r="N6" s="106">
        <v>13.5</v>
      </c>
      <c r="O6" s="112" t="s">
        <v>201</v>
      </c>
      <c r="P6" s="113" t="s">
        <v>202</v>
      </c>
      <c r="Q6" s="114">
        <v>2.3999999999999998E-3</v>
      </c>
      <c r="R6" s="115">
        <v>0</v>
      </c>
      <c r="S6" s="115">
        <v>4.8999999999999998E-3</v>
      </c>
      <c r="T6" s="105">
        <v>487</v>
      </c>
      <c r="U6" s="116">
        <v>1200</v>
      </c>
      <c r="V6" s="114">
        <v>0</v>
      </c>
      <c r="W6" s="105">
        <v>0</v>
      </c>
      <c r="X6" s="116">
        <v>0</v>
      </c>
      <c r="Y6" s="117">
        <v>0</v>
      </c>
      <c r="Z6" s="117">
        <v>1</v>
      </c>
      <c r="AA6" s="108">
        <v>7.2</v>
      </c>
      <c r="AB6" s="106">
        <v>17.600000000000001</v>
      </c>
      <c r="AC6" s="109">
        <v>2.5</v>
      </c>
      <c r="AD6" s="118">
        <v>0.44</v>
      </c>
      <c r="AE6" s="119">
        <v>0.59</v>
      </c>
      <c r="AF6" s="120">
        <v>0.34</v>
      </c>
      <c r="AG6" s="118">
        <v>0</v>
      </c>
      <c r="AH6" s="118">
        <v>0</v>
      </c>
      <c r="AI6" s="119">
        <v>0.34</v>
      </c>
      <c r="AJ6" s="120">
        <v>0.21</v>
      </c>
      <c r="AK6" s="118">
        <v>0</v>
      </c>
      <c r="AL6" s="118">
        <v>0</v>
      </c>
      <c r="AM6" s="119">
        <v>0.21</v>
      </c>
      <c r="AN6" s="120">
        <v>0.42</v>
      </c>
      <c r="AO6" s="118">
        <v>0</v>
      </c>
      <c r="AP6" s="118">
        <v>0</v>
      </c>
      <c r="AQ6" s="119">
        <v>0.42</v>
      </c>
      <c r="AR6" s="120">
        <v>0.47</v>
      </c>
      <c r="AS6" s="118">
        <v>0</v>
      </c>
      <c r="AT6" s="118">
        <v>0</v>
      </c>
      <c r="AU6" s="119">
        <v>0.47</v>
      </c>
      <c r="AV6" s="120">
        <v>0.18</v>
      </c>
      <c r="AW6" s="118">
        <v>0</v>
      </c>
      <c r="AX6" s="118">
        <v>0</v>
      </c>
      <c r="AY6" s="119">
        <v>0.18</v>
      </c>
      <c r="AZ6" s="120">
        <v>0.14000000000000001</v>
      </c>
      <c r="BA6" s="118">
        <v>0</v>
      </c>
      <c r="BB6" s="118">
        <v>0</v>
      </c>
      <c r="BC6" s="119">
        <v>0.14000000000000001</v>
      </c>
      <c r="BD6" s="121">
        <v>0.19</v>
      </c>
      <c r="BE6" s="120">
        <v>0.26</v>
      </c>
      <c r="BF6" s="118">
        <v>0</v>
      </c>
      <c r="BG6" s="118">
        <v>0</v>
      </c>
      <c r="BH6" s="119">
        <v>0.26</v>
      </c>
      <c r="BI6" s="120">
        <v>0.52</v>
      </c>
      <c r="BJ6" s="118">
        <v>0</v>
      </c>
      <c r="BK6" s="118">
        <v>0</v>
      </c>
      <c r="BL6" s="119">
        <v>0.52</v>
      </c>
      <c r="BM6" s="120">
        <v>1.73</v>
      </c>
      <c r="BN6" s="118">
        <v>2.82</v>
      </c>
      <c r="BO6" s="118">
        <v>1.42</v>
      </c>
      <c r="BP6" s="118">
        <v>1.26</v>
      </c>
      <c r="BQ6" s="118">
        <v>3.24</v>
      </c>
      <c r="BR6" s="118">
        <v>4.3600000000000003</v>
      </c>
      <c r="BS6" s="118">
        <v>3.12</v>
      </c>
      <c r="BT6" s="118">
        <v>2.2799999999999998</v>
      </c>
      <c r="BU6" s="119">
        <v>1.1399999999999999</v>
      </c>
      <c r="BV6" s="74">
        <v>2880000</v>
      </c>
      <c r="BW6" s="106">
        <v>139.19999999999999</v>
      </c>
      <c r="BX6" s="105">
        <v>960</v>
      </c>
      <c r="BY6" s="110">
        <v>19.100000000000001</v>
      </c>
      <c r="BZ6" s="106">
        <v>13.5</v>
      </c>
      <c r="CA6" s="115">
        <v>4.8999999999999998E-3</v>
      </c>
      <c r="CB6" s="105">
        <v>487</v>
      </c>
      <c r="CC6" s="114">
        <v>0</v>
      </c>
      <c r="CD6" s="105">
        <v>0</v>
      </c>
      <c r="CE6" s="99">
        <f t="shared" si="2"/>
        <v>1.3649425287356321E-2</v>
      </c>
      <c r="CF6" s="100">
        <f t="shared" si="0"/>
        <v>0.59</v>
      </c>
    </row>
    <row r="7" spans="1:84" hidden="1" x14ac:dyDescent="0.25">
      <c r="A7" s="128">
        <v>6</v>
      </c>
      <c r="B7" s="129"/>
      <c r="C7" s="130" t="s">
        <v>207</v>
      </c>
      <c r="D7" s="131">
        <v>2400</v>
      </c>
      <c r="E7" s="132">
        <v>1200</v>
      </c>
      <c r="F7" s="133">
        <f t="shared" si="1"/>
        <v>2880000</v>
      </c>
      <c r="G7" s="133">
        <v>139.19999999999999</v>
      </c>
      <c r="H7" s="132">
        <v>960</v>
      </c>
      <c r="I7" s="134">
        <v>2</v>
      </c>
      <c r="J7" s="135">
        <v>30</v>
      </c>
      <c r="K7" s="136">
        <v>19.100000000000001</v>
      </c>
      <c r="L7" s="137">
        <v>19.100000000000001</v>
      </c>
      <c r="M7" s="138">
        <v>1.04</v>
      </c>
      <c r="N7" s="133">
        <v>13.5</v>
      </c>
      <c r="O7" s="139" t="s">
        <v>201</v>
      </c>
      <c r="P7" s="140" t="s">
        <v>202</v>
      </c>
      <c r="Q7" s="141">
        <v>2.3999999999999998E-3</v>
      </c>
      <c r="R7" s="142">
        <v>0</v>
      </c>
      <c r="S7" s="142">
        <v>4.8999999999999998E-3</v>
      </c>
      <c r="T7" s="132">
        <v>487</v>
      </c>
      <c r="U7" s="143">
        <v>1200</v>
      </c>
      <c r="V7" s="141">
        <v>0</v>
      </c>
      <c r="W7" s="132">
        <v>0</v>
      </c>
      <c r="X7" s="143">
        <v>0</v>
      </c>
      <c r="Y7" s="144">
        <v>0</v>
      </c>
      <c r="Z7" s="144">
        <v>1</v>
      </c>
      <c r="AA7" s="135">
        <v>9.1999999999999993</v>
      </c>
      <c r="AB7" s="133">
        <v>22.8</v>
      </c>
      <c r="AC7" s="136">
        <v>2.5</v>
      </c>
      <c r="AD7" s="145">
        <v>0.47</v>
      </c>
      <c r="AE7" s="146">
        <v>0.65</v>
      </c>
      <c r="AF7" s="147">
        <v>0.34</v>
      </c>
      <c r="AG7" s="145">
        <v>0</v>
      </c>
      <c r="AH7" s="145">
        <v>0</v>
      </c>
      <c r="AI7" s="146">
        <v>0.34</v>
      </c>
      <c r="AJ7" s="147">
        <v>0.21</v>
      </c>
      <c r="AK7" s="145">
        <v>0</v>
      </c>
      <c r="AL7" s="145">
        <v>0</v>
      </c>
      <c r="AM7" s="146">
        <v>0.21</v>
      </c>
      <c r="AN7" s="147">
        <v>0.41</v>
      </c>
      <c r="AO7" s="145">
        <v>0</v>
      </c>
      <c r="AP7" s="145">
        <v>0</v>
      </c>
      <c r="AQ7" s="146">
        <v>0.41</v>
      </c>
      <c r="AR7" s="147">
        <v>0.47</v>
      </c>
      <c r="AS7" s="145">
        <v>0</v>
      </c>
      <c r="AT7" s="145">
        <v>0</v>
      </c>
      <c r="AU7" s="146">
        <v>0.47</v>
      </c>
      <c r="AV7" s="147">
        <v>0.18</v>
      </c>
      <c r="AW7" s="145">
        <v>0</v>
      </c>
      <c r="AX7" s="145">
        <v>0</v>
      </c>
      <c r="AY7" s="146">
        <v>0.18</v>
      </c>
      <c r="AZ7" s="147">
        <v>0.14000000000000001</v>
      </c>
      <c r="BA7" s="145">
        <v>0</v>
      </c>
      <c r="BB7" s="145">
        <v>0</v>
      </c>
      <c r="BC7" s="146">
        <v>0.14000000000000001</v>
      </c>
      <c r="BD7" s="148">
        <v>0.19</v>
      </c>
      <c r="BE7" s="147">
        <v>0.26</v>
      </c>
      <c r="BF7" s="145">
        <v>0</v>
      </c>
      <c r="BG7" s="145">
        <v>0</v>
      </c>
      <c r="BH7" s="146">
        <v>0.26</v>
      </c>
      <c r="BI7" s="147">
        <v>0.52</v>
      </c>
      <c r="BJ7" s="145">
        <v>0</v>
      </c>
      <c r="BK7" s="145">
        <v>0</v>
      </c>
      <c r="BL7" s="146">
        <v>0.52</v>
      </c>
      <c r="BM7" s="147">
        <v>1.89</v>
      </c>
      <c r="BN7" s="145">
        <v>3.1</v>
      </c>
      <c r="BO7" s="145">
        <v>1.59</v>
      </c>
      <c r="BP7" s="145">
        <v>1.38</v>
      </c>
      <c r="BQ7" s="145">
        <v>3.55</v>
      </c>
      <c r="BR7" s="145">
        <v>4.78</v>
      </c>
      <c r="BS7" s="145">
        <v>3.42</v>
      </c>
      <c r="BT7" s="145">
        <v>2.5</v>
      </c>
      <c r="BU7" s="146">
        <v>1.25</v>
      </c>
      <c r="BV7" s="74">
        <v>2880000</v>
      </c>
      <c r="BW7" s="133">
        <v>139.19999999999999</v>
      </c>
      <c r="BX7" s="132">
        <v>960</v>
      </c>
      <c r="BY7" s="137">
        <v>19.100000000000001</v>
      </c>
      <c r="BZ7" s="133">
        <v>13.5</v>
      </c>
      <c r="CA7" s="142">
        <v>4.8999999999999998E-3</v>
      </c>
      <c r="CB7" s="132">
        <v>487</v>
      </c>
      <c r="CC7" s="141">
        <v>0</v>
      </c>
      <c r="CD7" s="132">
        <v>0</v>
      </c>
      <c r="CE7" s="99">
        <f t="shared" si="2"/>
        <v>1.496647509578544E-2</v>
      </c>
      <c r="CF7" s="100">
        <f t="shared" si="0"/>
        <v>0.65</v>
      </c>
    </row>
    <row r="8" spans="1:84" ht="14.25" hidden="1" customHeight="1" x14ac:dyDescent="0.25">
      <c r="A8" s="78">
        <v>7</v>
      </c>
      <c r="B8" s="79" t="s">
        <v>208</v>
      </c>
      <c r="C8" s="80" t="s">
        <v>209</v>
      </c>
      <c r="D8" s="81">
        <v>1830</v>
      </c>
      <c r="E8" s="82">
        <v>1830</v>
      </c>
      <c r="F8" s="95">
        <f t="shared" si="1"/>
        <v>3348900</v>
      </c>
      <c r="G8" s="82">
        <v>143</v>
      </c>
      <c r="H8" s="82">
        <v>1727</v>
      </c>
      <c r="I8" s="84">
        <v>1</v>
      </c>
      <c r="J8" s="149">
        <v>24</v>
      </c>
      <c r="K8" s="150">
        <v>19.2</v>
      </c>
      <c r="L8" s="151">
        <v>22</v>
      </c>
      <c r="M8" s="152">
        <v>1.1200000000000001</v>
      </c>
      <c r="N8" s="95">
        <v>20.67</v>
      </c>
      <c r="O8" s="89" t="s">
        <v>210</v>
      </c>
      <c r="P8" s="90" t="s">
        <v>211</v>
      </c>
      <c r="Q8" s="91">
        <v>1.48E-3</v>
      </c>
      <c r="R8" s="92">
        <v>6.6699999999999997E-3</v>
      </c>
      <c r="S8" s="92">
        <v>7.4099999999999999E-3</v>
      </c>
      <c r="T8" s="82">
        <v>496</v>
      </c>
      <c r="U8" s="90" t="s">
        <v>212</v>
      </c>
      <c r="V8" s="91">
        <v>1.2199999999999999E-3</v>
      </c>
      <c r="W8" s="82">
        <v>386</v>
      </c>
      <c r="X8" s="93">
        <v>406</v>
      </c>
      <c r="Y8" s="153">
        <v>1.86</v>
      </c>
      <c r="Z8" s="94">
        <v>1</v>
      </c>
      <c r="AA8" s="85">
        <v>2.8</v>
      </c>
      <c r="AB8" s="154">
        <v>8.6</v>
      </c>
      <c r="AC8" s="86">
        <v>3.1</v>
      </c>
      <c r="AD8" s="95">
        <v>1.36</v>
      </c>
      <c r="AE8" s="96">
        <v>1.74</v>
      </c>
      <c r="AF8" s="97">
        <v>0.85</v>
      </c>
      <c r="AG8" s="95">
        <v>0.22</v>
      </c>
      <c r="AH8" s="95">
        <v>0.47</v>
      </c>
      <c r="AI8" s="96">
        <v>1.51</v>
      </c>
      <c r="AJ8" s="97">
        <v>0.28999999999999998</v>
      </c>
      <c r="AK8" s="95">
        <v>0.47</v>
      </c>
      <c r="AL8" s="95">
        <v>0</v>
      </c>
      <c r="AM8" s="96">
        <v>0.76</v>
      </c>
      <c r="AN8" s="97">
        <v>0.34</v>
      </c>
      <c r="AO8" s="95">
        <v>0.3</v>
      </c>
      <c r="AP8" s="95">
        <v>0.62</v>
      </c>
      <c r="AQ8" s="96">
        <v>1.25</v>
      </c>
      <c r="AR8" s="97">
        <v>0.69</v>
      </c>
      <c r="AS8" s="95">
        <v>0.27</v>
      </c>
      <c r="AT8" s="95">
        <v>0.47</v>
      </c>
      <c r="AU8" s="96">
        <v>1.42</v>
      </c>
      <c r="AV8" s="97">
        <v>0.45</v>
      </c>
      <c r="AW8" s="95">
        <v>0.47</v>
      </c>
      <c r="AX8" s="95">
        <v>0</v>
      </c>
      <c r="AY8" s="96">
        <v>0.92</v>
      </c>
      <c r="AZ8" s="97">
        <v>0.33</v>
      </c>
      <c r="BA8" s="95">
        <v>1.75</v>
      </c>
      <c r="BB8" s="95">
        <v>0.15</v>
      </c>
      <c r="BC8" s="96">
        <v>2.23</v>
      </c>
      <c r="BD8" s="98">
        <v>0.52</v>
      </c>
      <c r="BE8" s="97">
        <v>0.56000000000000005</v>
      </c>
      <c r="BF8" s="95">
        <v>0</v>
      </c>
      <c r="BG8" s="95">
        <v>0.43</v>
      </c>
      <c r="BH8" s="96">
        <v>0.99</v>
      </c>
      <c r="BI8" s="97">
        <v>0.56000000000000005</v>
      </c>
      <c r="BJ8" s="95">
        <v>0.28000000000000003</v>
      </c>
      <c r="BK8" s="95">
        <v>0.56000000000000005</v>
      </c>
      <c r="BL8" s="96">
        <v>1.4</v>
      </c>
      <c r="BM8" s="97">
        <v>1.1499999999999999</v>
      </c>
      <c r="BN8" s="95">
        <v>2.29</v>
      </c>
      <c r="BO8" s="95">
        <v>1.4</v>
      </c>
      <c r="BP8" s="95">
        <v>1.23</v>
      </c>
      <c r="BQ8" s="95">
        <v>1.88</v>
      </c>
      <c r="BR8" s="95">
        <v>0.78</v>
      </c>
      <c r="BS8" s="95">
        <v>3.35</v>
      </c>
      <c r="BT8" s="95">
        <v>1.76</v>
      </c>
      <c r="BU8" s="96">
        <v>1.24</v>
      </c>
      <c r="BV8" s="74">
        <v>3348900</v>
      </c>
      <c r="BW8" s="82">
        <v>143</v>
      </c>
      <c r="BX8" s="82">
        <v>1727</v>
      </c>
      <c r="BY8" s="151">
        <v>22</v>
      </c>
      <c r="BZ8" s="95">
        <v>20.67</v>
      </c>
      <c r="CA8" s="92">
        <v>7.4099999999999999E-3</v>
      </c>
      <c r="CB8" s="82">
        <v>496</v>
      </c>
      <c r="CC8" s="91">
        <v>1.2199999999999999E-3</v>
      </c>
      <c r="CD8" s="82">
        <v>386</v>
      </c>
      <c r="CE8" s="99">
        <f t="shared" si="2"/>
        <v>6.7255149222362337E-3</v>
      </c>
      <c r="CF8" s="100">
        <f t="shared" si="0"/>
        <v>1.74</v>
      </c>
    </row>
    <row r="9" spans="1:84" hidden="1" x14ac:dyDescent="0.25">
      <c r="A9" s="101">
        <v>8</v>
      </c>
      <c r="B9" s="102"/>
      <c r="C9" s="103" t="s">
        <v>213</v>
      </c>
      <c r="D9" s="104">
        <v>1830</v>
      </c>
      <c r="E9" s="105">
        <v>1830</v>
      </c>
      <c r="F9" s="118">
        <f t="shared" si="1"/>
        <v>3348900</v>
      </c>
      <c r="G9" s="105">
        <v>143</v>
      </c>
      <c r="H9" s="105">
        <v>1727</v>
      </c>
      <c r="I9" s="107">
        <v>1</v>
      </c>
      <c r="J9" s="155">
        <v>24</v>
      </c>
      <c r="K9" s="156">
        <v>19.2</v>
      </c>
      <c r="L9" s="157">
        <v>22</v>
      </c>
      <c r="M9" s="158">
        <v>1.04</v>
      </c>
      <c r="N9" s="118">
        <v>17.91</v>
      </c>
      <c r="O9" s="112" t="s">
        <v>210</v>
      </c>
      <c r="P9" s="113" t="s">
        <v>211</v>
      </c>
      <c r="Q9" s="114">
        <v>1.48E-3</v>
      </c>
      <c r="R9" s="115">
        <v>6.6699999999999997E-3</v>
      </c>
      <c r="S9" s="115">
        <v>7.4099999999999999E-3</v>
      </c>
      <c r="T9" s="105">
        <v>496</v>
      </c>
      <c r="U9" s="113" t="s">
        <v>212</v>
      </c>
      <c r="V9" s="114">
        <v>1.2199999999999999E-3</v>
      </c>
      <c r="W9" s="105">
        <v>386</v>
      </c>
      <c r="X9" s="116">
        <v>406</v>
      </c>
      <c r="Y9" s="117">
        <v>0</v>
      </c>
      <c r="Z9" s="117">
        <v>1</v>
      </c>
      <c r="AA9" s="108">
        <v>4.3</v>
      </c>
      <c r="AB9" s="159">
        <v>9.9</v>
      </c>
      <c r="AC9" s="109">
        <v>2.2999999999999998</v>
      </c>
      <c r="AD9" s="118">
        <v>0.9</v>
      </c>
      <c r="AE9" s="119">
        <v>1.35</v>
      </c>
      <c r="AF9" s="120">
        <v>0.79</v>
      </c>
      <c r="AG9" s="118">
        <v>0.22</v>
      </c>
      <c r="AH9" s="118">
        <v>0</v>
      </c>
      <c r="AI9" s="119">
        <v>1.01</v>
      </c>
      <c r="AJ9" s="120">
        <v>0.21</v>
      </c>
      <c r="AK9" s="118">
        <v>0.47</v>
      </c>
      <c r="AL9" s="118">
        <v>0</v>
      </c>
      <c r="AM9" s="119">
        <v>0.68</v>
      </c>
      <c r="AN9" s="120">
        <v>0.6</v>
      </c>
      <c r="AO9" s="118">
        <v>0.3</v>
      </c>
      <c r="AP9" s="118">
        <v>0</v>
      </c>
      <c r="AQ9" s="119">
        <v>0.87</v>
      </c>
      <c r="AR9" s="120">
        <v>0.64</v>
      </c>
      <c r="AS9" s="118">
        <v>0.27</v>
      </c>
      <c r="AT9" s="118">
        <v>0</v>
      </c>
      <c r="AU9" s="119">
        <v>0.91</v>
      </c>
      <c r="AV9" s="120">
        <v>0.42</v>
      </c>
      <c r="AW9" s="118">
        <v>0.47</v>
      </c>
      <c r="AX9" s="118">
        <v>0</v>
      </c>
      <c r="AY9" s="119">
        <v>0.89</v>
      </c>
      <c r="AZ9" s="120">
        <v>0.31</v>
      </c>
      <c r="BA9" s="118">
        <v>1.75</v>
      </c>
      <c r="BB9" s="118">
        <v>0</v>
      </c>
      <c r="BC9" s="119">
        <v>2.06</v>
      </c>
      <c r="BD9" s="121">
        <v>0.52</v>
      </c>
      <c r="BE9" s="120">
        <v>0.52</v>
      </c>
      <c r="BF9" s="118">
        <v>0</v>
      </c>
      <c r="BG9" s="118">
        <v>0</v>
      </c>
      <c r="BH9" s="119">
        <v>0.52</v>
      </c>
      <c r="BI9" s="120">
        <v>0.52</v>
      </c>
      <c r="BJ9" s="118">
        <v>0.28000000000000003</v>
      </c>
      <c r="BK9" s="118">
        <v>0</v>
      </c>
      <c r="BL9" s="119">
        <v>0.8</v>
      </c>
      <c r="BM9" s="120">
        <v>1.33</v>
      </c>
      <c r="BN9" s="118">
        <v>1.99</v>
      </c>
      <c r="BO9" s="118">
        <v>1.56</v>
      </c>
      <c r="BP9" s="118">
        <v>1.49</v>
      </c>
      <c r="BQ9" s="118">
        <v>1.51</v>
      </c>
      <c r="BR9" s="118">
        <v>0.66</v>
      </c>
      <c r="BS9" s="118">
        <v>2.6</v>
      </c>
      <c r="BT9" s="118">
        <v>2.59</v>
      </c>
      <c r="BU9" s="119">
        <v>1.68</v>
      </c>
      <c r="BV9" s="74">
        <v>3348900</v>
      </c>
      <c r="BW9" s="105">
        <v>143</v>
      </c>
      <c r="BX9" s="105">
        <v>1727</v>
      </c>
      <c r="BY9" s="157">
        <v>22</v>
      </c>
      <c r="BZ9" s="118">
        <v>17.91</v>
      </c>
      <c r="CA9" s="115">
        <v>7.4099999999999999E-3</v>
      </c>
      <c r="CB9" s="105">
        <v>496</v>
      </c>
      <c r="CC9" s="114">
        <v>1.2199999999999999E-3</v>
      </c>
      <c r="CD9" s="105">
        <v>386</v>
      </c>
      <c r="CE9" s="99">
        <f t="shared" si="2"/>
        <v>9.8972066185180931E-3</v>
      </c>
      <c r="CF9" s="100">
        <f t="shared" si="0"/>
        <v>1.35</v>
      </c>
    </row>
    <row r="10" spans="1:84" hidden="1" x14ac:dyDescent="0.25">
      <c r="A10" s="101">
        <v>9</v>
      </c>
      <c r="B10" s="102"/>
      <c r="C10" s="103" t="s">
        <v>214</v>
      </c>
      <c r="D10" s="104">
        <v>1830</v>
      </c>
      <c r="E10" s="105">
        <v>1830</v>
      </c>
      <c r="F10" s="118">
        <f t="shared" si="1"/>
        <v>3348900</v>
      </c>
      <c r="G10" s="105">
        <v>143</v>
      </c>
      <c r="H10" s="105">
        <v>1727</v>
      </c>
      <c r="I10" s="107">
        <v>1</v>
      </c>
      <c r="J10" s="155">
        <v>24</v>
      </c>
      <c r="K10" s="156">
        <v>19.2</v>
      </c>
      <c r="L10" s="157">
        <v>22</v>
      </c>
      <c r="M10" s="158">
        <v>1.04</v>
      </c>
      <c r="N10" s="118">
        <v>17.91</v>
      </c>
      <c r="O10" s="112" t="s">
        <v>210</v>
      </c>
      <c r="P10" s="113" t="s">
        <v>211</v>
      </c>
      <c r="Q10" s="114">
        <v>1.48E-3</v>
      </c>
      <c r="R10" s="115">
        <v>6.6699999999999997E-3</v>
      </c>
      <c r="S10" s="115">
        <v>7.4099999999999999E-3</v>
      </c>
      <c r="T10" s="105">
        <v>496</v>
      </c>
      <c r="U10" s="113" t="s">
        <v>212</v>
      </c>
      <c r="V10" s="114">
        <v>1.2199999999999999E-3</v>
      </c>
      <c r="W10" s="105">
        <v>386</v>
      </c>
      <c r="X10" s="116">
        <v>406</v>
      </c>
      <c r="Y10" s="160">
        <v>0.69</v>
      </c>
      <c r="Z10" s="117">
        <v>1</v>
      </c>
      <c r="AA10" s="108">
        <v>4.8</v>
      </c>
      <c r="AB10" s="159">
        <v>9.6999999999999993</v>
      </c>
      <c r="AC10" s="109">
        <v>2</v>
      </c>
      <c r="AD10" s="118">
        <v>1.02</v>
      </c>
      <c r="AE10" s="119">
        <v>1.47</v>
      </c>
      <c r="AF10" s="120">
        <v>0.79</v>
      </c>
      <c r="AG10" s="118">
        <v>0.22</v>
      </c>
      <c r="AH10" s="118">
        <v>0.17</v>
      </c>
      <c r="AI10" s="119">
        <v>1.18</v>
      </c>
      <c r="AJ10" s="120">
        <v>0.28999999999999998</v>
      </c>
      <c r="AK10" s="118">
        <v>0.47</v>
      </c>
      <c r="AL10" s="118">
        <v>0</v>
      </c>
      <c r="AM10" s="119">
        <v>0.76</v>
      </c>
      <c r="AN10" s="120">
        <v>0.7</v>
      </c>
      <c r="AO10" s="118">
        <v>0.3</v>
      </c>
      <c r="AP10" s="118">
        <v>0.24</v>
      </c>
      <c r="AQ10" s="119">
        <v>1.21</v>
      </c>
      <c r="AR10" s="120">
        <v>0.64</v>
      </c>
      <c r="AS10" s="118">
        <v>0.27</v>
      </c>
      <c r="AT10" s="118">
        <v>0.17</v>
      </c>
      <c r="AU10" s="119">
        <v>1.08</v>
      </c>
      <c r="AV10" s="120">
        <v>0.42</v>
      </c>
      <c r="AW10" s="118">
        <v>0.47</v>
      </c>
      <c r="AX10" s="118">
        <v>0</v>
      </c>
      <c r="AY10" s="119">
        <v>0.89</v>
      </c>
      <c r="AZ10" s="120">
        <v>0.31</v>
      </c>
      <c r="BA10" s="118">
        <v>1.75</v>
      </c>
      <c r="BB10" s="118">
        <v>0.06</v>
      </c>
      <c r="BC10" s="119">
        <v>2.11</v>
      </c>
      <c r="BD10" s="121">
        <v>0.52</v>
      </c>
      <c r="BE10" s="120">
        <v>0.52</v>
      </c>
      <c r="BF10" s="118">
        <v>0</v>
      </c>
      <c r="BG10" s="118">
        <v>0.16</v>
      </c>
      <c r="BH10" s="119">
        <v>0.68</v>
      </c>
      <c r="BI10" s="120">
        <v>0.52</v>
      </c>
      <c r="BJ10" s="118">
        <v>0.28000000000000003</v>
      </c>
      <c r="BK10" s="118">
        <v>0.21</v>
      </c>
      <c r="BL10" s="119">
        <v>1.01</v>
      </c>
      <c r="BM10" s="120">
        <v>1.24</v>
      </c>
      <c r="BN10" s="118">
        <v>1.94</v>
      </c>
      <c r="BO10" s="118">
        <v>1.22</v>
      </c>
      <c r="BP10" s="118">
        <v>1.36</v>
      </c>
      <c r="BQ10" s="118">
        <v>1.65</v>
      </c>
      <c r="BR10" s="118">
        <v>0.7</v>
      </c>
      <c r="BS10" s="118">
        <v>2.83</v>
      </c>
      <c r="BT10" s="118">
        <v>2.16</v>
      </c>
      <c r="BU10" s="119">
        <v>1.45</v>
      </c>
      <c r="BV10" s="74">
        <v>3348900</v>
      </c>
      <c r="BW10" s="105">
        <v>143</v>
      </c>
      <c r="BX10" s="105">
        <v>1727</v>
      </c>
      <c r="BY10" s="157">
        <v>22</v>
      </c>
      <c r="BZ10" s="118">
        <v>17.91</v>
      </c>
      <c r="CA10" s="115">
        <v>7.4099999999999999E-3</v>
      </c>
      <c r="CB10" s="105">
        <v>496</v>
      </c>
      <c r="CC10" s="114">
        <v>1.2199999999999999E-3</v>
      </c>
      <c r="CD10" s="105">
        <v>386</v>
      </c>
      <c r="CE10" s="99">
        <f t="shared" si="2"/>
        <v>8.2540410409262868E-3</v>
      </c>
      <c r="CF10" s="100">
        <f t="shared" si="0"/>
        <v>1.47</v>
      </c>
    </row>
    <row r="11" spans="1:84" hidden="1" x14ac:dyDescent="0.25">
      <c r="A11" s="101">
        <v>10</v>
      </c>
      <c r="B11" s="102"/>
      <c r="C11" s="103" t="s">
        <v>215</v>
      </c>
      <c r="D11" s="104">
        <v>1830</v>
      </c>
      <c r="E11" s="105">
        <v>1830</v>
      </c>
      <c r="F11" s="118">
        <f t="shared" si="1"/>
        <v>3348900</v>
      </c>
      <c r="G11" s="105">
        <v>143</v>
      </c>
      <c r="H11" s="105">
        <v>1727</v>
      </c>
      <c r="I11" s="107">
        <v>1</v>
      </c>
      <c r="J11" s="155">
        <v>24</v>
      </c>
      <c r="K11" s="156">
        <v>19.2</v>
      </c>
      <c r="L11" s="157">
        <v>22</v>
      </c>
      <c r="M11" s="158">
        <v>1.17</v>
      </c>
      <c r="N11" s="118">
        <v>22.36</v>
      </c>
      <c r="O11" s="112" t="s">
        <v>210</v>
      </c>
      <c r="P11" s="113" t="s">
        <v>211</v>
      </c>
      <c r="Q11" s="114">
        <v>1.48E-3</v>
      </c>
      <c r="R11" s="115">
        <v>6.6699999999999997E-3</v>
      </c>
      <c r="S11" s="115">
        <v>7.4099999999999999E-3</v>
      </c>
      <c r="T11" s="105">
        <v>496</v>
      </c>
      <c r="U11" s="113" t="s">
        <v>212</v>
      </c>
      <c r="V11" s="114">
        <v>1.2199999999999999E-3</v>
      </c>
      <c r="W11" s="105">
        <v>386</v>
      </c>
      <c r="X11" s="116">
        <v>406</v>
      </c>
      <c r="Y11" s="160">
        <v>0.69</v>
      </c>
      <c r="Z11" s="117">
        <v>1</v>
      </c>
      <c r="AA11" s="108">
        <v>3.3</v>
      </c>
      <c r="AB11" s="159">
        <v>7.9</v>
      </c>
      <c r="AC11" s="109">
        <v>2.4</v>
      </c>
      <c r="AD11" s="118">
        <v>1.06</v>
      </c>
      <c r="AE11" s="119">
        <v>1.65</v>
      </c>
      <c r="AF11" s="120">
        <v>0.88</v>
      </c>
      <c r="AG11" s="118">
        <v>0.22</v>
      </c>
      <c r="AH11" s="118">
        <v>0.17</v>
      </c>
      <c r="AI11" s="119">
        <v>1.28</v>
      </c>
      <c r="AJ11" s="120">
        <v>0.28999999999999998</v>
      </c>
      <c r="AK11" s="118">
        <v>0.47</v>
      </c>
      <c r="AL11" s="118">
        <v>0</v>
      </c>
      <c r="AM11" s="119">
        <v>0.76</v>
      </c>
      <c r="AN11" s="120">
        <v>0.63</v>
      </c>
      <c r="AO11" s="118">
        <v>0.3</v>
      </c>
      <c r="AP11" s="118">
        <v>0.25</v>
      </c>
      <c r="AQ11" s="119">
        <v>1.1399999999999999</v>
      </c>
      <c r="AR11" s="120">
        <v>0.71</v>
      </c>
      <c r="AS11" s="118">
        <v>0.27</v>
      </c>
      <c r="AT11" s="118">
        <v>0.17</v>
      </c>
      <c r="AU11" s="119">
        <v>1.1499999999999999</v>
      </c>
      <c r="AV11" s="120">
        <v>0.47</v>
      </c>
      <c r="AW11" s="118">
        <v>0.47</v>
      </c>
      <c r="AX11" s="118">
        <v>0</v>
      </c>
      <c r="AY11" s="119">
        <v>0.94</v>
      </c>
      <c r="AZ11" s="120">
        <v>0.35</v>
      </c>
      <c r="BA11" s="118">
        <v>1.75</v>
      </c>
      <c r="BB11" s="118">
        <v>0.06</v>
      </c>
      <c r="BC11" s="119">
        <v>2.15</v>
      </c>
      <c r="BD11" s="121">
        <v>0.52</v>
      </c>
      <c r="BE11" s="120">
        <v>0.57999999999999996</v>
      </c>
      <c r="BF11" s="118">
        <v>0</v>
      </c>
      <c r="BG11" s="118">
        <v>0.16</v>
      </c>
      <c r="BH11" s="119">
        <v>0.74</v>
      </c>
      <c r="BI11" s="120">
        <v>0.57999999999999996</v>
      </c>
      <c r="BJ11" s="118">
        <v>0.28000000000000003</v>
      </c>
      <c r="BK11" s="118">
        <v>0.21</v>
      </c>
      <c r="BL11" s="119">
        <v>1.07</v>
      </c>
      <c r="BM11" s="120">
        <v>1.29</v>
      </c>
      <c r="BN11" s="118">
        <v>2.17</v>
      </c>
      <c r="BO11" s="118">
        <v>1.44</v>
      </c>
      <c r="BP11" s="118">
        <v>1.43</v>
      </c>
      <c r="BQ11" s="118">
        <v>1.75</v>
      </c>
      <c r="BR11" s="118">
        <v>0.77</v>
      </c>
      <c r="BS11" s="118">
        <v>3.17</v>
      </c>
      <c r="BT11" s="118">
        <v>2.2200000000000002</v>
      </c>
      <c r="BU11" s="119">
        <v>1.54</v>
      </c>
      <c r="BV11" s="74">
        <v>3348900</v>
      </c>
      <c r="BW11" s="105">
        <v>143</v>
      </c>
      <c r="BX11" s="105">
        <v>1727</v>
      </c>
      <c r="BY11" s="157">
        <v>22</v>
      </c>
      <c r="BZ11" s="118">
        <v>22.36</v>
      </c>
      <c r="CA11" s="115">
        <v>7.4099999999999999E-3</v>
      </c>
      <c r="CB11" s="105">
        <v>496</v>
      </c>
      <c r="CC11" s="114">
        <v>1.2199999999999999E-3</v>
      </c>
      <c r="CD11" s="105">
        <v>386</v>
      </c>
      <c r="CE11" s="99">
        <f t="shared" si="2"/>
        <v>8.4833199587297948E-3</v>
      </c>
      <c r="CF11" s="100">
        <f t="shared" si="0"/>
        <v>1.65</v>
      </c>
    </row>
    <row r="12" spans="1:84" hidden="1" x14ac:dyDescent="0.25">
      <c r="A12" s="122">
        <v>11</v>
      </c>
      <c r="B12" s="102"/>
      <c r="C12" s="103" t="s">
        <v>216</v>
      </c>
      <c r="D12" s="127">
        <v>1830</v>
      </c>
      <c r="E12" s="124">
        <v>1830</v>
      </c>
      <c r="F12" s="118">
        <f t="shared" si="1"/>
        <v>3348900</v>
      </c>
      <c r="G12" s="124">
        <v>143</v>
      </c>
      <c r="H12" s="124">
        <v>1727</v>
      </c>
      <c r="I12" s="161">
        <v>1</v>
      </c>
      <c r="J12" s="155">
        <v>24</v>
      </c>
      <c r="K12" s="156">
        <v>19.2</v>
      </c>
      <c r="L12" s="157">
        <v>22</v>
      </c>
      <c r="M12" s="158">
        <v>1.17</v>
      </c>
      <c r="N12" s="118">
        <v>22.36</v>
      </c>
      <c r="O12" s="112" t="s">
        <v>210</v>
      </c>
      <c r="P12" s="113" t="s">
        <v>211</v>
      </c>
      <c r="Q12" s="114">
        <v>7.6999999999999996E-4</v>
      </c>
      <c r="R12" s="115">
        <v>3.4399999999999999E-3</v>
      </c>
      <c r="S12" s="115">
        <v>3.8300000000000001E-3</v>
      </c>
      <c r="T12" s="105">
        <v>441</v>
      </c>
      <c r="U12" s="113" t="s">
        <v>212</v>
      </c>
      <c r="V12" s="114">
        <v>1.2199999999999999E-3</v>
      </c>
      <c r="W12" s="105">
        <v>386</v>
      </c>
      <c r="X12" s="116">
        <v>406</v>
      </c>
      <c r="Y12" s="160">
        <v>1.86</v>
      </c>
      <c r="Z12" s="117">
        <v>1</v>
      </c>
      <c r="AA12" s="108">
        <v>2.2999999999999998</v>
      </c>
      <c r="AB12" s="159">
        <v>5.7</v>
      </c>
      <c r="AC12" s="109">
        <v>2.5</v>
      </c>
      <c r="AD12" s="118">
        <v>1.56</v>
      </c>
      <c r="AE12" s="119">
        <v>1.63</v>
      </c>
      <c r="AF12" s="120">
        <v>0.88</v>
      </c>
      <c r="AG12" s="118">
        <v>0.22</v>
      </c>
      <c r="AH12" s="118">
        <v>0.47</v>
      </c>
      <c r="AI12" s="119">
        <v>1.57</v>
      </c>
      <c r="AJ12" s="120">
        <v>0.28999999999999998</v>
      </c>
      <c r="AK12" s="118">
        <v>0.47</v>
      </c>
      <c r="AL12" s="118">
        <v>0</v>
      </c>
      <c r="AM12" s="119">
        <v>0.76</v>
      </c>
      <c r="AN12" s="120">
        <v>0.49</v>
      </c>
      <c r="AO12" s="118">
        <v>0.3</v>
      </c>
      <c r="AP12" s="118">
        <v>0.67</v>
      </c>
      <c r="AQ12" s="119">
        <v>1.44</v>
      </c>
      <c r="AR12" s="120">
        <v>0.71</v>
      </c>
      <c r="AS12" s="118">
        <v>0.27</v>
      </c>
      <c r="AT12" s="118">
        <v>0.47</v>
      </c>
      <c r="AU12" s="119">
        <v>1.45</v>
      </c>
      <c r="AV12" s="120">
        <v>0.47</v>
      </c>
      <c r="AW12" s="118">
        <v>0.47</v>
      </c>
      <c r="AX12" s="118">
        <v>0</v>
      </c>
      <c r="AY12" s="119">
        <v>0.94</v>
      </c>
      <c r="AZ12" s="120">
        <v>0.3</v>
      </c>
      <c r="BA12" s="118">
        <v>1.34</v>
      </c>
      <c r="BB12" s="118">
        <v>0.15</v>
      </c>
      <c r="BC12" s="119">
        <v>1.79</v>
      </c>
      <c r="BD12" s="121">
        <v>0.52</v>
      </c>
      <c r="BE12" s="120">
        <v>0.57999999999999996</v>
      </c>
      <c r="BF12" s="118">
        <v>0</v>
      </c>
      <c r="BG12" s="118">
        <v>0.43</v>
      </c>
      <c r="BH12" s="119">
        <v>1.01</v>
      </c>
      <c r="BI12" s="120">
        <v>0.57999999999999996</v>
      </c>
      <c r="BJ12" s="118">
        <v>0.28000000000000003</v>
      </c>
      <c r="BK12" s="118">
        <v>0.56000000000000005</v>
      </c>
      <c r="BL12" s="119">
        <v>1.42</v>
      </c>
      <c r="BM12" s="120">
        <v>1.04</v>
      </c>
      <c r="BN12" s="118">
        <v>2.15</v>
      </c>
      <c r="BO12" s="118">
        <v>1.1399999999999999</v>
      </c>
      <c r="BP12" s="118">
        <v>1.1299999999999999</v>
      </c>
      <c r="BQ12" s="118">
        <v>1.73</v>
      </c>
      <c r="BR12" s="118">
        <v>0.91</v>
      </c>
      <c r="BS12" s="118">
        <v>3.13</v>
      </c>
      <c r="BT12" s="118">
        <v>1.61</v>
      </c>
      <c r="BU12" s="119">
        <v>1.1399999999999999</v>
      </c>
      <c r="BV12" s="74">
        <v>3348900</v>
      </c>
      <c r="BW12" s="124">
        <v>143</v>
      </c>
      <c r="BX12" s="124">
        <v>1727</v>
      </c>
      <c r="BY12" s="157">
        <v>22</v>
      </c>
      <c r="BZ12" s="118">
        <v>22.36</v>
      </c>
      <c r="CA12" s="115">
        <v>3.8300000000000001E-3</v>
      </c>
      <c r="CB12" s="105">
        <v>441</v>
      </c>
      <c r="CC12" s="114">
        <v>1.2199999999999999E-3</v>
      </c>
      <c r="CD12" s="105">
        <v>386</v>
      </c>
      <c r="CE12" s="99">
        <f t="shared" si="2"/>
        <v>6.1523176277274638E-3</v>
      </c>
      <c r="CF12" s="100">
        <f t="shared" si="0"/>
        <v>1.63</v>
      </c>
    </row>
    <row r="13" spans="1:84" hidden="1" x14ac:dyDescent="0.25">
      <c r="A13" s="122">
        <v>12</v>
      </c>
      <c r="B13" s="102"/>
      <c r="C13" s="103" t="s">
        <v>217</v>
      </c>
      <c r="D13" s="127">
        <v>1830</v>
      </c>
      <c r="E13" s="124">
        <v>1830</v>
      </c>
      <c r="F13" s="118">
        <f t="shared" si="1"/>
        <v>3348900</v>
      </c>
      <c r="G13" s="124">
        <v>143</v>
      </c>
      <c r="H13" s="124">
        <v>1727</v>
      </c>
      <c r="I13" s="161">
        <v>1</v>
      </c>
      <c r="J13" s="155">
        <v>24</v>
      </c>
      <c r="K13" s="156">
        <v>19.2</v>
      </c>
      <c r="L13" s="157">
        <v>22</v>
      </c>
      <c r="M13" s="158">
        <v>1.19</v>
      </c>
      <c r="N13" s="118">
        <v>23.04</v>
      </c>
      <c r="O13" s="112" t="s">
        <v>210</v>
      </c>
      <c r="P13" s="113" t="s">
        <v>211</v>
      </c>
      <c r="Q13" s="114">
        <v>1.09E-3</v>
      </c>
      <c r="R13" s="115">
        <v>4.8900000000000002E-3</v>
      </c>
      <c r="S13" s="115">
        <v>5.4299999999999999E-3</v>
      </c>
      <c r="T13" s="105">
        <v>448</v>
      </c>
      <c r="U13" s="113" t="s">
        <v>212</v>
      </c>
      <c r="V13" s="114">
        <v>2.3600000000000001E-3</v>
      </c>
      <c r="W13" s="105">
        <v>462</v>
      </c>
      <c r="X13" s="116">
        <v>406</v>
      </c>
      <c r="Y13" s="160">
        <v>1.86</v>
      </c>
      <c r="Z13" s="117">
        <v>1</v>
      </c>
      <c r="AA13" s="108">
        <v>2.5</v>
      </c>
      <c r="AB13" s="159">
        <v>5.6</v>
      </c>
      <c r="AC13" s="109">
        <v>2.2000000000000002</v>
      </c>
      <c r="AD13" s="118">
        <v>1.9</v>
      </c>
      <c r="AE13" s="119">
        <v>1.92</v>
      </c>
      <c r="AF13" s="120">
        <v>0.9</v>
      </c>
      <c r="AG13" s="118">
        <v>0.51</v>
      </c>
      <c r="AH13" s="118">
        <v>0.47</v>
      </c>
      <c r="AI13" s="119">
        <v>1.59</v>
      </c>
      <c r="AJ13" s="120">
        <v>0.28999999999999998</v>
      </c>
      <c r="AK13" s="118">
        <v>1.0900000000000001</v>
      </c>
      <c r="AL13" s="118">
        <v>0</v>
      </c>
      <c r="AM13" s="119">
        <v>1.38</v>
      </c>
      <c r="AN13" s="120">
        <v>0.65</v>
      </c>
      <c r="AO13" s="118">
        <v>0.7</v>
      </c>
      <c r="AP13" s="118">
        <v>0.66</v>
      </c>
      <c r="AQ13" s="119">
        <v>1.96</v>
      </c>
      <c r="AR13" s="120">
        <v>0.72</v>
      </c>
      <c r="AS13" s="118">
        <v>0.62</v>
      </c>
      <c r="AT13" s="118">
        <v>0.47</v>
      </c>
      <c r="AU13" s="119">
        <v>1.54</v>
      </c>
      <c r="AV13" s="120">
        <v>0.48</v>
      </c>
      <c r="AW13" s="118">
        <v>1.0900000000000001</v>
      </c>
      <c r="AX13" s="118">
        <v>0</v>
      </c>
      <c r="AY13" s="119">
        <v>1.57</v>
      </c>
      <c r="AZ13" s="120">
        <v>0.33</v>
      </c>
      <c r="BA13" s="118">
        <v>1.76</v>
      </c>
      <c r="BB13" s="118">
        <v>0.15</v>
      </c>
      <c r="BC13" s="119">
        <v>2.2400000000000002</v>
      </c>
      <c r="BD13" s="121">
        <v>0.52</v>
      </c>
      <c r="BE13" s="120">
        <v>0.59</v>
      </c>
      <c r="BF13" s="118">
        <v>0</v>
      </c>
      <c r="BG13" s="118">
        <v>0.43</v>
      </c>
      <c r="BH13" s="119">
        <v>1.02</v>
      </c>
      <c r="BI13" s="120">
        <v>0.59</v>
      </c>
      <c r="BJ13" s="118">
        <v>0.22</v>
      </c>
      <c r="BK13" s="118">
        <v>0.56000000000000005</v>
      </c>
      <c r="BL13" s="119">
        <v>1.37</v>
      </c>
      <c r="BM13" s="120">
        <v>1.2</v>
      </c>
      <c r="BN13" s="118">
        <v>1.39</v>
      </c>
      <c r="BO13" s="118">
        <v>0.98</v>
      </c>
      <c r="BP13" s="118">
        <v>1.25</v>
      </c>
      <c r="BQ13" s="118">
        <v>1.22</v>
      </c>
      <c r="BR13" s="118">
        <v>0.86</v>
      </c>
      <c r="BS13" s="118">
        <v>3.69</v>
      </c>
      <c r="BT13" s="118">
        <v>1.88</v>
      </c>
      <c r="BU13" s="119">
        <v>1.4</v>
      </c>
      <c r="BV13" s="74">
        <v>3348900</v>
      </c>
      <c r="BW13" s="124">
        <v>143</v>
      </c>
      <c r="BX13" s="124">
        <v>1727</v>
      </c>
      <c r="BY13" s="157">
        <v>22</v>
      </c>
      <c r="BZ13" s="118">
        <v>23.04</v>
      </c>
      <c r="CA13" s="115">
        <v>5.4299999999999999E-3</v>
      </c>
      <c r="CB13" s="105">
        <v>448</v>
      </c>
      <c r="CC13" s="114">
        <v>2.3600000000000001E-3</v>
      </c>
      <c r="CD13" s="105">
        <v>462</v>
      </c>
      <c r="CE13" s="99">
        <f t="shared" si="2"/>
        <v>7.1840727578432488E-3</v>
      </c>
      <c r="CF13" s="100">
        <f t="shared" si="0"/>
        <v>1.92</v>
      </c>
    </row>
    <row r="14" spans="1:84" hidden="1" x14ac:dyDescent="0.25">
      <c r="A14" s="101">
        <v>13</v>
      </c>
      <c r="B14" s="102"/>
      <c r="C14" s="103" t="s">
        <v>218</v>
      </c>
      <c r="D14" s="104">
        <v>1830</v>
      </c>
      <c r="E14" s="105">
        <v>1830</v>
      </c>
      <c r="F14" s="118">
        <f t="shared" si="1"/>
        <v>3348900</v>
      </c>
      <c r="G14" s="105">
        <v>143</v>
      </c>
      <c r="H14" s="105">
        <v>1727</v>
      </c>
      <c r="I14" s="107">
        <v>1</v>
      </c>
      <c r="J14" s="155">
        <v>24</v>
      </c>
      <c r="K14" s="156">
        <v>19.2</v>
      </c>
      <c r="L14" s="157">
        <v>22</v>
      </c>
      <c r="M14" s="158">
        <v>1.19</v>
      </c>
      <c r="N14" s="118">
        <v>23.04</v>
      </c>
      <c r="O14" s="112" t="s">
        <v>210</v>
      </c>
      <c r="P14" s="113" t="s">
        <v>211</v>
      </c>
      <c r="Q14" s="114">
        <v>1.09E-3</v>
      </c>
      <c r="R14" s="115">
        <v>4.8900000000000002E-3</v>
      </c>
      <c r="S14" s="115">
        <v>5.4299999999999999E-3</v>
      </c>
      <c r="T14" s="105">
        <v>228</v>
      </c>
      <c r="U14" s="113" t="s">
        <v>212</v>
      </c>
      <c r="V14" s="114">
        <v>1.2199999999999999E-3</v>
      </c>
      <c r="W14" s="105">
        <v>386</v>
      </c>
      <c r="X14" s="116">
        <v>406</v>
      </c>
      <c r="Y14" s="160">
        <v>1.86</v>
      </c>
      <c r="Z14" s="117">
        <v>1</v>
      </c>
      <c r="AA14" s="108">
        <v>3.1</v>
      </c>
      <c r="AB14" s="159">
        <v>7</v>
      </c>
      <c r="AC14" s="109">
        <v>2.2999999999999998</v>
      </c>
      <c r="AD14" s="118">
        <v>1.73</v>
      </c>
      <c r="AE14" s="119">
        <v>1.78</v>
      </c>
      <c r="AF14" s="120">
        <v>0.9</v>
      </c>
      <c r="AG14" s="118">
        <v>0.22</v>
      </c>
      <c r="AH14" s="118">
        <v>0.47</v>
      </c>
      <c r="AI14" s="119">
        <v>1.58</v>
      </c>
      <c r="AJ14" s="120">
        <v>0.28999999999999998</v>
      </c>
      <c r="AK14" s="118">
        <v>0.47</v>
      </c>
      <c r="AL14" s="118">
        <v>0</v>
      </c>
      <c r="AM14" s="119">
        <v>0.76</v>
      </c>
      <c r="AN14" s="120">
        <v>0.54</v>
      </c>
      <c r="AO14" s="118">
        <v>0.3</v>
      </c>
      <c r="AP14" s="118">
        <v>0.68</v>
      </c>
      <c r="AQ14" s="119">
        <v>1.5</v>
      </c>
      <c r="AR14" s="120">
        <v>0.72</v>
      </c>
      <c r="AS14" s="118">
        <v>0.27</v>
      </c>
      <c r="AT14" s="118">
        <v>0.47</v>
      </c>
      <c r="AU14" s="119">
        <v>1.46</v>
      </c>
      <c r="AV14" s="120">
        <v>0.48</v>
      </c>
      <c r="AW14" s="118">
        <v>0.47</v>
      </c>
      <c r="AX14" s="118">
        <v>0</v>
      </c>
      <c r="AY14" s="119">
        <v>0.95</v>
      </c>
      <c r="AZ14" s="120">
        <v>0.33</v>
      </c>
      <c r="BA14" s="118">
        <v>1.22</v>
      </c>
      <c r="BB14" s="118">
        <v>0.15</v>
      </c>
      <c r="BC14" s="119">
        <v>1.7</v>
      </c>
      <c r="BD14" s="121">
        <v>0.52</v>
      </c>
      <c r="BE14" s="120">
        <v>0.59</v>
      </c>
      <c r="BF14" s="118">
        <v>0</v>
      </c>
      <c r="BG14" s="118">
        <v>0.43</v>
      </c>
      <c r="BH14" s="119">
        <v>1.02</v>
      </c>
      <c r="BI14" s="120">
        <v>0.59</v>
      </c>
      <c r="BJ14" s="118">
        <v>0.28000000000000003</v>
      </c>
      <c r="BK14" s="118">
        <v>0.56000000000000005</v>
      </c>
      <c r="BL14" s="119">
        <v>1.43</v>
      </c>
      <c r="BM14" s="120">
        <v>1.1200000000000001</v>
      </c>
      <c r="BN14" s="118">
        <v>2.34</v>
      </c>
      <c r="BO14" s="118">
        <v>1.19</v>
      </c>
      <c r="BP14" s="118">
        <v>1.22</v>
      </c>
      <c r="BQ14" s="118">
        <v>1.88</v>
      </c>
      <c r="BR14" s="118">
        <v>1.05</v>
      </c>
      <c r="BS14" s="118">
        <v>3.42</v>
      </c>
      <c r="BT14" s="118">
        <v>1.74</v>
      </c>
      <c r="BU14" s="119">
        <v>1.24</v>
      </c>
      <c r="BV14" s="74">
        <v>3348900</v>
      </c>
      <c r="BW14" s="105">
        <v>143</v>
      </c>
      <c r="BX14" s="105">
        <v>1727</v>
      </c>
      <c r="BY14" s="157">
        <v>22</v>
      </c>
      <c r="BZ14" s="118">
        <v>23.04</v>
      </c>
      <c r="CA14" s="115">
        <v>5.4299999999999999E-3</v>
      </c>
      <c r="CB14" s="105">
        <v>228</v>
      </c>
      <c r="CC14" s="114">
        <v>1.2199999999999999E-3</v>
      </c>
      <c r="CD14" s="105">
        <v>386</v>
      </c>
      <c r="CE14" s="99">
        <f t="shared" si="2"/>
        <v>6.6490886163017311E-3</v>
      </c>
      <c r="CF14" s="100">
        <f t="shared" si="0"/>
        <v>1.78</v>
      </c>
    </row>
    <row r="15" spans="1:84" hidden="1" x14ac:dyDescent="0.25">
      <c r="A15" s="101">
        <v>14</v>
      </c>
      <c r="B15" s="102"/>
      <c r="C15" s="103" t="s">
        <v>219</v>
      </c>
      <c r="D15" s="104">
        <v>1830</v>
      </c>
      <c r="E15" s="105">
        <v>1830</v>
      </c>
      <c r="F15" s="118">
        <f t="shared" si="1"/>
        <v>3348900</v>
      </c>
      <c r="G15" s="105">
        <v>143</v>
      </c>
      <c r="H15" s="105">
        <v>1727</v>
      </c>
      <c r="I15" s="107">
        <v>1</v>
      </c>
      <c r="J15" s="155">
        <v>24</v>
      </c>
      <c r="K15" s="156">
        <v>19.2</v>
      </c>
      <c r="L15" s="157">
        <v>22</v>
      </c>
      <c r="M15" s="158">
        <v>1.01</v>
      </c>
      <c r="N15" s="118">
        <v>17.07</v>
      </c>
      <c r="O15" s="112" t="s">
        <v>210</v>
      </c>
      <c r="P15" s="113" t="s">
        <v>211</v>
      </c>
      <c r="Q15" s="114">
        <v>1.48E-3</v>
      </c>
      <c r="R15" s="115">
        <v>6.6699999999999997E-3</v>
      </c>
      <c r="S15" s="115">
        <v>7.4099999999999999E-3</v>
      </c>
      <c r="T15" s="105">
        <v>496</v>
      </c>
      <c r="U15" s="113" t="s">
        <v>212</v>
      </c>
      <c r="V15" s="114">
        <v>2.3600000000000001E-3</v>
      </c>
      <c r="W15" s="105">
        <v>462</v>
      </c>
      <c r="X15" s="116">
        <v>406</v>
      </c>
      <c r="Y15" s="160">
        <v>1.86</v>
      </c>
      <c r="Z15" s="117">
        <v>1</v>
      </c>
      <c r="AA15" s="108">
        <v>3.3</v>
      </c>
      <c r="AB15" s="159">
        <v>12.2</v>
      </c>
      <c r="AC15" s="109">
        <v>3.7</v>
      </c>
      <c r="AD15" s="118">
        <v>1.46</v>
      </c>
      <c r="AE15" s="119">
        <v>2.0499999999999998</v>
      </c>
      <c r="AF15" s="120">
        <v>0.77</v>
      </c>
      <c r="AG15" s="118">
        <v>0.51</v>
      </c>
      <c r="AH15" s="118">
        <v>0.47</v>
      </c>
      <c r="AI15" s="119">
        <v>1.37</v>
      </c>
      <c r="AJ15" s="120">
        <v>0.28999999999999998</v>
      </c>
      <c r="AK15" s="118">
        <v>1.0900000000000001</v>
      </c>
      <c r="AL15" s="118">
        <v>0</v>
      </c>
      <c r="AM15" s="119">
        <v>1.38</v>
      </c>
      <c r="AN15" s="120">
        <v>0.1</v>
      </c>
      <c r="AO15" s="118">
        <v>0.7</v>
      </c>
      <c r="AP15" s="118">
        <v>0.6</v>
      </c>
      <c r="AQ15" s="119">
        <v>1.4</v>
      </c>
      <c r="AR15" s="120">
        <v>0.62</v>
      </c>
      <c r="AS15" s="118">
        <v>0.62</v>
      </c>
      <c r="AT15" s="118">
        <v>0.47</v>
      </c>
      <c r="AU15" s="119">
        <v>1.32</v>
      </c>
      <c r="AV15" s="120">
        <v>0.41</v>
      </c>
      <c r="AW15" s="118">
        <v>1.0900000000000001</v>
      </c>
      <c r="AX15" s="118">
        <v>0</v>
      </c>
      <c r="AY15" s="119">
        <v>1.5</v>
      </c>
      <c r="AZ15" s="120">
        <v>0.3</v>
      </c>
      <c r="BA15" s="118">
        <v>2</v>
      </c>
      <c r="BB15" s="118">
        <v>0.15</v>
      </c>
      <c r="BC15" s="119">
        <v>2.4500000000000002</v>
      </c>
      <c r="BD15" s="121">
        <v>0.52</v>
      </c>
      <c r="BE15" s="120">
        <v>0.51</v>
      </c>
      <c r="BF15" s="118">
        <v>0</v>
      </c>
      <c r="BG15" s="118">
        <v>0.43</v>
      </c>
      <c r="BH15" s="119">
        <v>0.94</v>
      </c>
      <c r="BI15" s="120">
        <v>0.51</v>
      </c>
      <c r="BJ15" s="118">
        <v>0.22</v>
      </c>
      <c r="BK15" s="118">
        <v>0.56000000000000005</v>
      </c>
      <c r="BL15" s="119">
        <v>1.28</v>
      </c>
      <c r="BM15" s="120">
        <v>1.49</v>
      </c>
      <c r="BN15" s="118">
        <v>1.49</v>
      </c>
      <c r="BO15" s="118">
        <v>1.47</v>
      </c>
      <c r="BP15" s="118">
        <v>1.55</v>
      </c>
      <c r="BQ15" s="118">
        <v>1.37</v>
      </c>
      <c r="BR15" s="118">
        <v>0.84</v>
      </c>
      <c r="BS15" s="118">
        <v>3.94</v>
      </c>
      <c r="BT15" s="118">
        <v>2.19</v>
      </c>
      <c r="BU15" s="119">
        <v>1.6</v>
      </c>
      <c r="BV15" s="74">
        <v>3348900</v>
      </c>
      <c r="BW15" s="105">
        <v>143</v>
      </c>
      <c r="BX15" s="105">
        <v>1727</v>
      </c>
      <c r="BY15" s="157">
        <v>22</v>
      </c>
      <c r="BZ15" s="118">
        <v>17.07</v>
      </c>
      <c r="CA15" s="115">
        <v>7.4099999999999999E-3</v>
      </c>
      <c r="CB15" s="105">
        <v>496</v>
      </c>
      <c r="CC15" s="114">
        <v>2.3600000000000001E-3</v>
      </c>
      <c r="CD15" s="105">
        <v>462</v>
      </c>
      <c r="CE15" s="99">
        <f t="shared" si="2"/>
        <v>8.3686804998280399E-3</v>
      </c>
      <c r="CF15" s="100">
        <f t="shared" si="0"/>
        <v>2.0499999999999998</v>
      </c>
    </row>
    <row r="16" spans="1:84" ht="14.25" hidden="1" customHeight="1" x14ac:dyDescent="0.25">
      <c r="A16" s="101">
        <v>15</v>
      </c>
      <c r="B16" s="102"/>
      <c r="C16" s="103" t="s">
        <v>220</v>
      </c>
      <c r="D16" s="104">
        <v>1830</v>
      </c>
      <c r="E16" s="105">
        <v>1830</v>
      </c>
      <c r="F16" s="118">
        <f t="shared" si="1"/>
        <v>3348900</v>
      </c>
      <c r="G16" s="105">
        <v>137</v>
      </c>
      <c r="H16" s="105">
        <v>1727</v>
      </c>
      <c r="I16" s="107">
        <v>1</v>
      </c>
      <c r="J16" s="155">
        <v>24</v>
      </c>
      <c r="K16" s="156">
        <v>19.2</v>
      </c>
      <c r="L16" s="157">
        <v>22</v>
      </c>
      <c r="M16" s="158">
        <v>1.26</v>
      </c>
      <c r="N16" s="118">
        <v>26.18</v>
      </c>
      <c r="O16" s="112" t="s">
        <v>210</v>
      </c>
      <c r="P16" s="113" t="s">
        <v>202</v>
      </c>
      <c r="Q16" s="114">
        <v>1.14E-3</v>
      </c>
      <c r="R16" s="115">
        <v>5.1200000000000004E-3</v>
      </c>
      <c r="S16" s="115">
        <v>5.6800000000000002E-3</v>
      </c>
      <c r="T16" s="105">
        <v>496</v>
      </c>
      <c r="U16" s="113" t="s">
        <v>212</v>
      </c>
      <c r="V16" s="114">
        <v>1.2800000000000001E-3</v>
      </c>
      <c r="W16" s="105">
        <v>386</v>
      </c>
      <c r="X16" s="116">
        <v>406</v>
      </c>
      <c r="Y16" s="160">
        <v>1.93</v>
      </c>
      <c r="Z16" s="117">
        <v>1</v>
      </c>
      <c r="AA16" s="162" t="s">
        <v>221</v>
      </c>
      <c r="AB16" s="163"/>
      <c r="AC16" s="109">
        <v>3.5</v>
      </c>
      <c r="AD16" s="118">
        <v>1.73</v>
      </c>
      <c r="AE16" s="119">
        <v>1.79</v>
      </c>
      <c r="AF16" s="120">
        <v>0.96</v>
      </c>
      <c r="AG16" s="118">
        <v>0.23</v>
      </c>
      <c r="AH16" s="118">
        <v>0.48</v>
      </c>
      <c r="AI16" s="119">
        <v>1.67</v>
      </c>
      <c r="AJ16" s="120">
        <v>0.28999999999999998</v>
      </c>
      <c r="AK16" s="118">
        <v>0.49</v>
      </c>
      <c r="AL16" s="118">
        <v>0</v>
      </c>
      <c r="AM16" s="119">
        <v>0.78</v>
      </c>
      <c r="AN16" s="120">
        <v>0.2</v>
      </c>
      <c r="AO16" s="118">
        <v>0.32</v>
      </c>
      <c r="AP16" s="118">
        <v>0.68</v>
      </c>
      <c r="AQ16" s="119">
        <v>1.19</v>
      </c>
      <c r="AR16" s="120">
        <v>0.77</v>
      </c>
      <c r="AS16" s="118">
        <v>0.28000000000000003</v>
      </c>
      <c r="AT16" s="118">
        <v>0.48</v>
      </c>
      <c r="AU16" s="119">
        <v>1.53</v>
      </c>
      <c r="AV16" s="120">
        <v>0.51</v>
      </c>
      <c r="AW16" s="118">
        <v>0.49</v>
      </c>
      <c r="AX16" s="118">
        <v>0</v>
      </c>
      <c r="AY16" s="119">
        <v>1</v>
      </c>
      <c r="AZ16" s="120">
        <v>0.36</v>
      </c>
      <c r="BA16" s="118">
        <v>1.6</v>
      </c>
      <c r="BB16" s="118">
        <v>0.16</v>
      </c>
      <c r="BC16" s="119">
        <v>2.12</v>
      </c>
      <c r="BD16" s="121">
        <v>0.52</v>
      </c>
      <c r="BE16" s="120">
        <v>0.63</v>
      </c>
      <c r="BF16" s="118">
        <v>0</v>
      </c>
      <c r="BG16" s="118">
        <v>0.44</v>
      </c>
      <c r="BH16" s="119">
        <v>1.07</v>
      </c>
      <c r="BI16" s="120">
        <v>0.63</v>
      </c>
      <c r="BJ16" s="118">
        <v>0.3</v>
      </c>
      <c r="BK16" s="118">
        <v>0.57999999999999996</v>
      </c>
      <c r="BL16" s="119">
        <v>1.5</v>
      </c>
      <c r="BM16" s="120">
        <v>1.07</v>
      </c>
      <c r="BN16" s="118">
        <v>2.29</v>
      </c>
      <c r="BO16" s="118">
        <v>1.51</v>
      </c>
      <c r="BP16" s="118">
        <v>1.17</v>
      </c>
      <c r="BQ16" s="118">
        <v>1.78</v>
      </c>
      <c r="BR16" s="118">
        <v>0.84</v>
      </c>
      <c r="BS16" s="118">
        <v>3.44</v>
      </c>
      <c r="BT16" s="118">
        <v>1.67</v>
      </c>
      <c r="BU16" s="119">
        <v>1.19</v>
      </c>
      <c r="BV16" s="74">
        <v>3348900</v>
      </c>
      <c r="BW16" s="105">
        <v>137</v>
      </c>
      <c r="BX16" s="105">
        <v>1727</v>
      </c>
      <c r="BY16" s="157">
        <v>22</v>
      </c>
      <c r="BZ16" s="118">
        <v>26.18</v>
      </c>
      <c r="CA16" s="115">
        <v>5.6800000000000002E-3</v>
      </c>
      <c r="CB16" s="105">
        <v>496</v>
      </c>
      <c r="CC16" s="114">
        <v>1.2800000000000001E-3</v>
      </c>
      <c r="CD16" s="105">
        <v>386</v>
      </c>
      <c r="CE16" s="99">
        <f t="shared" si="2"/>
        <v>6.6610825256272184E-3</v>
      </c>
      <c r="CF16" s="100">
        <f t="shared" si="0"/>
        <v>1.79</v>
      </c>
    </row>
    <row r="17" spans="1:84" ht="14.25" hidden="1" customHeight="1" x14ac:dyDescent="0.25">
      <c r="A17" s="128">
        <v>16</v>
      </c>
      <c r="B17" s="129"/>
      <c r="C17" s="130" t="s">
        <v>222</v>
      </c>
      <c r="D17" s="131">
        <v>1830</v>
      </c>
      <c r="E17" s="132">
        <v>1830</v>
      </c>
      <c r="F17" s="145">
        <f t="shared" si="1"/>
        <v>3348900</v>
      </c>
      <c r="G17" s="132">
        <v>137</v>
      </c>
      <c r="H17" s="132">
        <v>1727</v>
      </c>
      <c r="I17" s="134">
        <v>1</v>
      </c>
      <c r="J17" s="164">
        <v>24</v>
      </c>
      <c r="K17" s="165">
        <v>19.2</v>
      </c>
      <c r="L17" s="157">
        <v>22</v>
      </c>
      <c r="M17" s="166">
        <v>1.26</v>
      </c>
      <c r="N17" s="145">
        <v>26.18</v>
      </c>
      <c r="O17" s="139" t="s">
        <v>210</v>
      </c>
      <c r="P17" s="140" t="s">
        <v>202</v>
      </c>
      <c r="Q17" s="141">
        <v>1.14E-3</v>
      </c>
      <c r="R17" s="142">
        <v>5.1200000000000004E-3</v>
      </c>
      <c r="S17" s="142">
        <v>5.6800000000000002E-3</v>
      </c>
      <c r="T17" s="132">
        <v>496</v>
      </c>
      <c r="U17" s="140" t="s">
        <v>212</v>
      </c>
      <c r="V17" s="141">
        <v>1.2800000000000001E-3</v>
      </c>
      <c r="W17" s="132">
        <v>386</v>
      </c>
      <c r="X17" s="143">
        <v>406</v>
      </c>
      <c r="Y17" s="167">
        <v>0.69</v>
      </c>
      <c r="Z17" s="144">
        <v>1</v>
      </c>
      <c r="AA17" s="168" t="s">
        <v>221</v>
      </c>
      <c r="AB17" s="169"/>
      <c r="AC17" s="136">
        <v>4.4000000000000004</v>
      </c>
      <c r="AD17" s="145">
        <v>1.55</v>
      </c>
      <c r="AE17" s="146">
        <v>1.56</v>
      </c>
      <c r="AF17" s="147">
        <v>0.96</v>
      </c>
      <c r="AG17" s="145">
        <v>0.23</v>
      </c>
      <c r="AH17" s="145">
        <v>0.17</v>
      </c>
      <c r="AI17" s="146">
        <v>1.36</v>
      </c>
      <c r="AJ17" s="147">
        <v>0.28999999999999998</v>
      </c>
      <c r="AK17" s="145">
        <v>0.49</v>
      </c>
      <c r="AL17" s="145">
        <v>0</v>
      </c>
      <c r="AM17" s="146">
        <v>0.78</v>
      </c>
      <c r="AN17" s="147">
        <v>0</v>
      </c>
      <c r="AO17" s="145">
        <v>0.32</v>
      </c>
      <c r="AP17" s="145">
        <v>0.26</v>
      </c>
      <c r="AQ17" s="146">
        <v>0.56999999999999995</v>
      </c>
      <c r="AR17" s="147">
        <v>0.77</v>
      </c>
      <c r="AS17" s="145">
        <v>0.28000000000000003</v>
      </c>
      <c r="AT17" s="145">
        <v>0.17</v>
      </c>
      <c r="AU17" s="146">
        <v>1.22</v>
      </c>
      <c r="AV17" s="147">
        <v>0.51</v>
      </c>
      <c r="AW17" s="145">
        <v>0.49</v>
      </c>
      <c r="AX17" s="145">
        <v>0</v>
      </c>
      <c r="AY17" s="146">
        <v>1</v>
      </c>
      <c r="AZ17" s="147">
        <v>0.36</v>
      </c>
      <c r="BA17" s="145">
        <v>1.6</v>
      </c>
      <c r="BB17" s="145">
        <v>0.06</v>
      </c>
      <c r="BC17" s="146">
        <v>2.02</v>
      </c>
      <c r="BD17" s="148">
        <v>0.52</v>
      </c>
      <c r="BE17" s="147">
        <v>0.63</v>
      </c>
      <c r="BF17" s="145">
        <v>0</v>
      </c>
      <c r="BG17" s="145">
        <v>0.16</v>
      </c>
      <c r="BH17" s="146">
        <v>0.79</v>
      </c>
      <c r="BI17" s="147">
        <v>0.63</v>
      </c>
      <c r="BJ17" s="145">
        <v>0.3</v>
      </c>
      <c r="BK17" s="145">
        <v>0.21</v>
      </c>
      <c r="BL17" s="146">
        <v>1.1299999999999999</v>
      </c>
      <c r="BM17" s="147">
        <v>1.1499999999999999</v>
      </c>
      <c r="BN17" s="145">
        <v>1.99</v>
      </c>
      <c r="BO17" s="145">
        <v>2.72</v>
      </c>
      <c r="BP17" s="145">
        <v>1.27</v>
      </c>
      <c r="BQ17" s="145">
        <v>1.55</v>
      </c>
      <c r="BR17" s="145">
        <v>0.77</v>
      </c>
      <c r="BS17" s="145">
        <v>3</v>
      </c>
      <c r="BT17" s="145">
        <v>1.98</v>
      </c>
      <c r="BU17" s="146">
        <v>1.38</v>
      </c>
      <c r="BV17" s="74">
        <v>3348900</v>
      </c>
      <c r="BW17" s="132">
        <v>137</v>
      </c>
      <c r="BX17" s="132">
        <v>1727</v>
      </c>
      <c r="BY17" s="157">
        <v>22</v>
      </c>
      <c r="BZ17" s="145">
        <v>26.18</v>
      </c>
      <c r="CA17" s="142">
        <v>5.6800000000000002E-3</v>
      </c>
      <c r="CB17" s="132">
        <v>496</v>
      </c>
      <c r="CC17" s="141">
        <v>1.2800000000000001E-3</v>
      </c>
      <c r="CD17" s="132">
        <v>386</v>
      </c>
      <c r="CE17" s="99">
        <f t="shared" si="2"/>
        <v>7.8975708986478398E-3</v>
      </c>
      <c r="CF17" s="100">
        <f t="shared" si="0"/>
        <v>1.56</v>
      </c>
    </row>
    <row r="18" spans="1:84" ht="24" hidden="1" customHeight="1" x14ac:dyDescent="0.25">
      <c r="A18" s="78">
        <v>17</v>
      </c>
      <c r="B18" s="79" t="s">
        <v>99</v>
      </c>
      <c r="C18" s="80" t="s">
        <v>223</v>
      </c>
      <c r="D18" s="81">
        <v>1800</v>
      </c>
      <c r="E18" s="82">
        <v>1590</v>
      </c>
      <c r="F18" s="83">
        <f t="shared" si="1"/>
        <v>2862000</v>
      </c>
      <c r="G18" s="82">
        <v>150</v>
      </c>
      <c r="H18" s="82">
        <v>1500</v>
      </c>
      <c r="I18" s="84">
        <v>1.1299999999999999</v>
      </c>
      <c r="J18" s="149">
        <v>24</v>
      </c>
      <c r="K18" s="150">
        <v>32.9</v>
      </c>
      <c r="L18" s="151">
        <v>32.9</v>
      </c>
      <c r="M18" s="152">
        <v>1.1499999999999999</v>
      </c>
      <c r="N18" s="83">
        <v>21.8</v>
      </c>
      <c r="O18" s="89" t="s">
        <v>210</v>
      </c>
      <c r="P18" s="90" t="s">
        <v>211</v>
      </c>
      <c r="Q18" s="91">
        <v>4.2599999999999999E-3</v>
      </c>
      <c r="R18" s="92">
        <v>1.34E-3</v>
      </c>
      <c r="S18" s="92">
        <v>9.4299999999999991E-3</v>
      </c>
      <c r="T18" s="82">
        <v>385</v>
      </c>
      <c r="U18" s="90" t="s">
        <v>212</v>
      </c>
      <c r="V18" s="91">
        <v>1.1800000000000001E-3</v>
      </c>
      <c r="W18" s="82">
        <v>385</v>
      </c>
      <c r="X18" s="93">
        <v>400</v>
      </c>
      <c r="Y18" s="153">
        <v>0.49</v>
      </c>
      <c r="Z18" s="87">
        <v>0.5</v>
      </c>
      <c r="AA18" s="170" t="s">
        <v>221</v>
      </c>
      <c r="AB18" s="171"/>
      <c r="AC18" s="172">
        <v>2</v>
      </c>
      <c r="AD18" s="112" t="s">
        <v>224</v>
      </c>
      <c r="AE18" s="173">
        <v>1.6</v>
      </c>
      <c r="AF18" s="97">
        <v>1.1399999999999999</v>
      </c>
      <c r="AG18" s="95">
        <v>0.21</v>
      </c>
      <c r="AH18" s="95">
        <v>0.12</v>
      </c>
      <c r="AI18" s="96">
        <v>1.48</v>
      </c>
      <c r="AJ18" s="97">
        <v>0.35</v>
      </c>
      <c r="AK18" s="95">
        <v>0.49</v>
      </c>
      <c r="AL18" s="95">
        <v>0</v>
      </c>
      <c r="AM18" s="96">
        <v>0.84</v>
      </c>
      <c r="AN18" s="97">
        <v>0.96</v>
      </c>
      <c r="AO18" s="95">
        <v>0.28999999999999998</v>
      </c>
      <c r="AP18" s="95">
        <v>0.34</v>
      </c>
      <c r="AQ18" s="96">
        <v>1.53</v>
      </c>
      <c r="AR18" s="97">
        <v>1.01</v>
      </c>
      <c r="AS18" s="95">
        <v>0.26</v>
      </c>
      <c r="AT18" s="95">
        <v>0.12</v>
      </c>
      <c r="AU18" s="96">
        <v>1.39</v>
      </c>
      <c r="AV18" s="97">
        <v>0.71</v>
      </c>
      <c r="AW18" s="95">
        <v>0.45</v>
      </c>
      <c r="AX18" s="95">
        <v>0</v>
      </c>
      <c r="AY18" s="96">
        <v>1.17</v>
      </c>
      <c r="AZ18" s="97">
        <v>0.44</v>
      </c>
      <c r="BA18" s="95">
        <v>0.97</v>
      </c>
      <c r="BB18" s="95">
        <v>0.04</v>
      </c>
      <c r="BC18" s="96">
        <v>1.45</v>
      </c>
      <c r="BD18" s="98">
        <v>0.65</v>
      </c>
      <c r="BE18" s="97">
        <v>1.02</v>
      </c>
      <c r="BF18" s="95">
        <v>0</v>
      </c>
      <c r="BG18" s="95">
        <v>0.11</v>
      </c>
      <c r="BH18" s="96">
        <v>1.1299999999999999</v>
      </c>
      <c r="BI18" s="97">
        <v>0.57999999999999996</v>
      </c>
      <c r="BJ18" s="95">
        <v>0.27</v>
      </c>
      <c r="BK18" s="95">
        <v>0.15</v>
      </c>
      <c r="BL18" s="96">
        <v>1</v>
      </c>
      <c r="BM18" s="97">
        <v>1.08</v>
      </c>
      <c r="BN18" s="95">
        <v>1.91</v>
      </c>
      <c r="BO18" s="95">
        <v>1.04</v>
      </c>
      <c r="BP18" s="95">
        <v>1.1499999999999999</v>
      </c>
      <c r="BQ18" s="95">
        <v>1.37</v>
      </c>
      <c r="BR18" s="95">
        <v>1.1000000000000001</v>
      </c>
      <c r="BS18" s="95">
        <v>2.4700000000000002</v>
      </c>
      <c r="BT18" s="95">
        <v>1.42</v>
      </c>
      <c r="BU18" s="96">
        <v>1.61</v>
      </c>
      <c r="BV18" s="74">
        <v>2862000</v>
      </c>
      <c r="BW18" s="82">
        <v>150</v>
      </c>
      <c r="BX18" s="82">
        <v>1500</v>
      </c>
      <c r="BY18" s="151">
        <v>32.9</v>
      </c>
      <c r="BZ18" s="83">
        <v>21.8</v>
      </c>
      <c r="CA18" s="92">
        <v>9.4299999999999991E-3</v>
      </c>
      <c r="CB18" s="82">
        <v>385</v>
      </c>
      <c r="CC18" s="91">
        <v>1.1800000000000001E-3</v>
      </c>
      <c r="CD18" s="82">
        <v>385</v>
      </c>
      <c r="CE18" s="99">
        <f t="shared" si="2"/>
        <v>5.9538784067085949E-3</v>
      </c>
      <c r="CF18" s="100">
        <f t="shared" si="0"/>
        <v>1.6</v>
      </c>
    </row>
    <row r="19" spans="1:84" ht="24" hidden="1" x14ac:dyDescent="0.25">
      <c r="A19" s="101">
        <v>18</v>
      </c>
      <c r="B19" s="102"/>
      <c r="C19" s="103" t="s">
        <v>225</v>
      </c>
      <c r="D19" s="104">
        <v>1800</v>
      </c>
      <c r="E19" s="105">
        <v>1190</v>
      </c>
      <c r="F19" s="106">
        <f t="shared" si="1"/>
        <v>2142000</v>
      </c>
      <c r="G19" s="105">
        <v>150</v>
      </c>
      <c r="H19" s="105">
        <v>1100</v>
      </c>
      <c r="I19" s="107">
        <v>1.51</v>
      </c>
      <c r="J19" s="155">
        <v>24</v>
      </c>
      <c r="K19" s="156">
        <v>32.9</v>
      </c>
      <c r="L19" s="157">
        <v>32.9</v>
      </c>
      <c r="M19" s="158">
        <v>1.1499999999999999</v>
      </c>
      <c r="N19" s="106">
        <v>21.8</v>
      </c>
      <c r="O19" s="112" t="s">
        <v>210</v>
      </c>
      <c r="P19" s="113" t="s">
        <v>211</v>
      </c>
      <c r="Q19" s="114">
        <v>4.3400000000000001E-3</v>
      </c>
      <c r="R19" s="115">
        <v>1.4E-3</v>
      </c>
      <c r="S19" s="115">
        <v>9.4599999999999997E-3</v>
      </c>
      <c r="T19" s="105">
        <v>385</v>
      </c>
      <c r="U19" s="113" t="s">
        <v>212</v>
      </c>
      <c r="V19" s="114">
        <v>1.1800000000000001E-3</v>
      </c>
      <c r="W19" s="105">
        <v>385</v>
      </c>
      <c r="X19" s="116">
        <v>400</v>
      </c>
      <c r="Y19" s="160">
        <v>0.49</v>
      </c>
      <c r="Z19" s="110">
        <v>0.5</v>
      </c>
      <c r="AA19" s="162" t="s">
        <v>221</v>
      </c>
      <c r="AB19" s="163"/>
      <c r="AC19" s="174">
        <v>2</v>
      </c>
      <c r="AD19" s="112" t="s">
        <v>224</v>
      </c>
      <c r="AE19" s="175">
        <v>1.72</v>
      </c>
      <c r="AF19" s="120">
        <v>1</v>
      </c>
      <c r="AG19" s="118">
        <v>0.21</v>
      </c>
      <c r="AH19" s="118">
        <v>0.12</v>
      </c>
      <c r="AI19" s="119">
        <v>1.33</v>
      </c>
      <c r="AJ19" s="120">
        <v>0.35</v>
      </c>
      <c r="AK19" s="118">
        <v>0.45</v>
      </c>
      <c r="AL19" s="118">
        <v>0</v>
      </c>
      <c r="AM19" s="119">
        <v>0.8</v>
      </c>
      <c r="AN19" s="120">
        <v>0.9</v>
      </c>
      <c r="AO19" s="118">
        <v>0.28999999999999998</v>
      </c>
      <c r="AP19" s="118">
        <v>0.25</v>
      </c>
      <c r="AQ19" s="119">
        <v>1.37</v>
      </c>
      <c r="AR19" s="120">
        <v>0.86</v>
      </c>
      <c r="AS19" s="118">
        <v>0.25</v>
      </c>
      <c r="AT19" s="118">
        <v>0.12</v>
      </c>
      <c r="AU19" s="119">
        <v>1.23</v>
      </c>
      <c r="AV19" s="120">
        <v>0.57999999999999996</v>
      </c>
      <c r="AW19" s="118">
        <v>0.45</v>
      </c>
      <c r="AX19" s="118">
        <v>0</v>
      </c>
      <c r="AY19" s="119">
        <v>1.03</v>
      </c>
      <c r="AZ19" s="120">
        <v>0.43</v>
      </c>
      <c r="BA19" s="118">
        <v>0.96</v>
      </c>
      <c r="BB19" s="118">
        <v>0.04</v>
      </c>
      <c r="BC19" s="119">
        <v>1.43</v>
      </c>
      <c r="BD19" s="121">
        <v>0.57999999999999996</v>
      </c>
      <c r="BE19" s="120">
        <v>0.76</v>
      </c>
      <c r="BF19" s="118">
        <v>0</v>
      </c>
      <c r="BG19" s="118">
        <v>0.11</v>
      </c>
      <c r="BH19" s="119">
        <v>0.88</v>
      </c>
      <c r="BI19" s="120">
        <v>0.57999999999999996</v>
      </c>
      <c r="BJ19" s="118">
        <v>0.27</v>
      </c>
      <c r="BK19" s="118">
        <v>0.15</v>
      </c>
      <c r="BL19" s="119">
        <v>1</v>
      </c>
      <c r="BM19" s="120">
        <v>1.3</v>
      </c>
      <c r="BN19" s="118">
        <v>2.15</v>
      </c>
      <c r="BO19" s="118">
        <v>1.26</v>
      </c>
      <c r="BP19" s="118">
        <v>1.39</v>
      </c>
      <c r="BQ19" s="118">
        <v>1.67</v>
      </c>
      <c r="BR19" s="118">
        <v>1.2</v>
      </c>
      <c r="BS19" s="118">
        <v>2.97</v>
      </c>
      <c r="BT19" s="118">
        <v>1.96</v>
      </c>
      <c r="BU19" s="119">
        <v>1.73</v>
      </c>
      <c r="BV19" s="74">
        <v>2142000</v>
      </c>
      <c r="BW19" s="105">
        <v>150</v>
      </c>
      <c r="BX19" s="105">
        <v>1100</v>
      </c>
      <c r="BY19" s="157">
        <v>32.9</v>
      </c>
      <c r="BZ19" s="106">
        <v>21.8</v>
      </c>
      <c r="CA19" s="115">
        <v>9.4599999999999997E-3</v>
      </c>
      <c r="CB19" s="105">
        <v>385</v>
      </c>
      <c r="CC19" s="114">
        <v>1.1800000000000001E-3</v>
      </c>
      <c r="CD19" s="105">
        <v>385</v>
      </c>
      <c r="CE19" s="99">
        <f t="shared" si="2"/>
        <v>1.0980392156862745E-2</v>
      </c>
      <c r="CF19" s="100">
        <f t="shared" si="0"/>
        <v>1.72</v>
      </c>
    </row>
    <row r="20" spans="1:84" ht="24" hidden="1" x14ac:dyDescent="0.25">
      <c r="A20" s="101">
        <v>19</v>
      </c>
      <c r="B20" s="102"/>
      <c r="C20" s="103" t="s">
        <v>226</v>
      </c>
      <c r="D20" s="104">
        <v>1800</v>
      </c>
      <c r="E20" s="105">
        <v>1190</v>
      </c>
      <c r="F20" s="106">
        <f t="shared" si="1"/>
        <v>2142000</v>
      </c>
      <c r="G20" s="105">
        <v>150</v>
      </c>
      <c r="H20" s="105">
        <v>1100</v>
      </c>
      <c r="I20" s="107">
        <v>1.51</v>
      </c>
      <c r="J20" s="155">
        <v>24</v>
      </c>
      <c r="K20" s="156">
        <v>32.9</v>
      </c>
      <c r="L20" s="157">
        <v>32.9</v>
      </c>
      <c r="M20" s="158">
        <v>1.1499999999999999</v>
      </c>
      <c r="N20" s="106">
        <v>21.8</v>
      </c>
      <c r="O20" s="112" t="s">
        <v>210</v>
      </c>
      <c r="P20" s="113" t="s">
        <v>211</v>
      </c>
      <c r="Q20" s="114">
        <v>4.3400000000000001E-3</v>
      </c>
      <c r="R20" s="115">
        <v>1.4E-3</v>
      </c>
      <c r="S20" s="115">
        <v>9.4599999999999997E-3</v>
      </c>
      <c r="T20" s="105">
        <v>385</v>
      </c>
      <c r="U20" s="113" t="s">
        <v>212</v>
      </c>
      <c r="V20" s="114">
        <v>1.1800000000000001E-3</v>
      </c>
      <c r="W20" s="105">
        <v>385</v>
      </c>
      <c r="X20" s="116">
        <v>400</v>
      </c>
      <c r="Y20" s="160">
        <v>0.49</v>
      </c>
      <c r="Z20" s="110">
        <v>0.5</v>
      </c>
      <c r="AA20" s="162" t="s">
        <v>221</v>
      </c>
      <c r="AB20" s="163"/>
      <c r="AC20" s="174">
        <v>2</v>
      </c>
      <c r="AD20" s="112" t="s">
        <v>224</v>
      </c>
      <c r="AE20" s="175">
        <v>1.87</v>
      </c>
      <c r="AF20" s="120">
        <v>1</v>
      </c>
      <c r="AG20" s="118">
        <v>0.21</v>
      </c>
      <c r="AH20" s="118">
        <v>0.12</v>
      </c>
      <c r="AI20" s="119">
        <v>1.33</v>
      </c>
      <c r="AJ20" s="120">
        <v>0.35</v>
      </c>
      <c r="AK20" s="118">
        <v>0.45</v>
      </c>
      <c r="AL20" s="118">
        <v>0</v>
      </c>
      <c r="AM20" s="119">
        <v>0.8</v>
      </c>
      <c r="AN20" s="120">
        <v>0.9</v>
      </c>
      <c r="AO20" s="118">
        <v>0.28999999999999998</v>
      </c>
      <c r="AP20" s="118">
        <v>0.25</v>
      </c>
      <c r="AQ20" s="119">
        <v>1.37</v>
      </c>
      <c r="AR20" s="120">
        <v>0.86</v>
      </c>
      <c r="AS20" s="118">
        <v>0.25</v>
      </c>
      <c r="AT20" s="118">
        <v>0.12</v>
      </c>
      <c r="AU20" s="119">
        <v>1.23</v>
      </c>
      <c r="AV20" s="120">
        <v>0.57999999999999996</v>
      </c>
      <c r="AW20" s="118">
        <v>0.45</v>
      </c>
      <c r="AX20" s="118">
        <v>0</v>
      </c>
      <c r="AY20" s="119">
        <v>1.03</v>
      </c>
      <c r="AZ20" s="120">
        <v>0.43</v>
      </c>
      <c r="BA20" s="118">
        <v>0.96</v>
      </c>
      <c r="BB20" s="118">
        <v>0.04</v>
      </c>
      <c r="BC20" s="119">
        <v>1.43</v>
      </c>
      <c r="BD20" s="121">
        <v>0.57999999999999996</v>
      </c>
      <c r="BE20" s="120">
        <v>0.76</v>
      </c>
      <c r="BF20" s="118">
        <v>0</v>
      </c>
      <c r="BG20" s="118">
        <v>0.11</v>
      </c>
      <c r="BH20" s="119">
        <v>0.88</v>
      </c>
      <c r="BI20" s="120">
        <v>0.57999999999999996</v>
      </c>
      <c r="BJ20" s="118">
        <v>0.27</v>
      </c>
      <c r="BK20" s="118">
        <v>0.15</v>
      </c>
      <c r="BL20" s="119">
        <v>1</v>
      </c>
      <c r="BM20" s="120">
        <v>1.41</v>
      </c>
      <c r="BN20" s="118">
        <v>2.33</v>
      </c>
      <c r="BO20" s="118">
        <v>1.37</v>
      </c>
      <c r="BP20" s="118">
        <v>1.52</v>
      </c>
      <c r="BQ20" s="118">
        <v>1.81</v>
      </c>
      <c r="BR20" s="118">
        <v>1.31</v>
      </c>
      <c r="BS20" s="118">
        <v>3.24</v>
      </c>
      <c r="BT20" s="118">
        <v>2.14</v>
      </c>
      <c r="BU20" s="119">
        <v>1.88</v>
      </c>
      <c r="BV20" s="74">
        <v>2142000</v>
      </c>
      <c r="BW20" s="105">
        <v>150</v>
      </c>
      <c r="BX20" s="105">
        <v>1100</v>
      </c>
      <c r="BY20" s="157">
        <v>32.9</v>
      </c>
      <c r="BZ20" s="106">
        <v>21.8</v>
      </c>
      <c r="CA20" s="115">
        <v>9.4599999999999997E-3</v>
      </c>
      <c r="CB20" s="105">
        <v>385</v>
      </c>
      <c r="CC20" s="114">
        <v>1.1800000000000001E-3</v>
      </c>
      <c r="CD20" s="105">
        <v>385</v>
      </c>
      <c r="CE20" s="99">
        <f t="shared" si="2"/>
        <v>1.1988795518207284E-2</v>
      </c>
      <c r="CF20" s="100">
        <f t="shared" si="0"/>
        <v>1.87</v>
      </c>
    </row>
    <row r="21" spans="1:84" ht="24" hidden="1" x14ac:dyDescent="0.25">
      <c r="A21" s="101">
        <v>20</v>
      </c>
      <c r="B21" s="102"/>
      <c r="C21" s="103" t="s">
        <v>227</v>
      </c>
      <c r="D21" s="104">
        <v>1800</v>
      </c>
      <c r="E21" s="105">
        <v>790</v>
      </c>
      <c r="F21" s="106">
        <f t="shared" si="1"/>
        <v>1422000</v>
      </c>
      <c r="G21" s="105">
        <v>150</v>
      </c>
      <c r="H21" s="105">
        <v>700</v>
      </c>
      <c r="I21" s="107">
        <v>2.2799999999999998</v>
      </c>
      <c r="J21" s="155">
        <v>24</v>
      </c>
      <c r="K21" s="156">
        <v>32.9</v>
      </c>
      <c r="L21" s="157">
        <v>32.9</v>
      </c>
      <c r="M21" s="158">
        <v>1.1499999999999999</v>
      </c>
      <c r="N21" s="106">
        <v>21.8</v>
      </c>
      <c r="O21" s="112" t="s">
        <v>210</v>
      </c>
      <c r="P21" s="113" t="s">
        <v>211</v>
      </c>
      <c r="Q21" s="114">
        <v>5.4099999999999999E-3</v>
      </c>
      <c r="R21" s="115">
        <v>1.5499999999999999E-3</v>
      </c>
      <c r="S21" s="115">
        <v>1.1480000000000001E-2</v>
      </c>
      <c r="T21" s="105">
        <v>385</v>
      </c>
      <c r="U21" s="113" t="s">
        <v>212</v>
      </c>
      <c r="V21" s="114">
        <v>1.1800000000000001E-3</v>
      </c>
      <c r="W21" s="105">
        <v>385</v>
      </c>
      <c r="X21" s="116">
        <v>400</v>
      </c>
      <c r="Y21" s="160">
        <v>0.49</v>
      </c>
      <c r="Z21" s="110">
        <v>0.5</v>
      </c>
      <c r="AA21" s="162" t="s">
        <v>221</v>
      </c>
      <c r="AB21" s="163"/>
      <c r="AC21" s="174">
        <v>2</v>
      </c>
      <c r="AD21" s="112" t="s">
        <v>224</v>
      </c>
      <c r="AE21" s="175">
        <v>1.61</v>
      </c>
      <c r="AF21" s="120">
        <v>0.87</v>
      </c>
      <c r="AG21" s="118">
        <v>0.2</v>
      </c>
      <c r="AH21" s="118">
        <v>0.12</v>
      </c>
      <c r="AI21" s="119">
        <v>1.2</v>
      </c>
      <c r="AJ21" s="120">
        <v>0.35</v>
      </c>
      <c r="AK21" s="118">
        <v>0.45</v>
      </c>
      <c r="AL21" s="118">
        <v>0</v>
      </c>
      <c r="AM21" s="119">
        <v>0.8</v>
      </c>
      <c r="AN21" s="120">
        <v>0.91</v>
      </c>
      <c r="AO21" s="118">
        <v>0.28999999999999998</v>
      </c>
      <c r="AP21" s="118">
        <v>0.16</v>
      </c>
      <c r="AQ21" s="119">
        <v>1.26</v>
      </c>
      <c r="AR21" s="120">
        <v>0.66</v>
      </c>
      <c r="AS21" s="118">
        <v>0.24</v>
      </c>
      <c r="AT21" s="118">
        <v>0.12</v>
      </c>
      <c r="AU21" s="119">
        <v>1.03</v>
      </c>
      <c r="AV21" s="120">
        <v>0.47</v>
      </c>
      <c r="AW21" s="118">
        <v>0.45</v>
      </c>
      <c r="AX21" s="118">
        <v>0</v>
      </c>
      <c r="AY21" s="119">
        <v>0.92</v>
      </c>
      <c r="AZ21" s="120">
        <v>0.39</v>
      </c>
      <c r="BA21" s="118">
        <v>0.95</v>
      </c>
      <c r="BB21" s="118">
        <v>0.04</v>
      </c>
      <c r="BC21" s="119">
        <v>1.37</v>
      </c>
      <c r="BD21" s="121">
        <v>0.52</v>
      </c>
      <c r="BE21" s="120">
        <v>0.51</v>
      </c>
      <c r="BF21" s="118">
        <v>0</v>
      </c>
      <c r="BG21" s="118">
        <v>0.11</v>
      </c>
      <c r="BH21" s="119">
        <v>0.62</v>
      </c>
      <c r="BI21" s="120">
        <v>0.57999999999999996</v>
      </c>
      <c r="BJ21" s="118">
        <v>0.27</v>
      </c>
      <c r="BK21" s="118">
        <v>0.15</v>
      </c>
      <c r="BL21" s="119">
        <v>1</v>
      </c>
      <c r="BM21" s="120">
        <v>1.35</v>
      </c>
      <c r="BN21" s="118">
        <v>2.0099999999999998</v>
      </c>
      <c r="BO21" s="118">
        <v>1.28</v>
      </c>
      <c r="BP21" s="118">
        <v>1.57</v>
      </c>
      <c r="BQ21" s="118">
        <v>1.75</v>
      </c>
      <c r="BR21" s="118">
        <v>1.17</v>
      </c>
      <c r="BS21" s="118">
        <v>3.1</v>
      </c>
      <c r="BT21" s="118">
        <v>2.6</v>
      </c>
      <c r="BU21" s="119">
        <v>1.62</v>
      </c>
      <c r="BV21" s="74">
        <v>1422000</v>
      </c>
      <c r="BW21" s="105">
        <v>150</v>
      </c>
      <c r="BX21" s="105">
        <v>700</v>
      </c>
      <c r="BY21" s="157">
        <v>32.9</v>
      </c>
      <c r="BZ21" s="106">
        <v>21.8</v>
      </c>
      <c r="CA21" s="115">
        <v>1.1480000000000001E-2</v>
      </c>
      <c r="CB21" s="105">
        <v>385</v>
      </c>
      <c r="CC21" s="114">
        <v>1.1800000000000001E-3</v>
      </c>
      <c r="CD21" s="105">
        <v>385</v>
      </c>
      <c r="CE21" s="99">
        <f t="shared" si="2"/>
        <v>2.1940928270042195E-2</v>
      </c>
      <c r="CF21" s="100">
        <f t="shared" si="0"/>
        <v>1.61</v>
      </c>
    </row>
    <row r="22" spans="1:84" ht="14.25" hidden="1" customHeight="1" x14ac:dyDescent="0.25">
      <c r="A22" s="101">
        <v>21</v>
      </c>
      <c r="B22" s="102"/>
      <c r="C22" s="103" t="s">
        <v>228</v>
      </c>
      <c r="D22" s="104">
        <v>1800</v>
      </c>
      <c r="E22" s="105">
        <v>1190</v>
      </c>
      <c r="F22" s="106">
        <f t="shared" si="1"/>
        <v>2142000</v>
      </c>
      <c r="G22" s="105">
        <v>190</v>
      </c>
      <c r="H22" s="105">
        <v>1095</v>
      </c>
      <c r="I22" s="107">
        <v>1.51</v>
      </c>
      <c r="J22" s="155">
        <v>24</v>
      </c>
      <c r="K22" s="156">
        <v>32.9</v>
      </c>
      <c r="L22" s="157">
        <v>32.9</v>
      </c>
      <c r="M22" s="158">
        <v>1.17</v>
      </c>
      <c r="N22" s="106">
        <v>22.3</v>
      </c>
      <c r="O22" s="112" t="s">
        <v>210</v>
      </c>
      <c r="P22" s="113" t="s">
        <v>211</v>
      </c>
      <c r="Q22" s="114">
        <v>2.5400000000000002E-3</v>
      </c>
      <c r="R22" s="115">
        <v>1.1100000000000001E-3</v>
      </c>
      <c r="S22" s="115">
        <v>5.7099999999999998E-3</v>
      </c>
      <c r="T22" s="105">
        <v>385</v>
      </c>
      <c r="U22" s="113" t="s">
        <v>212</v>
      </c>
      <c r="V22" s="114">
        <v>0</v>
      </c>
      <c r="W22" s="105">
        <v>385</v>
      </c>
      <c r="X22" s="116">
        <v>400</v>
      </c>
      <c r="Y22" s="160">
        <v>1.96</v>
      </c>
      <c r="Z22" s="110">
        <v>0.5</v>
      </c>
      <c r="AA22" s="162" t="s">
        <v>221</v>
      </c>
      <c r="AB22" s="163"/>
      <c r="AC22" s="109">
        <v>1</v>
      </c>
      <c r="AD22" s="112" t="s">
        <v>224</v>
      </c>
      <c r="AE22" s="175">
        <v>1.7</v>
      </c>
      <c r="AF22" s="120">
        <v>1</v>
      </c>
      <c r="AG22" s="118">
        <v>0</v>
      </c>
      <c r="AH22" s="118">
        <v>0.49</v>
      </c>
      <c r="AI22" s="119">
        <v>1.49</v>
      </c>
      <c r="AJ22" s="120">
        <v>0.38</v>
      </c>
      <c r="AK22" s="118">
        <v>0</v>
      </c>
      <c r="AL22" s="118">
        <v>0</v>
      </c>
      <c r="AM22" s="119">
        <v>0.38</v>
      </c>
      <c r="AN22" s="120">
        <v>1.1200000000000001</v>
      </c>
      <c r="AO22" s="118">
        <v>0</v>
      </c>
      <c r="AP22" s="118">
        <v>0.98</v>
      </c>
      <c r="AQ22" s="119">
        <v>2.0099999999999998</v>
      </c>
      <c r="AR22" s="120">
        <v>0.86</v>
      </c>
      <c r="AS22" s="118">
        <v>0</v>
      </c>
      <c r="AT22" s="118">
        <v>0.49</v>
      </c>
      <c r="AU22" s="119">
        <v>1.35</v>
      </c>
      <c r="AV22" s="120">
        <v>0.57999999999999996</v>
      </c>
      <c r="AW22" s="118">
        <v>0</v>
      </c>
      <c r="AX22" s="118">
        <v>0</v>
      </c>
      <c r="AY22" s="119">
        <v>0.57999999999999996</v>
      </c>
      <c r="AZ22" s="120">
        <v>0.38</v>
      </c>
      <c r="BA22" s="118">
        <v>0.44</v>
      </c>
      <c r="BB22" s="118">
        <v>0.16</v>
      </c>
      <c r="BC22" s="119">
        <v>0.99</v>
      </c>
      <c r="BD22" s="121">
        <v>0.21</v>
      </c>
      <c r="BE22" s="120">
        <v>0.77</v>
      </c>
      <c r="BF22" s="118">
        <v>0</v>
      </c>
      <c r="BG22" s="118">
        <v>0.45</v>
      </c>
      <c r="BH22" s="119">
        <v>1.22</v>
      </c>
      <c r="BI22" s="120">
        <v>0.57999999999999996</v>
      </c>
      <c r="BJ22" s="118">
        <v>0</v>
      </c>
      <c r="BK22" s="118">
        <v>0.59</v>
      </c>
      <c r="BL22" s="119">
        <v>1.17</v>
      </c>
      <c r="BM22" s="120">
        <v>1.1399999999999999</v>
      </c>
      <c r="BN22" s="118">
        <v>4.43</v>
      </c>
      <c r="BO22" s="118">
        <v>0.84</v>
      </c>
      <c r="BP22" s="118">
        <v>1.25</v>
      </c>
      <c r="BQ22" s="118">
        <v>2.91</v>
      </c>
      <c r="BR22" s="118">
        <v>1.72</v>
      </c>
      <c r="BS22" s="118">
        <v>8.24</v>
      </c>
      <c r="BT22" s="118">
        <v>1.39</v>
      </c>
      <c r="BU22" s="119">
        <v>1.45</v>
      </c>
      <c r="BV22" s="74">
        <v>2142000</v>
      </c>
      <c r="BW22" s="105">
        <v>190</v>
      </c>
      <c r="BX22" s="105">
        <v>1095</v>
      </c>
      <c r="BY22" s="157">
        <v>32.9</v>
      </c>
      <c r="BZ22" s="106">
        <v>22.3</v>
      </c>
      <c r="CA22" s="115">
        <v>5.7099999999999998E-3</v>
      </c>
      <c r="CB22" s="105">
        <v>385</v>
      </c>
      <c r="CC22" s="114">
        <v>0</v>
      </c>
      <c r="CD22" s="105">
        <v>385</v>
      </c>
      <c r="CE22" s="99">
        <f t="shared" si="2"/>
        <v>6.1477222467934542E-3</v>
      </c>
      <c r="CF22" s="100">
        <f t="shared" si="0"/>
        <v>1.7</v>
      </c>
    </row>
    <row r="23" spans="1:84" ht="14.25" hidden="1" customHeight="1" x14ac:dyDescent="0.25">
      <c r="A23" s="101">
        <v>22</v>
      </c>
      <c r="B23" s="102"/>
      <c r="C23" s="103" t="s">
        <v>229</v>
      </c>
      <c r="D23" s="104">
        <v>1800</v>
      </c>
      <c r="E23" s="105">
        <v>1190</v>
      </c>
      <c r="F23" s="106">
        <f t="shared" si="1"/>
        <v>2142000</v>
      </c>
      <c r="G23" s="105">
        <v>190</v>
      </c>
      <c r="H23" s="105">
        <v>1095</v>
      </c>
      <c r="I23" s="107">
        <v>1.51</v>
      </c>
      <c r="J23" s="155">
        <v>24</v>
      </c>
      <c r="K23" s="156">
        <v>32.9</v>
      </c>
      <c r="L23" s="157">
        <v>32.9</v>
      </c>
      <c r="M23" s="158">
        <v>1.17</v>
      </c>
      <c r="N23" s="106">
        <v>22.3</v>
      </c>
      <c r="O23" s="112" t="s">
        <v>210</v>
      </c>
      <c r="P23" s="113" t="s">
        <v>211</v>
      </c>
      <c r="Q23" s="114">
        <v>2.5400000000000002E-3</v>
      </c>
      <c r="R23" s="115">
        <v>1.1100000000000001E-3</v>
      </c>
      <c r="S23" s="115">
        <v>5.7099999999999998E-3</v>
      </c>
      <c r="T23" s="105">
        <v>385</v>
      </c>
      <c r="U23" s="113" t="s">
        <v>212</v>
      </c>
      <c r="V23" s="114">
        <v>1.67E-3</v>
      </c>
      <c r="W23" s="105">
        <v>385</v>
      </c>
      <c r="X23" s="116">
        <v>400</v>
      </c>
      <c r="Y23" s="160">
        <v>1.96</v>
      </c>
      <c r="Z23" s="110">
        <v>0.5</v>
      </c>
      <c r="AA23" s="162" t="s">
        <v>221</v>
      </c>
      <c r="AB23" s="163"/>
      <c r="AC23" s="109">
        <v>1.1000000000000001</v>
      </c>
      <c r="AD23" s="112" t="s">
        <v>224</v>
      </c>
      <c r="AE23" s="175">
        <v>1.89</v>
      </c>
      <c r="AF23" s="120">
        <v>1</v>
      </c>
      <c r="AG23" s="118">
        <v>0.3</v>
      </c>
      <c r="AH23" s="118">
        <v>0.49</v>
      </c>
      <c r="AI23" s="119">
        <v>1.75</v>
      </c>
      <c r="AJ23" s="120">
        <v>0.38</v>
      </c>
      <c r="AK23" s="118">
        <v>0.64</v>
      </c>
      <c r="AL23" s="118">
        <v>0</v>
      </c>
      <c r="AM23" s="119">
        <v>1.03</v>
      </c>
      <c r="AN23" s="120">
        <v>1.1200000000000001</v>
      </c>
      <c r="AO23" s="118">
        <v>0.41</v>
      </c>
      <c r="AP23" s="118">
        <v>0.98</v>
      </c>
      <c r="AQ23" s="119">
        <v>2.13</v>
      </c>
      <c r="AR23" s="120">
        <v>0.86</v>
      </c>
      <c r="AS23" s="118">
        <v>0.35</v>
      </c>
      <c r="AT23" s="118">
        <v>0.49</v>
      </c>
      <c r="AU23" s="119">
        <v>1.51</v>
      </c>
      <c r="AV23" s="120">
        <v>0.57999999999999996</v>
      </c>
      <c r="AW23" s="118">
        <v>0.64</v>
      </c>
      <c r="AX23" s="118">
        <v>0</v>
      </c>
      <c r="AY23" s="119">
        <v>1.23</v>
      </c>
      <c r="AZ23" s="120">
        <v>0.38</v>
      </c>
      <c r="BA23" s="118">
        <v>0.99</v>
      </c>
      <c r="BB23" s="118">
        <v>0.16</v>
      </c>
      <c r="BC23" s="119">
        <v>1.53</v>
      </c>
      <c r="BD23" s="121">
        <v>0.57999999999999996</v>
      </c>
      <c r="BE23" s="120">
        <v>0.77</v>
      </c>
      <c r="BF23" s="118">
        <v>0</v>
      </c>
      <c r="BG23" s="118">
        <v>0.45</v>
      </c>
      <c r="BH23" s="119">
        <v>1.22</v>
      </c>
      <c r="BI23" s="120">
        <v>0.57999999999999996</v>
      </c>
      <c r="BJ23" s="118">
        <v>0.35</v>
      </c>
      <c r="BK23" s="118">
        <v>0.59</v>
      </c>
      <c r="BL23" s="119">
        <v>1.52</v>
      </c>
      <c r="BM23" s="120">
        <v>1.08</v>
      </c>
      <c r="BN23" s="118">
        <v>1.84</v>
      </c>
      <c r="BO23" s="118">
        <v>0.89</v>
      </c>
      <c r="BP23" s="118">
        <v>1.25</v>
      </c>
      <c r="BQ23" s="118">
        <v>1.54</v>
      </c>
      <c r="BR23" s="118">
        <v>1.23</v>
      </c>
      <c r="BS23" s="118">
        <v>3.27</v>
      </c>
      <c r="BT23" s="118">
        <v>1.55</v>
      </c>
      <c r="BU23" s="119">
        <v>1.24</v>
      </c>
      <c r="BV23" s="74">
        <v>2142000</v>
      </c>
      <c r="BW23" s="105">
        <v>190</v>
      </c>
      <c r="BX23" s="105">
        <v>1095</v>
      </c>
      <c r="BY23" s="157">
        <v>32.9</v>
      </c>
      <c r="BZ23" s="106">
        <v>22.3</v>
      </c>
      <c r="CA23" s="115">
        <v>5.7099999999999998E-3</v>
      </c>
      <c r="CB23" s="105">
        <v>385</v>
      </c>
      <c r="CC23" s="114">
        <v>1.67E-3</v>
      </c>
      <c r="CD23" s="105">
        <v>385</v>
      </c>
      <c r="CE23" s="99">
        <f t="shared" si="2"/>
        <v>6.8553737284387448E-3</v>
      </c>
      <c r="CF23" s="100">
        <f t="shared" si="0"/>
        <v>1.89</v>
      </c>
    </row>
    <row r="24" spans="1:84" ht="14.25" hidden="1" customHeight="1" x14ac:dyDescent="0.25">
      <c r="A24" s="101">
        <v>23</v>
      </c>
      <c r="B24" s="102"/>
      <c r="C24" s="103" t="s">
        <v>230</v>
      </c>
      <c r="D24" s="104">
        <v>1800</v>
      </c>
      <c r="E24" s="105">
        <v>1190</v>
      </c>
      <c r="F24" s="106">
        <f t="shared" si="1"/>
        <v>2142000</v>
      </c>
      <c r="G24" s="105">
        <v>190</v>
      </c>
      <c r="H24" s="105">
        <v>1095</v>
      </c>
      <c r="I24" s="107">
        <v>1.51</v>
      </c>
      <c r="J24" s="155">
        <v>24</v>
      </c>
      <c r="K24" s="156">
        <v>32.9</v>
      </c>
      <c r="L24" s="157">
        <v>32.9</v>
      </c>
      <c r="M24" s="158">
        <v>1.17</v>
      </c>
      <c r="N24" s="106">
        <v>22.3</v>
      </c>
      <c r="O24" s="112" t="s">
        <v>210</v>
      </c>
      <c r="P24" s="113" t="s">
        <v>211</v>
      </c>
      <c r="Q24" s="114">
        <v>2.5400000000000002E-3</v>
      </c>
      <c r="R24" s="115">
        <v>1.1100000000000001E-3</v>
      </c>
      <c r="S24" s="115">
        <v>5.7099999999999998E-3</v>
      </c>
      <c r="T24" s="105">
        <v>385</v>
      </c>
      <c r="U24" s="113" t="s">
        <v>212</v>
      </c>
      <c r="V24" s="114">
        <v>3.3400000000000001E-3</v>
      </c>
      <c r="W24" s="105">
        <v>385</v>
      </c>
      <c r="X24" s="116">
        <v>400</v>
      </c>
      <c r="Y24" s="160">
        <v>1.96</v>
      </c>
      <c r="Z24" s="110">
        <v>0.5</v>
      </c>
      <c r="AA24" s="162" t="s">
        <v>221</v>
      </c>
      <c r="AB24" s="163"/>
      <c r="AC24" s="109">
        <v>3.4</v>
      </c>
      <c r="AD24" s="112" t="s">
        <v>224</v>
      </c>
      <c r="AE24" s="175">
        <v>2.2799999999999998</v>
      </c>
      <c r="AF24" s="120">
        <v>1</v>
      </c>
      <c r="AG24" s="118">
        <v>0.59</v>
      </c>
      <c r="AH24" s="118">
        <v>0.49</v>
      </c>
      <c r="AI24" s="119">
        <v>1.75</v>
      </c>
      <c r="AJ24" s="120">
        <v>0.38</v>
      </c>
      <c r="AK24" s="118">
        <v>1.29</v>
      </c>
      <c r="AL24" s="118">
        <v>0</v>
      </c>
      <c r="AM24" s="119">
        <v>1.67</v>
      </c>
      <c r="AN24" s="120">
        <v>0.26</v>
      </c>
      <c r="AO24" s="118">
        <v>0.82</v>
      </c>
      <c r="AP24" s="118">
        <v>0.98</v>
      </c>
      <c r="AQ24" s="119">
        <v>2.04</v>
      </c>
      <c r="AR24" s="120">
        <v>0.86</v>
      </c>
      <c r="AS24" s="118">
        <v>0.71</v>
      </c>
      <c r="AT24" s="118">
        <v>0.49</v>
      </c>
      <c r="AU24" s="119">
        <v>1.51</v>
      </c>
      <c r="AV24" s="120">
        <v>0.57999999999999996</v>
      </c>
      <c r="AW24" s="118">
        <v>1.29</v>
      </c>
      <c r="AX24" s="118">
        <v>0</v>
      </c>
      <c r="AY24" s="119">
        <v>1.87</v>
      </c>
      <c r="AZ24" s="120">
        <v>0.38</v>
      </c>
      <c r="BA24" s="118">
        <v>1.22</v>
      </c>
      <c r="BB24" s="118">
        <v>0.16</v>
      </c>
      <c r="BC24" s="119">
        <v>1.76</v>
      </c>
      <c r="BD24" s="121">
        <v>0.57999999999999996</v>
      </c>
      <c r="BE24" s="120">
        <v>0.77</v>
      </c>
      <c r="BF24" s="118">
        <v>0</v>
      </c>
      <c r="BG24" s="118">
        <v>0.45</v>
      </c>
      <c r="BH24" s="119">
        <v>1.22</v>
      </c>
      <c r="BI24" s="120">
        <v>0.57999999999999996</v>
      </c>
      <c r="BJ24" s="118">
        <v>0.26</v>
      </c>
      <c r="BK24" s="118">
        <v>0.59</v>
      </c>
      <c r="BL24" s="119">
        <v>1.43</v>
      </c>
      <c r="BM24" s="120">
        <v>1.3</v>
      </c>
      <c r="BN24" s="118">
        <v>1.37</v>
      </c>
      <c r="BO24" s="118">
        <v>1.1200000000000001</v>
      </c>
      <c r="BP24" s="118">
        <v>1.51</v>
      </c>
      <c r="BQ24" s="118">
        <v>1.22</v>
      </c>
      <c r="BR24" s="118">
        <v>1.3</v>
      </c>
      <c r="BS24" s="118">
        <v>3.96</v>
      </c>
      <c r="BT24" s="118">
        <v>1.87</v>
      </c>
      <c r="BU24" s="119">
        <v>1.6</v>
      </c>
      <c r="BV24" s="74">
        <v>2142000</v>
      </c>
      <c r="BW24" s="105">
        <v>190</v>
      </c>
      <c r="BX24" s="105">
        <v>1095</v>
      </c>
      <c r="BY24" s="157">
        <v>32.9</v>
      </c>
      <c r="BZ24" s="106">
        <v>22.3</v>
      </c>
      <c r="CA24" s="115">
        <v>5.7099999999999998E-3</v>
      </c>
      <c r="CB24" s="105">
        <v>385</v>
      </c>
      <c r="CC24" s="114">
        <v>3.3400000000000001E-3</v>
      </c>
      <c r="CD24" s="105">
        <v>385</v>
      </c>
      <c r="CE24" s="99">
        <f t="shared" si="2"/>
        <v>8.2706766917293242E-3</v>
      </c>
      <c r="CF24" s="100">
        <f t="shared" si="0"/>
        <v>2.2799999999999998</v>
      </c>
    </row>
    <row r="25" spans="1:84" ht="14.25" hidden="1" customHeight="1" x14ac:dyDescent="0.25">
      <c r="A25" s="101">
        <v>24</v>
      </c>
      <c r="B25" s="102"/>
      <c r="C25" s="103" t="s">
        <v>231</v>
      </c>
      <c r="D25" s="104">
        <v>1800</v>
      </c>
      <c r="E25" s="105">
        <v>1190</v>
      </c>
      <c r="F25" s="106">
        <f t="shared" si="1"/>
        <v>2142000</v>
      </c>
      <c r="G25" s="105">
        <v>190</v>
      </c>
      <c r="H25" s="105">
        <v>1095</v>
      </c>
      <c r="I25" s="107">
        <v>1.51</v>
      </c>
      <c r="J25" s="155">
        <v>24</v>
      </c>
      <c r="K25" s="156">
        <v>32.9</v>
      </c>
      <c r="L25" s="157">
        <v>32.9</v>
      </c>
      <c r="M25" s="158">
        <v>1.17</v>
      </c>
      <c r="N25" s="106">
        <v>22.3</v>
      </c>
      <c r="O25" s="112" t="s">
        <v>210</v>
      </c>
      <c r="P25" s="113" t="s">
        <v>211</v>
      </c>
      <c r="Q25" s="114">
        <v>4.4799999999999996E-3</v>
      </c>
      <c r="R25" s="115">
        <v>1.1100000000000001E-3</v>
      </c>
      <c r="S25" s="115">
        <v>9.5899999999999996E-3</v>
      </c>
      <c r="T25" s="105">
        <v>385</v>
      </c>
      <c r="U25" s="113" t="s">
        <v>212</v>
      </c>
      <c r="V25" s="114">
        <v>3.3400000000000001E-3</v>
      </c>
      <c r="W25" s="105">
        <v>385</v>
      </c>
      <c r="X25" s="116">
        <v>400</v>
      </c>
      <c r="Y25" s="160">
        <v>1.96</v>
      </c>
      <c r="Z25" s="110">
        <v>0.5</v>
      </c>
      <c r="AA25" s="162" t="s">
        <v>221</v>
      </c>
      <c r="AB25" s="163"/>
      <c r="AC25" s="109">
        <v>1.3</v>
      </c>
      <c r="AD25" s="112" t="s">
        <v>224</v>
      </c>
      <c r="AE25" s="175">
        <v>2.29</v>
      </c>
      <c r="AF25" s="120">
        <v>1</v>
      </c>
      <c r="AG25" s="118">
        <v>0.59</v>
      </c>
      <c r="AH25" s="118">
        <v>0.49</v>
      </c>
      <c r="AI25" s="119">
        <v>1.75</v>
      </c>
      <c r="AJ25" s="120">
        <v>0.38</v>
      </c>
      <c r="AK25" s="118">
        <v>1.29</v>
      </c>
      <c r="AL25" s="118">
        <v>0</v>
      </c>
      <c r="AM25" s="119">
        <v>1.67</v>
      </c>
      <c r="AN25" s="120">
        <v>1.25</v>
      </c>
      <c r="AO25" s="118">
        <v>0.82</v>
      </c>
      <c r="AP25" s="118">
        <v>0.96</v>
      </c>
      <c r="AQ25" s="119">
        <v>2.13</v>
      </c>
      <c r="AR25" s="120">
        <v>0.86</v>
      </c>
      <c r="AS25" s="118">
        <v>0.71</v>
      </c>
      <c r="AT25" s="118">
        <v>0.49</v>
      </c>
      <c r="AU25" s="119">
        <v>1.51</v>
      </c>
      <c r="AV25" s="120">
        <v>0.57999999999999996</v>
      </c>
      <c r="AW25" s="118">
        <v>1.29</v>
      </c>
      <c r="AX25" s="118">
        <v>0</v>
      </c>
      <c r="AY25" s="119">
        <v>1.87</v>
      </c>
      <c r="AZ25" s="120">
        <v>0.44</v>
      </c>
      <c r="BA25" s="118">
        <v>1.22</v>
      </c>
      <c r="BB25" s="118">
        <v>0.16</v>
      </c>
      <c r="BC25" s="119">
        <v>1.81</v>
      </c>
      <c r="BD25" s="121">
        <v>0.57999999999999996</v>
      </c>
      <c r="BE25" s="120">
        <v>0.77</v>
      </c>
      <c r="BF25" s="118">
        <v>0</v>
      </c>
      <c r="BG25" s="118">
        <v>0.45</v>
      </c>
      <c r="BH25" s="119">
        <v>1.22</v>
      </c>
      <c r="BI25" s="120">
        <v>0.57999999999999996</v>
      </c>
      <c r="BJ25" s="118">
        <v>0.26</v>
      </c>
      <c r="BK25" s="118">
        <v>0.59</v>
      </c>
      <c r="BL25" s="119">
        <v>1.43</v>
      </c>
      <c r="BM25" s="120">
        <v>1.31</v>
      </c>
      <c r="BN25" s="118">
        <v>1.37</v>
      </c>
      <c r="BO25" s="118">
        <v>1.08</v>
      </c>
      <c r="BP25" s="118">
        <v>1.52</v>
      </c>
      <c r="BQ25" s="118">
        <v>1.23</v>
      </c>
      <c r="BR25" s="118">
        <v>1.26</v>
      </c>
      <c r="BS25" s="118">
        <v>3.97</v>
      </c>
      <c r="BT25" s="118">
        <v>1.87</v>
      </c>
      <c r="BU25" s="119">
        <v>1.6</v>
      </c>
      <c r="BV25" s="74">
        <v>2142000</v>
      </c>
      <c r="BW25" s="105">
        <v>190</v>
      </c>
      <c r="BX25" s="105">
        <v>1095</v>
      </c>
      <c r="BY25" s="157">
        <v>32.9</v>
      </c>
      <c r="BZ25" s="106">
        <v>22.3</v>
      </c>
      <c r="CA25" s="115">
        <v>9.5899999999999996E-3</v>
      </c>
      <c r="CB25" s="105">
        <v>385</v>
      </c>
      <c r="CC25" s="114">
        <v>3.3400000000000001E-3</v>
      </c>
      <c r="CD25" s="105">
        <v>385</v>
      </c>
      <c r="CE25" s="99">
        <f t="shared" si="2"/>
        <v>8.2706766917293242E-3</v>
      </c>
      <c r="CF25" s="100">
        <f t="shared" si="0"/>
        <v>2.29</v>
      </c>
    </row>
    <row r="26" spans="1:84" ht="14.25" hidden="1" customHeight="1" x14ac:dyDescent="0.25">
      <c r="A26" s="122">
        <v>25</v>
      </c>
      <c r="B26" s="102"/>
      <c r="C26" s="103" t="s">
        <v>232</v>
      </c>
      <c r="D26" s="127">
        <v>1800</v>
      </c>
      <c r="E26" s="124">
        <v>1190</v>
      </c>
      <c r="F26" s="106">
        <f t="shared" si="1"/>
        <v>2142000</v>
      </c>
      <c r="G26" s="124">
        <v>190</v>
      </c>
      <c r="H26" s="124">
        <v>1095</v>
      </c>
      <c r="I26" s="125">
        <v>1.51</v>
      </c>
      <c r="J26" s="155">
        <v>24</v>
      </c>
      <c r="K26" s="156">
        <v>32.9</v>
      </c>
      <c r="L26" s="157">
        <v>32.9</v>
      </c>
      <c r="M26" s="158">
        <v>1.17</v>
      </c>
      <c r="N26" s="106">
        <v>22.3</v>
      </c>
      <c r="O26" s="112" t="s">
        <v>210</v>
      </c>
      <c r="P26" s="113" t="s">
        <v>211</v>
      </c>
      <c r="Q26" s="114">
        <v>4.4799999999999996E-3</v>
      </c>
      <c r="R26" s="115">
        <v>1.1100000000000001E-3</v>
      </c>
      <c r="S26" s="115">
        <v>9.5899999999999996E-3</v>
      </c>
      <c r="T26" s="105">
        <v>385</v>
      </c>
      <c r="U26" s="113" t="s">
        <v>212</v>
      </c>
      <c r="V26" s="114">
        <v>6.6800000000000002E-3</v>
      </c>
      <c r="W26" s="105">
        <v>385</v>
      </c>
      <c r="X26" s="116">
        <v>400</v>
      </c>
      <c r="Y26" s="160">
        <v>1.96</v>
      </c>
      <c r="Z26" s="110">
        <v>0.5</v>
      </c>
      <c r="AA26" s="162" t="s">
        <v>221</v>
      </c>
      <c r="AB26" s="163"/>
      <c r="AC26" s="109">
        <v>2.2999999999999998</v>
      </c>
      <c r="AD26" s="112" t="s">
        <v>224</v>
      </c>
      <c r="AE26" s="175">
        <v>2.93</v>
      </c>
      <c r="AF26" s="120">
        <v>1</v>
      </c>
      <c r="AG26" s="118">
        <v>1.18</v>
      </c>
      <c r="AH26" s="118">
        <v>0.49</v>
      </c>
      <c r="AI26" s="119">
        <v>1.75</v>
      </c>
      <c r="AJ26" s="120">
        <v>0.38</v>
      </c>
      <c r="AK26" s="118">
        <v>2.57</v>
      </c>
      <c r="AL26" s="118">
        <v>0</v>
      </c>
      <c r="AM26" s="119">
        <v>2</v>
      </c>
      <c r="AN26" s="120">
        <v>0.79</v>
      </c>
      <c r="AO26" s="118">
        <v>1.65</v>
      </c>
      <c r="AP26" s="118">
        <v>0.96</v>
      </c>
      <c r="AQ26" s="119">
        <v>2.13</v>
      </c>
      <c r="AR26" s="120">
        <v>0.86</v>
      </c>
      <c r="AS26" s="118">
        <v>1.42</v>
      </c>
      <c r="AT26" s="118">
        <v>0.49</v>
      </c>
      <c r="AU26" s="119">
        <v>1.51</v>
      </c>
      <c r="AV26" s="120">
        <v>0.57999999999999996</v>
      </c>
      <c r="AW26" s="118">
        <v>2.57</v>
      </c>
      <c r="AX26" s="118">
        <v>0</v>
      </c>
      <c r="AY26" s="119">
        <v>3.16</v>
      </c>
      <c r="AZ26" s="120">
        <v>0.44</v>
      </c>
      <c r="BA26" s="118">
        <v>1.54</v>
      </c>
      <c r="BB26" s="118">
        <v>0.16</v>
      </c>
      <c r="BC26" s="119">
        <v>2.13</v>
      </c>
      <c r="BD26" s="121">
        <v>0.57999999999999996</v>
      </c>
      <c r="BE26" s="120">
        <v>0.77</v>
      </c>
      <c r="BF26" s="118">
        <v>0</v>
      </c>
      <c r="BG26" s="118">
        <v>0.45</v>
      </c>
      <c r="BH26" s="119">
        <v>1.22</v>
      </c>
      <c r="BI26" s="120">
        <v>0.57999999999999996</v>
      </c>
      <c r="BJ26" s="118">
        <v>0.51</v>
      </c>
      <c r="BK26" s="118">
        <v>0.59</v>
      </c>
      <c r="BL26" s="119">
        <v>1.69</v>
      </c>
      <c r="BM26" s="120">
        <v>1.67</v>
      </c>
      <c r="BN26" s="118">
        <v>1.46</v>
      </c>
      <c r="BO26" s="118">
        <v>1.38</v>
      </c>
      <c r="BP26" s="118">
        <v>1.94</v>
      </c>
      <c r="BQ26" s="118">
        <v>0.93</v>
      </c>
      <c r="BR26" s="118">
        <v>1.37</v>
      </c>
      <c r="BS26" s="118">
        <v>5.07</v>
      </c>
      <c r="BT26" s="118">
        <v>2.4</v>
      </c>
      <c r="BU26" s="119">
        <v>1.74</v>
      </c>
      <c r="BV26" s="74">
        <v>2142000</v>
      </c>
      <c r="BW26" s="124">
        <v>190</v>
      </c>
      <c r="BX26" s="124">
        <v>1095</v>
      </c>
      <c r="BY26" s="157">
        <v>32.9</v>
      </c>
      <c r="BZ26" s="106">
        <v>22.3</v>
      </c>
      <c r="CA26" s="115">
        <v>9.5899999999999996E-3</v>
      </c>
      <c r="CB26" s="105">
        <v>385</v>
      </c>
      <c r="CC26" s="114">
        <v>6.6800000000000002E-3</v>
      </c>
      <c r="CD26" s="105">
        <v>385</v>
      </c>
      <c r="CE26" s="99">
        <f t="shared" si="2"/>
        <v>1.0614772224679346E-2</v>
      </c>
      <c r="CF26" s="100">
        <f t="shared" si="0"/>
        <v>2.93</v>
      </c>
    </row>
    <row r="27" spans="1:84" ht="24" hidden="1" x14ac:dyDescent="0.25">
      <c r="A27" s="122">
        <v>26</v>
      </c>
      <c r="B27" s="102"/>
      <c r="C27" s="103" t="s">
        <v>233</v>
      </c>
      <c r="D27" s="127">
        <v>1800</v>
      </c>
      <c r="E27" s="124">
        <v>1190</v>
      </c>
      <c r="F27" s="106">
        <f t="shared" si="1"/>
        <v>2142000</v>
      </c>
      <c r="G27" s="124">
        <v>190</v>
      </c>
      <c r="H27" s="124">
        <v>1095</v>
      </c>
      <c r="I27" s="125">
        <v>1.51</v>
      </c>
      <c r="J27" s="155">
        <v>24</v>
      </c>
      <c r="K27" s="156">
        <v>32.9</v>
      </c>
      <c r="L27" s="157">
        <v>32.9</v>
      </c>
      <c r="M27" s="158">
        <v>1.32</v>
      </c>
      <c r="N27" s="106">
        <v>29</v>
      </c>
      <c r="O27" s="112" t="s">
        <v>210</v>
      </c>
      <c r="P27" s="113" t="s">
        <v>211</v>
      </c>
      <c r="Q27" s="114">
        <v>4.4799999999999996E-3</v>
      </c>
      <c r="R27" s="115">
        <v>1.1100000000000001E-3</v>
      </c>
      <c r="S27" s="115">
        <v>9.5899999999999996E-3</v>
      </c>
      <c r="T27" s="105">
        <v>385</v>
      </c>
      <c r="U27" s="113" t="s">
        <v>212</v>
      </c>
      <c r="V27" s="114">
        <v>3.3400000000000001E-3</v>
      </c>
      <c r="W27" s="105">
        <v>385</v>
      </c>
      <c r="X27" s="116">
        <v>400</v>
      </c>
      <c r="Y27" s="160">
        <v>1.96</v>
      </c>
      <c r="Z27" s="110">
        <v>0.5</v>
      </c>
      <c r="AA27" s="162" t="s">
        <v>221</v>
      </c>
      <c r="AB27" s="163"/>
      <c r="AC27" s="174">
        <v>2</v>
      </c>
      <c r="AD27" s="112" t="s">
        <v>224</v>
      </c>
      <c r="AE27" s="175">
        <v>2.59</v>
      </c>
      <c r="AF27" s="120">
        <v>1.1399999999999999</v>
      </c>
      <c r="AG27" s="118">
        <v>0.59</v>
      </c>
      <c r="AH27" s="118">
        <v>0.49</v>
      </c>
      <c r="AI27" s="119">
        <v>2</v>
      </c>
      <c r="AJ27" s="120">
        <v>0.38</v>
      </c>
      <c r="AK27" s="118">
        <v>1.29</v>
      </c>
      <c r="AL27" s="118">
        <v>0</v>
      </c>
      <c r="AM27" s="119">
        <v>1.67</v>
      </c>
      <c r="AN27" s="120">
        <v>1.04</v>
      </c>
      <c r="AO27" s="118">
        <v>0.82</v>
      </c>
      <c r="AP27" s="118">
        <v>0.98</v>
      </c>
      <c r="AQ27" s="119">
        <v>2.42</v>
      </c>
      <c r="AR27" s="120">
        <v>0.99</v>
      </c>
      <c r="AS27" s="118">
        <v>0.71</v>
      </c>
      <c r="AT27" s="118">
        <v>0.49</v>
      </c>
      <c r="AU27" s="119">
        <v>1.72</v>
      </c>
      <c r="AV27" s="120">
        <v>0.67</v>
      </c>
      <c r="AW27" s="118">
        <v>1.29</v>
      </c>
      <c r="AX27" s="118">
        <v>0</v>
      </c>
      <c r="AY27" s="119">
        <v>1.95</v>
      </c>
      <c r="AZ27" s="120">
        <v>0.51</v>
      </c>
      <c r="BA27" s="118">
        <v>1.22</v>
      </c>
      <c r="BB27" s="118">
        <v>0.16</v>
      </c>
      <c r="BC27" s="119">
        <v>1.89</v>
      </c>
      <c r="BD27" s="121">
        <v>0.57999999999999996</v>
      </c>
      <c r="BE27" s="120">
        <v>0.87</v>
      </c>
      <c r="BF27" s="118">
        <v>0</v>
      </c>
      <c r="BG27" s="118">
        <v>0.45</v>
      </c>
      <c r="BH27" s="119">
        <v>1.32</v>
      </c>
      <c r="BI27" s="120">
        <v>0.66</v>
      </c>
      <c r="BJ27" s="118">
        <v>0.26</v>
      </c>
      <c r="BK27" s="118">
        <v>0.59</v>
      </c>
      <c r="BL27" s="119">
        <v>1.5</v>
      </c>
      <c r="BM27" s="120">
        <v>1.3</v>
      </c>
      <c r="BN27" s="118">
        <v>1.55</v>
      </c>
      <c r="BO27" s="118">
        <v>1.07</v>
      </c>
      <c r="BP27" s="118">
        <v>1.5</v>
      </c>
      <c r="BQ27" s="118">
        <v>1.33</v>
      </c>
      <c r="BR27" s="118">
        <v>1.37</v>
      </c>
      <c r="BS27" s="118">
        <v>4.49</v>
      </c>
      <c r="BT27" s="118">
        <v>1.96</v>
      </c>
      <c r="BU27" s="119">
        <v>1.72</v>
      </c>
      <c r="BV27" s="74">
        <v>2142000</v>
      </c>
      <c r="BW27" s="124">
        <v>190</v>
      </c>
      <c r="BX27" s="124">
        <v>1095</v>
      </c>
      <c r="BY27" s="157">
        <v>32.9</v>
      </c>
      <c r="BZ27" s="106">
        <v>29</v>
      </c>
      <c r="CA27" s="115">
        <v>9.5899999999999996E-3</v>
      </c>
      <c r="CB27" s="105">
        <v>385</v>
      </c>
      <c r="CC27" s="114">
        <v>3.3400000000000001E-3</v>
      </c>
      <c r="CD27" s="105">
        <v>385</v>
      </c>
      <c r="CE27" s="99">
        <f t="shared" si="2"/>
        <v>8.6687306501547975E-3</v>
      </c>
      <c r="CF27" s="100">
        <f t="shared" si="0"/>
        <v>2.59</v>
      </c>
    </row>
    <row r="28" spans="1:84" ht="24" hidden="1" x14ac:dyDescent="0.25">
      <c r="A28" s="101">
        <v>27</v>
      </c>
      <c r="B28" s="102"/>
      <c r="C28" s="103" t="s">
        <v>234</v>
      </c>
      <c r="D28" s="104">
        <v>1800</v>
      </c>
      <c r="E28" s="105">
        <v>1190</v>
      </c>
      <c r="F28" s="106">
        <f t="shared" si="1"/>
        <v>2142000</v>
      </c>
      <c r="G28" s="105">
        <v>190</v>
      </c>
      <c r="H28" s="105">
        <v>1095</v>
      </c>
      <c r="I28" s="107">
        <v>1.51</v>
      </c>
      <c r="J28" s="155">
        <v>24</v>
      </c>
      <c r="K28" s="156">
        <v>32.9</v>
      </c>
      <c r="L28" s="157">
        <v>32.9</v>
      </c>
      <c r="M28" s="158">
        <v>1.26</v>
      </c>
      <c r="N28" s="106">
        <v>26.1</v>
      </c>
      <c r="O28" s="112" t="s">
        <v>210</v>
      </c>
      <c r="P28" s="113" t="s">
        <v>211</v>
      </c>
      <c r="Q28" s="114">
        <v>4.4799999999999996E-3</v>
      </c>
      <c r="R28" s="115">
        <v>1.1100000000000001E-3</v>
      </c>
      <c r="S28" s="115">
        <v>9.5899999999999996E-3</v>
      </c>
      <c r="T28" s="105">
        <v>385</v>
      </c>
      <c r="U28" s="113" t="s">
        <v>212</v>
      </c>
      <c r="V28" s="114">
        <v>3.3400000000000001E-3</v>
      </c>
      <c r="W28" s="105">
        <v>385</v>
      </c>
      <c r="X28" s="116">
        <v>400</v>
      </c>
      <c r="Y28" s="160">
        <v>1.96</v>
      </c>
      <c r="Z28" s="110">
        <v>0.5</v>
      </c>
      <c r="AA28" s="162" t="s">
        <v>221</v>
      </c>
      <c r="AB28" s="163"/>
      <c r="AC28" s="174">
        <v>2</v>
      </c>
      <c r="AD28" s="112" t="s">
        <v>224</v>
      </c>
      <c r="AE28" s="175">
        <v>2.2400000000000002</v>
      </c>
      <c r="AF28" s="120">
        <v>1.0900000000000001</v>
      </c>
      <c r="AG28" s="118">
        <v>0.59</v>
      </c>
      <c r="AH28" s="118">
        <v>0.49</v>
      </c>
      <c r="AI28" s="119">
        <v>1.9</v>
      </c>
      <c r="AJ28" s="120">
        <v>0.38</v>
      </c>
      <c r="AK28" s="118">
        <v>1.29</v>
      </c>
      <c r="AL28" s="118">
        <v>0</v>
      </c>
      <c r="AM28" s="119">
        <v>1.67</v>
      </c>
      <c r="AN28" s="120">
        <v>0.99</v>
      </c>
      <c r="AO28" s="118">
        <v>0.82</v>
      </c>
      <c r="AP28" s="118">
        <v>0.97</v>
      </c>
      <c r="AQ28" s="119">
        <v>2.2999999999999998</v>
      </c>
      <c r="AR28" s="120">
        <v>0.94</v>
      </c>
      <c r="AS28" s="118">
        <v>0.71</v>
      </c>
      <c r="AT28" s="118">
        <v>0.49</v>
      </c>
      <c r="AU28" s="119">
        <v>1.63</v>
      </c>
      <c r="AV28" s="120">
        <v>0.63</v>
      </c>
      <c r="AW28" s="118">
        <v>1.29</v>
      </c>
      <c r="AX28" s="118">
        <v>0</v>
      </c>
      <c r="AY28" s="119">
        <v>1.92</v>
      </c>
      <c r="AZ28" s="120">
        <v>0.48</v>
      </c>
      <c r="BA28" s="118">
        <v>1.22</v>
      </c>
      <c r="BB28" s="118">
        <v>0.16</v>
      </c>
      <c r="BC28" s="119">
        <v>1.85</v>
      </c>
      <c r="BD28" s="121">
        <v>0.57999999999999996</v>
      </c>
      <c r="BE28" s="120">
        <v>0.83</v>
      </c>
      <c r="BF28" s="118">
        <v>0</v>
      </c>
      <c r="BG28" s="118">
        <v>0.45</v>
      </c>
      <c r="BH28" s="119">
        <v>1.28</v>
      </c>
      <c r="BI28" s="120">
        <v>0.63</v>
      </c>
      <c r="BJ28" s="118">
        <v>0.26</v>
      </c>
      <c r="BK28" s="118">
        <v>0.59</v>
      </c>
      <c r="BL28" s="119">
        <v>1.47</v>
      </c>
      <c r="BM28" s="120">
        <v>1.18</v>
      </c>
      <c r="BN28" s="118">
        <v>1.34</v>
      </c>
      <c r="BO28" s="118">
        <v>0.97</v>
      </c>
      <c r="BP28" s="118">
        <v>1.37</v>
      </c>
      <c r="BQ28" s="118">
        <v>1.17</v>
      </c>
      <c r="BR28" s="118">
        <v>1.21</v>
      </c>
      <c r="BS28" s="118">
        <v>3.88</v>
      </c>
      <c r="BT28" s="118">
        <v>1.75</v>
      </c>
      <c r="BU28" s="119">
        <v>1.52</v>
      </c>
      <c r="BV28" s="74">
        <v>2142000</v>
      </c>
      <c r="BW28" s="105">
        <v>190</v>
      </c>
      <c r="BX28" s="105">
        <v>1095</v>
      </c>
      <c r="BY28" s="157">
        <v>32.9</v>
      </c>
      <c r="BZ28" s="106">
        <v>26.1</v>
      </c>
      <c r="CA28" s="115">
        <v>9.5899999999999996E-3</v>
      </c>
      <c r="CB28" s="105">
        <v>385</v>
      </c>
      <c r="CC28" s="114">
        <v>3.3400000000000001E-3</v>
      </c>
      <c r="CD28" s="105">
        <v>385</v>
      </c>
      <c r="CE28" s="99">
        <f t="shared" si="2"/>
        <v>7.7399380804953561E-3</v>
      </c>
      <c r="CF28" s="100">
        <f t="shared" si="0"/>
        <v>2.2400000000000002</v>
      </c>
    </row>
    <row r="29" spans="1:84" ht="24" hidden="1" x14ac:dyDescent="0.25">
      <c r="A29" s="101">
        <v>28</v>
      </c>
      <c r="B29" s="102"/>
      <c r="C29" s="103" t="s">
        <v>235</v>
      </c>
      <c r="D29" s="104">
        <v>1800</v>
      </c>
      <c r="E29" s="105">
        <v>1190</v>
      </c>
      <c r="F29" s="106">
        <f t="shared" si="1"/>
        <v>2142000</v>
      </c>
      <c r="G29" s="105">
        <v>190</v>
      </c>
      <c r="H29" s="105">
        <v>1095</v>
      </c>
      <c r="I29" s="107">
        <v>1.51</v>
      </c>
      <c r="J29" s="155">
        <v>24</v>
      </c>
      <c r="K29" s="156">
        <v>32.9</v>
      </c>
      <c r="L29" s="157">
        <v>32.9</v>
      </c>
      <c r="M29" s="158">
        <v>1.28</v>
      </c>
      <c r="N29" s="106">
        <v>27.4</v>
      </c>
      <c r="O29" s="112" t="s">
        <v>210</v>
      </c>
      <c r="P29" s="113" t="s">
        <v>211</v>
      </c>
      <c r="Q29" s="114">
        <v>4.4799999999999996E-3</v>
      </c>
      <c r="R29" s="115">
        <v>1.1100000000000001E-3</v>
      </c>
      <c r="S29" s="115">
        <v>9.5899999999999996E-3</v>
      </c>
      <c r="T29" s="105">
        <v>385</v>
      </c>
      <c r="U29" s="113" t="s">
        <v>212</v>
      </c>
      <c r="V29" s="114">
        <v>4.0000000000000001E-3</v>
      </c>
      <c r="W29" s="105">
        <v>385</v>
      </c>
      <c r="X29" s="116">
        <v>400</v>
      </c>
      <c r="Y29" s="160">
        <v>1.96</v>
      </c>
      <c r="Z29" s="110">
        <v>0.5</v>
      </c>
      <c r="AA29" s="162" t="s">
        <v>221</v>
      </c>
      <c r="AB29" s="163"/>
      <c r="AC29" s="174">
        <v>2</v>
      </c>
      <c r="AD29" s="112" t="s">
        <v>224</v>
      </c>
      <c r="AE29" s="175">
        <v>2.63</v>
      </c>
      <c r="AF29" s="120">
        <v>1.1100000000000001</v>
      </c>
      <c r="AG29" s="118">
        <v>0.71</v>
      </c>
      <c r="AH29" s="118">
        <v>0.49</v>
      </c>
      <c r="AI29" s="119">
        <v>1.94</v>
      </c>
      <c r="AJ29" s="120">
        <v>0.38</v>
      </c>
      <c r="AK29" s="118">
        <v>1.54</v>
      </c>
      <c r="AL29" s="118">
        <v>0</v>
      </c>
      <c r="AM29" s="119">
        <v>1.92</v>
      </c>
      <c r="AN29" s="120">
        <v>1.01</v>
      </c>
      <c r="AO29" s="118">
        <v>0.99</v>
      </c>
      <c r="AP29" s="118">
        <v>0.98</v>
      </c>
      <c r="AQ29" s="119">
        <v>2.36</v>
      </c>
      <c r="AR29" s="120">
        <v>0.96</v>
      </c>
      <c r="AS29" s="118">
        <v>0.85</v>
      </c>
      <c r="AT29" s="118">
        <v>0.49</v>
      </c>
      <c r="AU29" s="119">
        <v>1.68</v>
      </c>
      <c r="AV29" s="120">
        <v>0.65</v>
      </c>
      <c r="AW29" s="118">
        <v>1.54</v>
      </c>
      <c r="AX29" s="118">
        <v>0</v>
      </c>
      <c r="AY29" s="119">
        <v>2.19</v>
      </c>
      <c r="AZ29" s="120">
        <v>0.49</v>
      </c>
      <c r="BA29" s="118">
        <v>1.29</v>
      </c>
      <c r="BB29" s="118">
        <v>0.16</v>
      </c>
      <c r="BC29" s="119">
        <v>1.94</v>
      </c>
      <c r="BD29" s="121">
        <v>0.57999999999999996</v>
      </c>
      <c r="BE29" s="120">
        <v>0.85</v>
      </c>
      <c r="BF29" s="118">
        <v>0</v>
      </c>
      <c r="BG29" s="118">
        <v>0.45</v>
      </c>
      <c r="BH29" s="119">
        <v>1.3</v>
      </c>
      <c r="BI29" s="120">
        <v>0.64</v>
      </c>
      <c r="BJ29" s="118">
        <v>0.31</v>
      </c>
      <c r="BK29" s="118">
        <v>0.59</v>
      </c>
      <c r="BL29" s="119">
        <v>1.54</v>
      </c>
      <c r="BM29" s="120">
        <v>1.35</v>
      </c>
      <c r="BN29" s="118">
        <v>1.37</v>
      </c>
      <c r="BO29" s="118">
        <v>1.1200000000000001</v>
      </c>
      <c r="BP29" s="118">
        <v>1.57</v>
      </c>
      <c r="BQ29" s="118">
        <v>1.2</v>
      </c>
      <c r="BR29" s="118">
        <v>1.36</v>
      </c>
      <c r="BS29" s="118">
        <v>4.5599999999999996</v>
      </c>
      <c r="BT29" s="118">
        <v>2.0299999999999998</v>
      </c>
      <c r="BU29" s="119">
        <v>1.71</v>
      </c>
      <c r="BV29" s="74">
        <v>2142000</v>
      </c>
      <c r="BW29" s="105">
        <v>190</v>
      </c>
      <c r="BX29" s="105">
        <v>1095</v>
      </c>
      <c r="BY29" s="157">
        <v>32.9</v>
      </c>
      <c r="BZ29" s="106">
        <v>27.4</v>
      </c>
      <c r="CA29" s="115">
        <v>9.5899999999999996E-3</v>
      </c>
      <c r="CB29" s="105">
        <v>385</v>
      </c>
      <c r="CC29" s="114">
        <v>4.0000000000000001E-3</v>
      </c>
      <c r="CD29" s="105">
        <v>385</v>
      </c>
      <c r="CE29" s="99">
        <f t="shared" si="2"/>
        <v>8.9783281733746122E-3</v>
      </c>
      <c r="CF29" s="100">
        <f t="shared" si="0"/>
        <v>2.63</v>
      </c>
    </row>
    <row r="30" spans="1:84" ht="14.25" hidden="1" customHeight="1" x14ac:dyDescent="0.25">
      <c r="A30" s="101">
        <v>29</v>
      </c>
      <c r="B30" s="102"/>
      <c r="C30" s="103" t="s">
        <v>236</v>
      </c>
      <c r="D30" s="104">
        <v>1800</v>
      </c>
      <c r="E30" s="105">
        <v>1190</v>
      </c>
      <c r="F30" s="106">
        <f t="shared" si="1"/>
        <v>2142000</v>
      </c>
      <c r="G30" s="105">
        <v>190</v>
      </c>
      <c r="H30" s="105">
        <v>1095</v>
      </c>
      <c r="I30" s="107">
        <v>1.51</v>
      </c>
      <c r="J30" s="155">
        <v>24</v>
      </c>
      <c r="K30" s="156">
        <v>32.9</v>
      </c>
      <c r="L30" s="157">
        <v>32.9</v>
      </c>
      <c r="M30" s="158">
        <v>1.26</v>
      </c>
      <c r="N30" s="106">
        <v>26.4</v>
      </c>
      <c r="O30" s="112" t="s">
        <v>210</v>
      </c>
      <c r="P30" s="113" t="s">
        <v>211</v>
      </c>
      <c r="Q30" s="114">
        <v>4.7299999999999998E-3</v>
      </c>
      <c r="R30" s="115">
        <v>1.17E-3</v>
      </c>
      <c r="S30" s="115">
        <v>1.013E-2</v>
      </c>
      <c r="T30" s="105">
        <v>385</v>
      </c>
      <c r="U30" s="113" t="s">
        <v>212</v>
      </c>
      <c r="V30" s="114">
        <v>3.5300000000000002E-3</v>
      </c>
      <c r="W30" s="105">
        <v>385</v>
      </c>
      <c r="X30" s="116">
        <v>400</v>
      </c>
      <c r="Y30" s="160">
        <v>1.96</v>
      </c>
      <c r="Z30" s="110">
        <v>0.5</v>
      </c>
      <c r="AA30" s="162" t="s">
        <v>221</v>
      </c>
      <c r="AB30" s="163"/>
      <c r="AC30" s="174">
        <v>2</v>
      </c>
      <c r="AD30" s="112" t="s">
        <v>224</v>
      </c>
      <c r="AE30" s="175">
        <v>2.4300000000000002</v>
      </c>
      <c r="AF30" s="120">
        <v>1.0900000000000001</v>
      </c>
      <c r="AG30" s="118">
        <v>0.63</v>
      </c>
      <c r="AH30" s="118">
        <v>0.49</v>
      </c>
      <c r="AI30" s="119">
        <v>1.91</v>
      </c>
      <c r="AJ30" s="120">
        <v>0.38</v>
      </c>
      <c r="AK30" s="118">
        <v>1.36</v>
      </c>
      <c r="AL30" s="118">
        <v>0</v>
      </c>
      <c r="AM30" s="119">
        <v>1.74</v>
      </c>
      <c r="AN30" s="120">
        <v>1.01</v>
      </c>
      <c r="AO30" s="118">
        <v>0.87</v>
      </c>
      <c r="AP30" s="118">
        <v>0.97</v>
      </c>
      <c r="AQ30" s="119">
        <v>2.31</v>
      </c>
      <c r="AR30" s="120">
        <v>0.94</v>
      </c>
      <c r="AS30" s="118">
        <v>0.75</v>
      </c>
      <c r="AT30" s="118">
        <v>0.49</v>
      </c>
      <c r="AU30" s="119">
        <v>1.64</v>
      </c>
      <c r="AV30" s="120">
        <v>0.63</v>
      </c>
      <c r="AW30" s="118">
        <v>1.36</v>
      </c>
      <c r="AX30" s="118">
        <v>0</v>
      </c>
      <c r="AY30" s="119">
        <v>1.99</v>
      </c>
      <c r="AZ30" s="120">
        <v>0.49</v>
      </c>
      <c r="BA30" s="118">
        <v>1.25</v>
      </c>
      <c r="BB30" s="118">
        <v>0.16</v>
      </c>
      <c r="BC30" s="119">
        <v>1.9</v>
      </c>
      <c r="BD30" s="121">
        <v>0.57999999999999996</v>
      </c>
      <c r="BE30" s="120">
        <v>0.83</v>
      </c>
      <c r="BF30" s="118">
        <v>0</v>
      </c>
      <c r="BG30" s="118">
        <v>0.45</v>
      </c>
      <c r="BH30" s="119">
        <v>1.29</v>
      </c>
      <c r="BI30" s="120">
        <v>0.63</v>
      </c>
      <c r="BJ30" s="118">
        <v>0.27</v>
      </c>
      <c r="BK30" s="118">
        <v>0.59</v>
      </c>
      <c r="BL30" s="119">
        <v>1.49</v>
      </c>
      <c r="BM30" s="120">
        <v>1.27</v>
      </c>
      <c r="BN30" s="118">
        <v>1.39</v>
      </c>
      <c r="BO30" s="118">
        <v>1.05</v>
      </c>
      <c r="BP30" s="118">
        <v>1.48</v>
      </c>
      <c r="BQ30" s="118">
        <v>1.22</v>
      </c>
      <c r="BR30" s="118">
        <v>1.28</v>
      </c>
      <c r="BS30" s="118">
        <v>4.21</v>
      </c>
      <c r="BT30" s="118">
        <v>1.89</v>
      </c>
      <c r="BU30" s="119">
        <v>1.63</v>
      </c>
      <c r="BV30" s="74">
        <v>2142000</v>
      </c>
      <c r="BW30" s="105">
        <v>190</v>
      </c>
      <c r="BX30" s="105">
        <v>1095</v>
      </c>
      <c r="BY30" s="157">
        <v>32.9</v>
      </c>
      <c r="BZ30" s="106">
        <v>26.4</v>
      </c>
      <c r="CA30" s="115">
        <v>1.013E-2</v>
      </c>
      <c r="CB30" s="105">
        <v>385</v>
      </c>
      <c r="CC30" s="114">
        <v>3.5300000000000002E-3</v>
      </c>
      <c r="CD30" s="105">
        <v>385</v>
      </c>
      <c r="CE30" s="99">
        <f t="shared" si="2"/>
        <v>8.3591331269349846E-3</v>
      </c>
      <c r="CF30" s="100">
        <f t="shared" si="0"/>
        <v>2.4300000000000002</v>
      </c>
    </row>
    <row r="31" spans="1:84" ht="14.25" hidden="1" customHeight="1" x14ac:dyDescent="0.25">
      <c r="A31" s="101">
        <v>30</v>
      </c>
      <c r="B31" s="102"/>
      <c r="C31" s="103" t="s">
        <v>237</v>
      </c>
      <c r="D31" s="104">
        <v>1800</v>
      </c>
      <c r="E31" s="105">
        <v>1190</v>
      </c>
      <c r="F31" s="106">
        <f t="shared" si="1"/>
        <v>2142000</v>
      </c>
      <c r="G31" s="105">
        <v>190</v>
      </c>
      <c r="H31" s="105">
        <v>1095</v>
      </c>
      <c r="I31" s="107">
        <v>1.51</v>
      </c>
      <c r="J31" s="155">
        <v>24</v>
      </c>
      <c r="K31" s="156">
        <v>32.9</v>
      </c>
      <c r="L31" s="157">
        <v>32.9</v>
      </c>
      <c r="M31" s="158">
        <v>1.36</v>
      </c>
      <c r="N31" s="106">
        <v>31.4</v>
      </c>
      <c r="O31" s="112" t="s">
        <v>210</v>
      </c>
      <c r="P31" s="113" t="s">
        <v>211</v>
      </c>
      <c r="Q31" s="114">
        <v>4.4799999999999996E-3</v>
      </c>
      <c r="R31" s="115">
        <v>1.1100000000000001E-3</v>
      </c>
      <c r="S31" s="115">
        <v>9.5899999999999996E-3</v>
      </c>
      <c r="T31" s="105">
        <v>385</v>
      </c>
      <c r="U31" s="113" t="s">
        <v>212</v>
      </c>
      <c r="V31" s="114">
        <v>3.3400000000000001E-3</v>
      </c>
      <c r="W31" s="105">
        <v>385</v>
      </c>
      <c r="X31" s="116">
        <v>400</v>
      </c>
      <c r="Y31" s="160">
        <v>1.96</v>
      </c>
      <c r="Z31" s="110">
        <v>0.5</v>
      </c>
      <c r="AA31" s="162" t="s">
        <v>221</v>
      </c>
      <c r="AB31" s="163"/>
      <c r="AC31" s="174">
        <v>2</v>
      </c>
      <c r="AD31" s="112" t="s">
        <v>224</v>
      </c>
      <c r="AE31" s="175">
        <v>2.59</v>
      </c>
      <c r="AF31" s="120">
        <v>1.19</v>
      </c>
      <c r="AG31" s="118">
        <v>0.59</v>
      </c>
      <c r="AH31" s="118">
        <v>0.49</v>
      </c>
      <c r="AI31" s="119">
        <v>2.08</v>
      </c>
      <c r="AJ31" s="120">
        <v>0.38</v>
      </c>
      <c r="AK31" s="118">
        <v>1.29</v>
      </c>
      <c r="AL31" s="118">
        <v>0</v>
      </c>
      <c r="AM31" s="119">
        <v>1.67</v>
      </c>
      <c r="AN31" s="120">
        <v>1.08</v>
      </c>
      <c r="AO31" s="118">
        <v>0.82</v>
      </c>
      <c r="AP31" s="118">
        <v>0.99</v>
      </c>
      <c r="AQ31" s="119">
        <v>2.52</v>
      </c>
      <c r="AR31" s="120">
        <v>1.03</v>
      </c>
      <c r="AS31" s="118">
        <v>0.71</v>
      </c>
      <c r="AT31" s="118">
        <v>0.49</v>
      </c>
      <c r="AU31" s="119">
        <v>1.79</v>
      </c>
      <c r="AV31" s="120">
        <v>0.69</v>
      </c>
      <c r="AW31" s="118">
        <v>1.29</v>
      </c>
      <c r="AX31" s="118">
        <v>0</v>
      </c>
      <c r="AY31" s="119">
        <v>1.98</v>
      </c>
      <c r="AZ31" s="120">
        <v>0.54</v>
      </c>
      <c r="BA31" s="118">
        <v>1.22</v>
      </c>
      <c r="BB31" s="118">
        <v>0.16</v>
      </c>
      <c r="BC31" s="119">
        <v>1.91</v>
      </c>
      <c r="BD31" s="121">
        <v>0.57999999999999996</v>
      </c>
      <c r="BE31" s="120">
        <v>0.9</v>
      </c>
      <c r="BF31" s="118">
        <v>0</v>
      </c>
      <c r="BG31" s="118">
        <v>0.45</v>
      </c>
      <c r="BH31" s="119">
        <v>1.35</v>
      </c>
      <c r="BI31" s="120">
        <v>0.68</v>
      </c>
      <c r="BJ31" s="118">
        <v>0.26</v>
      </c>
      <c r="BK31" s="118">
        <v>0.59</v>
      </c>
      <c r="BL31" s="119">
        <v>1.53</v>
      </c>
      <c r="BM31" s="120">
        <v>1.25</v>
      </c>
      <c r="BN31" s="118">
        <v>1.55</v>
      </c>
      <c r="BO31" s="118">
        <v>1.03</v>
      </c>
      <c r="BP31" s="118">
        <v>1.45</v>
      </c>
      <c r="BQ31" s="118">
        <v>1.31</v>
      </c>
      <c r="BR31" s="118">
        <v>1.36</v>
      </c>
      <c r="BS31" s="118">
        <v>4.49</v>
      </c>
      <c r="BT31" s="118">
        <v>1.92</v>
      </c>
      <c r="BU31" s="119">
        <v>1.7</v>
      </c>
      <c r="BV31" s="74">
        <v>2142000</v>
      </c>
      <c r="BW31" s="105">
        <v>190</v>
      </c>
      <c r="BX31" s="105">
        <v>1095</v>
      </c>
      <c r="BY31" s="157">
        <v>32.9</v>
      </c>
      <c r="BZ31" s="106">
        <v>31.4</v>
      </c>
      <c r="CA31" s="115">
        <v>9.5899999999999996E-3</v>
      </c>
      <c r="CB31" s="105">
        <v>385</v>
      </c>
      <c r="CC31" s="114">
        <v>3.3400000000000001E-3</v>
      </c>
      <c r="CD31" s="105">
        <v>385</v>
      </c>
      <c r="CE31" s="99">
        <f t="shared" si="2"/>
        <v>8.4918177797434768E-3</v>
      </c>
      <c r="CF31" s="100">
        <f t="shared" si="0"/>
        <v>2.59</v>
      </c>
    </row>
    <row r="32" spans="1:84" ht="14.25" hidden="1" customHeight="1" x14ac:dyDescent="0.25">
      <c r="A32" s="101">
        <v>31</v>
      </c>
      <c r="B32" s="102"/>
      <c r="C32" s="103" t="s">
        <v>238</v>
      </c>
      <c r="D32" s="104">
        <v>1700</v>
      </c>
      <c r="E32" s="105">
        <v>1110</v>
      </c>
      <c r="F32" s="106">
        <f t="shared" si="1"/>
        <v>1887000</v>
      </c>
      <c r="G32" s="105">
        <v>190</v>
      </c>
      <c r="H32" s="105">
        <v>1005</v>
      </c>
      <c r="I32" s="107">
        <v>1.53</v>
      </c>
      <c r="J32" s="155">
        <v>24</v>
      </c>
      <c r="K32" s="156">
        <v>32.9</v>
      </c>
      <c r="L32" s="157">
        <v>32.9</v>
      </c>
      <c r="M32" s="158">
        <v>1.31</v>
      </c>
      <c r="N32" s="106">
        <v>28.6</v>
      </c>
      <c r="O32" s="112" t="s">
        <v>210</v>
      </c>
      <c r="P32" s="113" t="s">
        <v>202</v>
      </c>
      <c r="Q32" s="114">
        <v>2.7200000000000002E-3</v>
      </c>
      <c r="R32" s="115">
        <v>1.2099999999999999E-3</v>
      </c>
      <c r="S32" s="115">
        <v>6.1199999999999996E-3</v>
      </c>
      <c r="T32" s="105">
        <v>385</v>
      </c>
      <c r="U32" s="113" t="s">
        <v>212</v>
      </c>
      <c r="V32" s="114">
        <v>0</v>
      </c>
      <c r="W32" s="105">
        <v>385</v>
      </c>
      <c r="X32" s="116">
        <v>378</v>
      </c>
      <c r="Y32" s="160">
        <v>1.96</v>
      </c>
      <c r="Z32" s="110">
        <v>0.5</v>
      </c>
      <c r="AA32" s="162" t="s">
        <v>221</v>
      </c>
      <c r="AB32" s="163"/>
      <c r="AC32" s="109">
        <v>1.9</v>
      </c>
      <c r="AD32" s="112" t="s">
        <v>224</v>
      </c>
      <c r="AE32" s="175">
        <v>2.1800000000000002</v>
      </c>
      <c r="AF32" s="120">
        <v>1.1200000000000001</v>
      </c>
      <c r="AG32" s="118">
        <v>0</v>
      </c>
      <c r="AH32" s="118">
        <v>0.49</v>
      </c>
      <c r="AI32" s="119">
        <v>1.61</v>
      </c>
      <c r="AJ32" s="120">
        <v>0.38</v>
      </c>
      <c r="AK32" s="118">
        <v>0</v>
      </c>
      <c r="AL32" s="118">
        <v>0</v>
      </c>
      <c r="AM32" s="119">
        <v>0.38</v>
      </c>
      <c r="AN32" s="120">
        <v>0.97</v>
      </c>
      <c r="AO32" s="118">
        <v>0</v>
      </c>
      <c r="AP32" s="118">
        <v>0.97</v>
      </c>
      <c r="AQ32" s="119">
        <v>1.85</v>
      </c>
      <c r="AR32" s="120">
        <v>0.96</v>
      </c>
      <c r="AS32" s="118">
        <v>0</v>
      </c>
      <c r="AT32" s="118">
        <v>0.49</v>
      </c>
      <c r="AU32" s="119">
        <v>1.45</v>
      </c>
      <c r="AV32" s="120">
        <v>0.64</v>
      </c>
      <c r="AW32" s="118">
        <v>0</v>
      </c>
      <c r="AX32" s="118">
        <v>0</v>
      </c>
      <c r="AY32" s="119">
        <v>0.64</v>
      </c>
      <c r="AZ32" s="120">
        <v>0.45</v>
      </c>
      <c r="BA32" s="118">
        <v>0.46</v>
      </c>
      <c r="BB32" s="118">
        <v>0.16</v>
      </c>
      <c r="BC32" s="119">
        <v>1.06</v>
      </c>
      <c r="BD32" s="121">
        <v>0.2</v>
      </c>
      <c r="BE32" s="120">
        <v>0.85</v>
      </c>
      <c r="BF32" s="118">
        <v>0</v>
      </c>
      <c r="BG32" s="118">
        <v>0.45</v>
      </c>
      <c r="BH32" s="119">
        <v>1.3</v>
      </c>
      <c r="BI32" s="120">
        <v>0.65</v>
      </c>
      <c r="BJ32" s="118">
        <v>0</v>
      </c>
      <c r="BK32" s="118">
        <v>0.59</v>
      </c>
      <c r="BL32" s="119">
        <v>1.24</v>
      </c>
      <c r="BM32" s="120">
        <v>1.36</v>
      </c>
      <c r="BN32" s="118">
        <v>5.69</v>
      </c>
      <c r="BO32" s="118">
        <v>1.18</v>
      </c>
      <c r="BP32" s="118">
        <v>1.51</v>
      </c>
      <c r="BQ32" s="118">
        <v>3.39</v>
      </c>
      <c r="BR32" s="118">
        <v>2.06</v>
      </c>
      <c r="BS32" s="118">
        <v>10.7</v>
      </c>
      <c r="BT32" s="118">
        <v>1.67</v>
      </c>
      <c r="BU32" s="119">
        <v>1.76</v>
      </c>
      <c r="BV32" s="74">
        <v>1887000</v>
      </c>
      <c r="BW32" s="105">
        <v>190</v>
      </c>
      <c r="BX32" s="105">
        <v>1005</v>
      </c>
      <c r="BY32" s="157">
        <v>32.9</v>
      </c>
      <c r="BZ32" s="106">
        <v>28.6</v>
      </c>
      <c r="CA32" s="115">
        <v>6.1199999999999996E-3</v>
      </c>
      <c r="CB32" s="105">
        <v>385</v>
      </c>
      <c r="CC32" s="114">
        <v>0</v>
      </c>
      <c r="CD32" s="105">
        <v>385</v>
      </c>
      <c r="CE32" s="99">
        <f t="shared" si="2"/>
        <v>7.9184447605500242E-3</v>
      </c>
      <c r="CF32" s="100">
        <f t="shared" si="0"/>
        <v>2.1800000000000002</v>
      </c>
    </row>
    <row r="33" spans="1:84" ht="14.25" hidden="1" customHeight="1" x14ac:dyDescent="0.25">
      <c r="A33" s="101">
        <v>32</v>
      </c>
      <c r="B33" s="102"/>
      <c r="C33" s="103" t="s">
        <v>239</v>
      </c>
      <c r="D33" s="104">
        <v>1700</v>
      </c>
      <c r="E33" s="105">
        <v>1110</v>
      </c>
      <c r="F33" s="106">
        <f t="shared" si="1"/>
        <v>1887000</v>
      </c>
      <c r="G33" s="105">
        <v>190</v>
      </c>
      <c r="H33" s="105">
        <v>1005</v>
      </c>
      <c r="I33" s="107">
        <v>1.53</v>
      </c>
      <c r="J33" s="155">
        <v>24</v>
      </c>
      <c r="K33" s="156">
        <v>32.9</v>
      </c>
      <c r="L33" s="157">
        <v>32.9</v>
      </c>
      <c r="M33" s="158">
        <v>1.31</v>
      </c>
      <c r="N33" s="106">
        <v>28.6</v>
      </c>
      <c r="O33" s="112" t="s">
        <v>210</v>
      </c>
      <c r="P33" s="113" t="s">
        <v>202</v>
      </c>
      <c r="Q33" s="114">
        <v>2.7200000000000002E-3</v>
      </c>
      <c r="R33" s="115">
        <v>1.2099999999999999E-3</v>
      </c>
      <c r="S33" s="115">
        <v>6.1199999999999996E-3</v>
      </c>
      <c r="T33" s="105">
        <v>385</v>
      </c>
      <c r="U33" s="113" t="s">
        <v>212</v>
      </c>
      <c r="V33" s="114">
        <v>1.67E-3</v>
      </c>
      <c r="W33" s="105">
        <v>385</v>
      </c>
      <c r="X33" s="116">
        <v>378</v>
      </c>
      <c r="Y33" s="160">
        <v>1.96</v>
      </c>
      <c r="Z33" s="110">
        <v>0.5</v>
      </c>
      <c r="AA33" s="162" t="s">
        <v>221</v>
      </c>
      <c r="AB33" s="163"/>
      <c r="AC33" s="109">
        <v>3</v>
      </c>
      <c r="AD33" s="112" t="s">
        <v>224</v>
      </c>
      <c r="AE33" s="175">
        <v>1.95</v>
      </c>
      <c r="AF33" s="120">
        <v>1.1200000000000001</v>
      </c>
      <c r="AG33" s="118">
        <v>0.28999999999999998</v>
      </c>
      <c r="AH33" s="118">
        <v>0.49</v>
      </c>
      <c r="AI33" s="119">
        <v>1.9</v>
      </c>
      <c r="AJ33" s="120">
        <v>0.38</v>
      </c>
      <c r="AK33" s="118">
        <v>0.64</v>
      </c>
      <c r="AL33" s="118">
        <v>0</v>
      </c>
      <c r="AM33" s="119">
        <v>1.03</v>
      </c>
      <c r="AN33" s="120">
        <v>0.49</v>
      </c>
      <c r="AO33" s="118">
        <v>0.41</v>
      </c>
      <c r="AP33" s="118">
        <v>0.97</v>
      </c>
      <c r="AQ33" s="119">
        <v>1.82</v>
      </c>
      <c r="AR33" s="120">
        <v>0.96</v>
      </c>
      <c r="AS33" s="118">
        <v>0.35</v>
      </c>
      <c r="AT33" s="118">
        <v>0.49</v>
      </c>
      <c r="AU33" s="119">
        <v>1.71</v>
      </c>
      <c r="AV33" s="120">
        <v>0.64</v>
      </c>
      <c r="AW33" s="118">
        <v>0.64</v>
      </c>
      <c r="AX33" s="118">
        <v>0</v>
      </c>
      <c r="AY33" s="119">
        <v>1.29</v>
      </c>
      <c r="AZ33" s="120">
        <v>0.45</v>
      </c>
      <c r="BA33" s="118">
        <v>0.99</v>
      </c>
      <c r="BB33" s="118">
        <v>0.16</v>
      </c>
      <c r="BC33" s="119">
        <v>1.59</v>
      </c>
      <c r="BD33" s="121">
        <v>0.56999999999999995</v>
      </c>
      <c r="BE33" s="120">
        <v>0.85</v>
      </c>
      <c r="BF33" s="118">
        <v>0</v>
      </c>
      <c r="BG33" s="118">
        <v>0.45</v>
      </c>
      <c r="BH33" s="119">
        <v>1.3</v>
      </c>
      <c r="BI33" s="120">
        <v>0.65</v>
      </c>
      <c r="BJ33" s="118">
        <v>0.35</v>
      </c>
      <c r="BK33" s="118">
        <v>0.59</v>
      </c>
      <c r="BL33" s="119">
        <v>1.59</v>
      </c>
      <c r="BM33" s="120">
        <v>1.03</v>
      </c>
      <c r="BN33" s="118">
        <v>1.9</v>
      </c>
      <c r="BO33" s="118">
        <v>1.07</v>
      </c>
      <c r="BP33" s="118">
        <v>1.1399999999999999</v>
      </c>
      <c r="BQ33" s="118">
        <v>1.52</v>
      </c>
      <c r="BR33" s="118">
        <v>1.22</v>
      </c>
      <c r="BS33" s="118">
        <v>3.42</v>
      </c>
      <c r="BT33" s="118">
        <v>1.49</v>
      </c>
      <c r="BU33" s="119">
        <v>1.23</v>
      </c>
      <c r="BV33" s="74">
        <v>1887000</v>
      </c>
      <c r="BW33" s="105">
        <v>190</v>
      </c>
      <c r="BX33" s="105">
        <v>1005</v>
      </c>
      <c r="BY33" s="157">
        <v>32.9</v>
      </c>
      <c r="BZ33" s="106">
        <v>28.6</v>
      </c>
      <c r="CA33" s="115">
        <v>6.1199999999999996E-3</v>
      </c>
      <c r="CB33" s="105">
        <v>385</v>
      </c>
      <c r="CC33" s="114">
        <v>1.67E-3</v>
      </c>
      <c r="CD33" s="105">
        <v>385</v>
      </c>
      <c r="CE33" s="99">
        <f t="shared" si="2"/>
        <v>7.0649596965386436E-3</v>
      </c>
      <c r="CF33" s="100">
        <f t="shared" si="0"/>
        <v>1.95</v>
      </c>
    </row>
    <row r="34" spans="1:84" ht="14.25" hidden="1" customHeight="1" x14ac:dyDescent="0.25">
      <c r="A34" s="101">
        <v>33</v>
      </c>
      <c r="B34" s="102"/>
      <c r="C34" s="103" t="s">
        <v>240</v>
      </c>
      <c r="D34" s="104">
        <v>1700</v>
      </c>
      <c r="E34" s="105">
        <v>1110</v>
      </c>
      <c r="F34" s="106">
        <f t="shared" si="1"/>
        <v>1887000</v>
      </c>
      <c r="G34" s="105">
        <v>190</v>
      </c>
      <c r="H34" s="105">
        <v>1005</v>
      </c>
      <c r="I34" s="107">
        <v>1.53</v>
      </c>
      <c r="J34" s="155">
        <v>24</v>
      </c>
      <c r="K34" s="156">
        <v>32.9</v>
      </c>
      <c r="L34" s="157">
        <v>32.9</v>
      </c>
      <c r="M34" s="158">
        <v>1.31</v>
      </c>
      <c r="N34" s="106">
        <v>28.6</v>
      </c>
      <c r="O34" s="112" t="s">
        <v>210</v>
      </c>
      <c r="P34" s="113" t="s">
        <v>202</v>
      </c>
      <c r="Q34" s="114">
        <v>2.7200000000000002E-3</v>
      </c>
      <c r="R34" s="115">
        <v>1.2099999999999999E-3</v>
      </c>
      <c r="S34" s="115">
        <v>6.1199999999999996E-3</v>
      </c>
      <c r="T34" s="105">
        <v>385</v>
      </c>
      <c r="U34" s="113" t="s">
        <v>212</v>
      </c>
      <c r="V34" s="114">
        <v>3.3400000000000001E-3</v>
      </c>
      <c r="W34" s="105">
        <v>385</v>
      </c>
      <c r="X34" s="116">
        <v>378</v>
      </c>
      <c r="Y34" s="160">
        <v>1.96</v>
      </c>
      <c r="Z34" s="110">
        <v>0.5</v>
      </c>
      <c r="AA34" s="162" t="s">
        <v>221</v>
      </c>
      <c r="AB34" s="163"/>
      <c r="AC34" s="109">
        <v>1.8</v>
      </c>
      <c r="AD34" s="112" t="s">
        <v>224</v>
      </c>
      <c r="AE34" s="175">
        <v>1.71</v>
      </c>
      <c r="AF34" s="120">
        <v>1.1200000000000001</v>
      </c>
      <c r="AG34" s="118">
        <v>0.57999999999999996</v>
      </c>
      <c r="AH34" s="118">
        <v>0.49</v>
      </c>
      <c r="AI34" s="119">
        <v>1.96</v>
      </c>
      <c r="AJ34" s="120">
        <v>0.38</v>
      </c>
      <c r="AK34" s="118">
        <v>1.29</v>
      </c>
      <c r="AL34" s="118">
        <v>0</v>
      </c>
      <c r="AM34" s="119">
        <v>1.67</v>
      </c>
      <c r="AN34" s="120">
        <v>1.03</v>
      </c>
      <c r="AO34" s="118">
        <v>0.82</v>
      </c>
      <c r="AP34" s="118">
        <v>0.97</v>
      </c>
      <c r="AQ34" s="119">
        <v>2.41</v>
      </c>
      <c r="AR34" s="120">
        <v>0.96</v>
      </c>
      <c r="AS34" s="118">
        <v>0.7</v>
      </c>
      <c r="AT34" s="118">
        <v>0.49</v>
      </c>
      <c r="AU34" s="119">
        <v>1.71</v>
      </c>
      <c r="AV34" s="120">
        <v>0.64</v>
      </c>
      <c r="AW34" s="118">
        <v>1.29</v>
      </c>
      <c r="AX34" s="118">
        <v>0</v>
      </c>
      <c r="AY34" s="119">
        <v>1.93</v>
      </c>
      <c r="AZ34" s="120">
        <v>0.45</v>
      </c>
      <c r="BA34" s="118">
        <v>1.22</v>
      </c>
      <c r="BB34" s="118">
        <v>0.16</v>
      </c>
      <c r="BC34" s="119">
        <v>1.82</v>
      </c>
      <c r="BD34" s="121">
        <v>0.56999999999999995</v>
      </c>
      <c r="BE34" s="120">
        <v>0.85</v>
      </c>
      <c r="BF34" s="118">
        <v>0</v>
      </c>
      <c r="BG34" s="118">
        <v>0.45</v>
      </c>
      <c r="BH34" s="119">
        <v>1.3</v>
      </c>
      <c r="BI34" s="120">
        <v>0.65</v>
      </c>
      <c r="BJ34" s="118">
        <v>0.26</v>
      </c>
      <c r="BK34" s="118">
        <v>0.59</v>
      </c>
      <c r="BL34" s="119">
        <v>1.5</v>
      </c>
      <c r="BM34" s="120">
        <v>0.87</v>
      </c>
      <c r="BN34" s="118">
        <v>1.02</v>
      </c>
      <c r="BO34" s="118">
        <v>0.71</v>
      </c>
      <c r="BP34" s="118">
        <v>1</v>
      </c>
      <c r="BQ34" s="118">
        <v>0.89</v>
      </c>
      <c r="BR34" s="118">
        <v>0.94</v>
      </c>
      <c r="BS34" s="118">
        <v>3.01</v>
      </c>
      <c r="BT34" s="118">
        <v>1.31</v>
      </c>
      <c r="BU34" s="119">
        <v>1.1399999999999999</v>
      </c>
      <c r="BV34" s="74">
        <v>1887000</v>
      </c>
      <c r="BW34" s="105">
        <v>190</v>
      </c>
      <c r="BX34" s="105">
        <v>1005</v>
      </c>
      <c r="BY34" s="157">
        <v>32.9</v>
      </c>
      <c r="BZ34" s="106">
        <v>28.6</v>
      </c>
      <c r="CA34" s="115">
        <v>6.1199999999999996E-3</v>
      </c>
      <c r="CB34" s="105">
        <v>385</v>
      </c>
      <c r="CC34" s="114">
        <v>3.3400000000000001E-3</v>
      </c>
      <c r="CD34" s="105">
        <v>385</v>
      </c>
      <c r="CE34" s="99">
        <f t="shared" si="2"/>
        <v>6.2114746325272648E-3</v>
      </c>
      <c r="CF34" s="100">
        <f t="shared" si="0"/>
        <v>1.71</v>
      </c>
    </row>
    <row r="35" spans="1:84" ht="14.25" hidden="1" customHeight="1" x14ac:dyDescent="0.25">
      <c r="A35" s="128">
        <v>34</v>
      </c>
      <c r="B35" s="129"/>
      <c r="C35" s="130" t="s">
        <v>241</v>
      </c>
      <c r="D35" s="131">
        <v>1700</v>
      </c>
      <c r="E35" s="132">
        <v>1110</v>
      </c>
      <c r="F35" s="133">
        <f t="shared" si="1"/>
        <v>1887000</v>
      </c>
      <c r="G35" s="132">
        <v>190</v>
      </c>
      <c r="H35" s="132">
        <v>1005</v>
      </c>
      <c r="I35" s="134">
        <v>1.53</v>
      </c>
      <c r="J35" s="164">
        <v>24</v>
      </c>
      <c r="K35" s="165">
        <v>32.9</v>
      </c>
      <c r="L35" s="157">
        <v>32.9</v>
      </c>
      <c r="M35" s="166">
        <v>1.31</v>
      </c>
      <c r="N35" s="133">
        <v>28.6</v>
      </c>
      <c r="O35" s="139" t="s">
        <v>210</v>
      </c>
      <c r="P35" s="140" t="s">
        <v>202</v>
      </c>
      <c r="Q35" s="141">
        <v>2.7200000000000002E-3</v>
      </c>
      <c r="R35" s="142">
        <v>1.2099999999999999E-3</v>
      </c>
      <c r="S35" s="142">
        <v>6.1199999999999996E-3</v>
      </c>
      <c r="T35" s="132">
        <v>385</v>
      </c>
      <c r="U35" s="140" t="s">
        <v>212</v>
      </c>
      <c r="V35" s="141">
        <v>6.6800000000000002E-3</v>
      </c>
      <c r="W35" s="132">
        <v>385</v>
      </c>
      <c r="X35" s="143">
        <v>378</v>
      </c>
      <c r="Y35" s="167">
        <v>1.96</v>
      </c>
      <c r="Z35" s="137">
        <v>0.5</v>
      </c>
      <c r="AA35" s="168" t="s">
        <v>221</v>
      </c>
      <c r="AB35" s="169"/>
      <c r="AC35" s="136">
        <v>2</v>
      </c>
      <c r="AD35" s="176" t="s">
        <v>224</v>
      </c>
      <c r="AE35" s="177">
        <v>2.04</v>
      </c>
      <c r="AF35" s="147">
        <v>1.1200000000000001</v>
      </c>
      <c r="AG35" s="145">
        <v>1.1599999999999999</v>
      </c>
      <c r="AH35" s="145">
        <v>0.49</v>
      </c>
      <c r="AI35" s="146">
        <v>1.96</v>
      </c>
      <c r="AJ35" s="147">
        <v>0.38</v>
      </c>
      <c r="AK35" s="145">
        <v>2.57</v>
      </c>
      <c r="AL35" s="145">
        <v>0</v>
      </c>
      <c r="AM35" s="146">
        <v>2</v>
      </c>
      <c r="AN35" s="147">
        <v>0.93</v>
      </c>
      <c r="AO35" s="145">
        <v>1.65</v>
      </c>
      <c r="AP35" s="145">
        <v>0.97</v>
      </c>
      <c r="AQ35" s="146">
        <v>2.41</v>
      </c>
      <c r="AR35" s="147">
        <v>0.96</v>
      </c>
      <c r="AS35" s="145">
        <v>1.4</v>
      </c>
      <c r="AT35" s="145">
        <v>0.49</v>
      </c>
      <c r="AU35" s="146">
        <v>1.71</v>
      </c>
      <c r="AV35" s="147">
        <v>0.64</v>
      </c>
      <c r="AW35" s="145">
        <v>2.57</v>
      </c>
      <c r="AX35" s="145">
        <v>0</v>
      </c>
      <c r="AY35" s="146">
        <v>3.21</v>
      </c>
      <c r="AZ35" s="147">
        <v>0.45</v>
      </c>
      <c r="BA35" s="145">
        <v>1.53</v>
      </c>
      <c r="BB35" s="145">
        <v>0.16</v>
      </c>
      <c r="BC35" s="146">
        <v>2.13</v>
      </c>
      <c r="BD35" s="148">
        <v>0.56999999999999995</v>
      </c>
      <c r="BE35" s="147">
        <v>0.85</v>
      </c>
      <c r="BF35" s="145">
        <v>0</v>
      </c>
      <c r="BG35" s="145">
        <v>0.45</v>
      </c>
      <c r="BH35" s="146">
        <v>1.3</v>
      </c>
      <c r="BI35" s="147">
        <v>0.65</v>
      </c>
      <c r="BJ35" s="145">
        <v>0.51</v>
      </c>
      <c r="BK35" s="145">
        <v>0.59</v>
      </c>
      <c r="BL35" s="146">
        <v>1.76</v>
      </c>
      <c r="BM35" s="147">
        <v>1.04</v>
      </c>
      <c r="BN35" s="145">
        <v>1.02</v>
      </c>
      <c r="BO35" s="145">
        <v>0.85</v>
      </c>
      <c r="BP35" s="145">
        <v>1.19</v>
      </c>
      <c r="BQ35" s="145">
        <v>0.63</v>
      </c>
      <c r="BR35" s="145">
        <v>0.96</v>
      </c>
      <c r="BS35" s="145">
        <v>3.58</v>
      </c>
      <c r="BT35" s="145">
        <v>1.56</v>
      </c>
      <c r="BU35" s="146">
        <v>1.1599999999999999</v>
      </c>
      <c r="BV35" s="74">
        <v>1887000</v>
      </c>
      <c r="BW35" s="132">
        <v>190</v>
      </c>
      <c r="BX35" s="132">
        <v>1005</v>
      </c>
      <c r="BY35" s="157">
        <v>32.9</v>
      </c>
      <c r="BZ35" s="133">
        <v>28.6</v>
      </c>
      <c r="CA35" s="142">
        <v>6.1199999999999996E-3</v>
      </c>
      <c r="CB35" s="132">
        <v>385</v>
      </c>
      <c r="CC35" s="141">
        <v>6.6800000000000002E-3</v>
      </c>
      <c r="CD35" s="132">
        <v>385</v>
      </c>
      <c r="CE35" s="99">
        <f t="shared" si="2"/>
        <v>7.3968705547652917E-3</v>
      </c>
      <c r="CF35" s="100">
        <f t="shared" si="0"/>
        <v>2.04</v>
      </c>
    </row>
    <row r="36" spans="1:84" ht="14.25" hidden="1" customHeight="1" x14ac:dyDescent="0.25">
      <c r="A36" s="78">
        <v>35</v>
      </c>
      <c r="B36" s="79" t="s">
        <v>242</v>
      </c>
      <c r="C36" s="80" t="s">
        <v>243</v>
      </c>
      <c r="D36" s="81">
        <v>1800</v>
      </c>
      <c r="E36" s="82">
        <v>2000</v>
      </c>
      <c r="F36" s="83">
        <f t="shared" si="1"/>
        <v>3600000</v>
      </c>
      <c r="G36" s="82">
        <v>190</v>
      </c>
      <c r="H36" s="82">
        <v>1905</v>
      </c>
      <c r="I36" s="84">
        <v>0.9</v>
      </c>
      <c r="J36" s="149">
        <v>24</v>
      </c>
      <c r="K36" s="150">
        <v>32.9</v>
      </c>
      <c r="L36" s="151">
        <v>32.9</v>
      </c>
      <c r="M36" s="152">
        <v>1.04</v>
      </c>
      <c r="N36" s="83">
        <v>17.899999999999999</v>
      </c>
      <c r="O36" s="89" t="s">
        <v>210</v>
      </c>
      <c r="P36" s="90" t="s">
        <v>211</v>
      </c>
      <c r="Q36" s="91">
        <v>1.49E-3</v>
      </c>
      <c r="R36" s="92">
        <v>2.9199999999999999E-3</v>
      </c>
      <c r="S36" s="92">
        <v>5.0899999999999999E-3</v>
      </c>
      <c r="T36" s="82">
        <v>379</v>
      </c>
      <c r="U36" s="90" t="s">
        <v>212</v>
      </c>
      <c r="V36" s="91">
        <v>1.67E-3</v>
      </c>
      <c r="W36" s="82">
        <v>354</v>
      </c>
      <c r="X36" s="93">
        <v>400</v>
      </c>
      <c r="Y36" s="94">
        <v>0</v>
      </c>
      <c r="Z36" s="87">
        <v>0.5</v>
      </c>
      <c r="AA36" s="170" t="s">
        <v>221</v>
      </c>
      <c r="AB36" s="171"/>
      <c r="AC36" s="172">
        <v>2</v>
      </c>
      <c r="AD36" s="112" t="s">
        <v>224</v>
      </c>
      <c r="AE36" s="173">
        <v>2.68</v>
      </c>
      <c r="AF36" s="97">
        <v>1.1100000000000001</v>
      </c>
      <c r="AG36" s="95">
        <v>0.28000000000000003</v>
      </c>
      <c r="AH36" s="95">
        <v>0</v>
      </c>
      <c r="AI36" s="96">
        <v>1.4</v>
      </c>
      <c r="AJ36" s="97">
        <v>0.21</v>
      </c>
      <c r="AK36" s="95">
        <v>0.63</v>
      </c>
      <c r="AL36" s="95">
        <v>0</v>
      </c>
      <c r="AM36" s="96">
        <v>0.84</v>
      </c>
      <c r="AN36" s="97">
        <v>0.77</v>
      </c>
      <c r="AO36" s="95">
        <v>0.38</v>
      </c>
      <c r="AP36" s="95">
        <v>0</v>
      </c>
      <c r="AQ36" s="96">
        <v>1.1499999999999999</v>
      </c>
      <c r="AR36" s="97">
        <v>1</v>
      </c>
      <c r="AS36" s="95">
        <v>0.34</v>
      </c>
      <c r="AT36" s="95">
        <v>0</v>
      </c>
      <c r="AU36" s="96">
        <v>1.34</v>
      </c>
      <c r="AV36" s="97">
        <v>0.72</v>
      </c>
      <c r="AW36" s="95">
        <v>0.59</v>
      </c>
      <c r="AX36" s="95">
        <v>0</v>
      </c>
      <c r="AY36" s="96">
        <v>1.31</v>
      </c>
      <c r="AZ36" s="97">
        <v>0.31</v>
      </c>
      <c r="BA36" s="95">
        <v>1.28</v>
      </c>
      <c r="BB36" s="95">
        <v>0</v>
      </c>
      <c r="BC36" s="96">
        <v>1.6</v>
      </c>
      <c r="BD36" s="98">
        <v>0.64</v>
      </c>
      <c r="BE36" s="97">
        <v>1.1599999999999999</v>
      </c>
      <c r="BF36" s="95">
        <v>0</v>
      </c>
      <c r="BG36" s="95">
        <v>0</v>
      </c>
      <c r="BH36" s="96">
        <v>1.1599999999999999</v>
      </c>
      <c r="BI36" s="97">
        <v>0.52</v>
      </c>
      <c r="BJ36" s="95">
        <v>0.36</v>
      </c>
      <c r="BK36" s="95">
        <v>0</v>
      </c>
      <c r="BL36" s="96">
        <v>0.88</v>
      </c>
      <c r="BM36" s="97">
        <v>1.92</v>
      </c>
      <c r="BN36" s="95">
        <v>3.2</v>
      </c>
      <c r="BO36" s="95">
        <v>2.33</v>
      </c>
      <c r="BP36" s="95">
        <v>2</v>
      </c>
      <c r="BQ36" s="95">
        <v>2.04</v>
      </c>
      <c r="BR36" s="95">
        <v>1.68</v>
      </c>
      <c r="BS36" s="95">
        <v>4.1900000000000004</v>
      </c>
      <c r="BT36" s="95">
        <v>2.31</v>
      </c>
      <c r="BU36" s="96">
        <v>3.06</v>
      </c>
      <c r="BV36" s="74">
        <v>3600000</v>
      </c>
      <c r="BW36" s="82">
        <v>190</v>
      </c>
      <c r="BX36" s="82">
        <v>1905</v>
      </c>
      <c r="BY36" s="151">
        <v>32.9</v>
      </c>
      <c r="BZ36" s="83">
        <v>17.899999999999999</v>
      </c>
      <c r="CA36" s="92">
        <v>5.0899999999999999E-3</v>
      </c>
      <c r="CB36" s="82">
        <v>379</v>
      </c>
      <c r="CC36" s="91">
        <v>1.67E-3</v>
      </c>
      <c r="CD36" s="82">
        <v>354</v>
      </c>
      <c r="CE36" s="99">
        <f t="shared" si="2"/>
        <v>6.0789473684210527E-3</v>
      </c>
      <c r="CF36" s="100">
        <f t="shared" si="0"/>
        <v>2.68</v>
      </c>
    </row>
    <row r="37" spans="1:84" ht="14.25" hidden="1" customHeight="1" x14ac:dyDescent="0.25">
      <c r="A37" s="101">
        <v>36</v>
      </c>
      <c r="B37" s="102"/>
      <c r="C37" s="103" t="s">
        <v>244</v>
      </c>
      <c r="D37" s="104">
        <v>1800</v>
      </c>
      <c r="E37" s="105">
        <v>1200</v>
      </c>
      <c r="F37" s="106">
        <f t="shared" si="1"/>
        <v>2160000</v>
      </c>
      <c r="G37" s="105">
        <v>190</v>
      </c>
      <c r="H37" s="105">
        <v>1105</v>
      </c>
      <c r="I37" s="107">
        <v>1.5</v>
      </c>
      <c r="J37" s="155">
        <v>24</v>
      </c>
      <c r="K37" s="156">
        <v>32.9</v>
      </c>
      <c r="L37" s="157">
        <v>32.9</v>
      </c>
      <c r="M37" s="158">
        <v>1.18</v>
      </c>
      <c r="N37" s="106">
        <v>22.8</v>
      </c>
      <c r="O37" s="112" t="s">
        <v>210</v>
      </c>
      <c r="P37" s="113" t="s">
        <v>211</v>
      </c>
      <c r="Q37" s="114">
        <v>2.49E-3</v>
      </c>
      <c r="R37" s="115">
        <v>3.16E-3</v>
      </c>
      <c r="S37" s="115">
        <v>6.7400000000000003E-3</v>
      </c>
      <c r="T37" s="105">
        <v>379</v>
      </c>
      <c r="U37" s="113" t="s">
        <v>212</v>
      </c>
      <c r="V37" s="114">
        <v>1.67E-3</v>
      </c>
      <c r="W37" s="105">
        <v>354</v>
      </c>
      <c r="X37" s="116">
        <v>400</v>
      </c>
      <c r="Y37" s="160">
        <v>1.96</v>
      </c>
      <c r="Z37" s="110">
        <v>0.5</v>
      </c>
      <c r="AA37" s="162" t="s">
        <v>221</v>
      </c>
      <c r="AB37" s="163"/>
      <c r="AC37" s="174">
        <v>2</v>
      </c>
      <c r="AD37" s="112" t="s">
        <v>224</v>
      </c>
      <c r="AE37" s="175">
        <v>1.97</v>
      </c>
      <c r="AF37" s="120">
        <v>1.02</v>
      </c>
      <c r="AG37" s="118">
        <v>0.27</v>
      </c>
      <c r="AH37" s="118">
        <v>0.49</v>
      </c>
      <c r="AI37" s="119">
        <v>1.78</v>
      </c>
      <c r="AJ37" s="120">
        <v>0.38</v>
      </c>
      <c r="AK37" s="118">
        <v>0.59</v>
      </c>
      <c r="AL37" s="118">
        <v>0</v>
      </c>
      <c r="AM37" s="119">
        <v>0.98</v>
      </c>
      <c r="AN37" s="120">
        <v>0.78</v>
      </c>
      <c r="AO37" s="118">
        <v>0.38</v>
      </c>
      <c r="AP37" s="118">
        <v>0.99</v>
      </c>
      <c r="AQ37" s="119">
        <v>2.15</v>
      </c>
      <c r="AR37" s="120">
        <v>0.88</v>
      </c>
      <c r="AS37" s="118">
        <v>0.33</v>
      </c>
      <c r="AT37" s="118">
        <v>0.49</v>
      </c>
      <c r="AU37" s="119">
        <v>1.53</v>
      </c>
      <c r="AV37" s="120">
        <v>0.59</v>
      </c>
      <c r="AW37" s="118">
        <v>0.59</v>
      </c>
      <c r="AX37" s="118">
        <v>0</v>
      </c>
      <c r="AY37" s="119">
        <v>1.18</v>
      </c>
      <c r="AZ37" s="120">
        <v>0.39</v>
      </c>
      <c r="BA37" s="118">
        <v>1.27</v>
      </c>
      <c r="BB37" s="118">
        <v>0.16</v>
      </c>
      <c r="BC37" s="119">
        <v>1.81</v>
      </c>
      <c r="BD37" s="121">
        <v>0.57999999999999996</v>
      </c>
      <c r="BE37" s="120">
        <v>0.79</v>
      </c>
      <c r="BF37" s="118">
        <v>0</v>
      </c>
      <c r="BG37" s="118">
        <v>0.45</v>
      </c>
      <c r="BH37" s="119">
        <v>1.24</v>
      </c>
      <c r="BI37" s="120">
        <v>0.59</v>
      </c>
      <c r="BJ37" s="118">
        <v>0.36</v>
      </c>
      <c r="BK37" s="118">
        <v>0.59</v>
      </c>
      <c r="BL37" s="119">
        <v>1.53</v>
      </c>
      <c r="BM37" s="120">
        <v>1.1100000000000001</v>
      </c>
      <c r="BN37" s="118">
        <v>2.02</v>
      </c>
      <c r="BO37" s="118">
        <v>0.92</v>
      </c>
      <c r="BP37" s="118">
        <v>1.29</v>
      </c>
      <c r="BQ37" s="118">
        <v>1.66</v>
      </c>
      <c r="BR37" s="118">
        <v>1.0900000000000001</v>
      </c>
      <c r="BS37" s="118">
        <v>3.4</v>
      </c>
      <c r="BT37" s="118">
        <v>1.59</v>
      </c>
      <c r="BU37" s="119">
        <v>1.28</v>
      </c>
      <c r="BV37" s="74">
        <v>2160000</v>
      </c>
      <c r="BW37" s="105">
        <v>190</v>
      </c>
      <c r="BX37" s="105">
        <v>1105</v>
      </c>
      <c r="BY37" s="157">
        <v>32.9</v>
      </c>
      <c r="BZ37" s="106">
        <v>22.8</v>
      </c>
      <c r="CA37" s="115">
        <v>6.7400000000000003E-3</v>
      </c>
      <c r="CB37" s="105">
        <v>379</v>
      </c>
      <c r="CC37" s="114">
        <v>1.67E-3</v>
      </c>
      <c r="CD37" s="105">
        <v>354</v>
      </c>
      <c r="CE37" s="99">
        <f t="shared" si="2"/>
        <v>6.9736842105263168E-3</v>
      </c>
      <c r="CF37" s="100">
        <f t="shared" si="0"/>
        <v>1.97</v>
      </c>
    </row>
    <row r="38" spans="1:84" ht="14.25" hidden="1" customHeight="1" x14ac:dyDescent="0.25">
      <c r="A38" s="101">
        <v>37</v>
      </c>
      <c r="B38" s="102"/>
      <c r="C38" s="103" t="s">
        <v>245</v>
      </c>
      <c r="D38" s="104">
        <v>1800</v>
      </c>
      <c r="E38" s="105">
        <v>800</v>
      </c>
      <c r="F38" s="106">
        <f t="shared" si="1"/>
        <v>1440000</v>
      </c>
      <c r="G38" s="105">
        <v>190</v>
      </c>
      <c r="H38" s="105">
        <v>705</v>
      </c>
      <c r="I38" s="107">
        <v>2.25</v>
      </c>
      <c r="J38" s="155">
        <v>24</v>
      </c>
      <c r="K38" s="156">
        <v>32.9</v>
      </c>
      <c r="L38" s="157">
        <v>32.9</v>
      </c>
      <c r="M38" s="158">
        <v>1.04</v>
      </c>
      <c r="N38" s="106">
        <v>17.899999999999999</v>
      </c>
      <c r="O38" s="112" t="s">
        <v>210</v>
      </c>
      <c r="P38" s="113" t="s">
        <v>211</v>
      </c>
      <c r="Q38" s="114">
        <v>3.7399999999999998E-3</v>
      </c>
      <c r="R38" s="115">
        <v>3.5100000000000001E-3</v>
      </c>
      <c r="S38" s="115">
        <v>8.7899999999999992E-3</v>
      </c>
      <c r="T38" s="105">
        <v>379</v>
      </c>
      <c r="U38" s="113" t="s">
        <v>212</v>
      </c>
      <c r="V38" s="114">
        <v>1.67E-3</v>
      </c>
      <c r="W38" s="105">
        <v>354</v>
      </c>
      <c r="X38" s="116">
        <v>400</v>
      </c>
      <c r="Y38" s="117">
        <v>0</v>
      </c>
      <c r="Z38" s="110">
        <v>0.5</v>
      </c>
      <c r="AA38" s="162" t="s">
        <v>221</v>
      </c>
      <c r="AB38" s="163"/>
      <c r="AC38" s="174">
        <v>2</v>
      </c>
      <c r="AD38" s="112" t="s">
        <v>224</v>
      </c>
      <c r="AE38" s="175">
        <v>2.04</v>
      </c>
      <c r="AF38" s="120">
        <v>0.79</v>
      </c>
      <c r="AG38" s="118">
        <v>0.26</v>
      </c>
      <c r="AH38" s="118">
        <v>0</v>
      </c>
      <c r="AI38" s="119">
        <v>1.05</v>
      </c>
      <c r="AJ38" s="120">
        <v>0.21</v>
      </c>
      <c r="AK38" s="118">
        <v>0.59</v>
      </c>
      <c r="AL38" s="118">
        <v>0</v>
      </c>
      <c r="AM38" s="119">
        <v>0.8</v>
      </c>
      <c r="AN38" s="120">
        <v>0.67</v>
      </c>
      <c r="AO38" s="118">
        <v>0.38</v>
      </c>
      <c r="AP38" s="118">
        <v>0</v>
      </c>
      <c r="AQ38" s="119">
        <v>1.05</v>
      </c>
      <c r="AR38" s="120">
        <v>0.6</v>
      </c>
      <c r="AS38" s="118">
        <v>0.31</v>
      </c>
      <c r="AT38" s="118">
        <v>0</v>
      </c>
      <c r="AU38" s="119">
        <v>0.91</v>
      </c>
      <c r="AV38" s="120">
        <v>0.42</v>
      </c>
      <c r="AW38" s="118">
        <v>0.59</v>
      </c>
      <c r="AX38" s="118">
        <v>0</v>
      </c>
      <c r="AY38" s="119">
        <v>1.01</v>
      </c>
      <c r="AZ38" s="120">
        <v>0.32</v>
      </c>
      <c r="BA38" s="118">
        <v>1.25</v>
      </c>
      <c r="BB38" s="118">
        <v>0</v>
      </c>
      <c r="BC38" s="119">
        <v>1.57</v>
      </c>
      <c r="BD38" s="121">
        <v>0.52</v>
      </c>
      <c r="BE38" s="120">
        <v>0.46</v>
      </c>
      <c r="BF38" s="118">
        <v>0</v>
      </c>
      <c r="BG38" s="118">
        <v>0</v>
      </c>
      <c r="BH38" s="119">
        <v>0.46</v>
      </c>
      <c r="BI38" s="120">
        <v>0.52</v>
      </c>
      <c r="BJ38" s="118">
        <v>0.36</v>
      </c>
      <c r="BK38" s="118">
        <v>0</v>
      </c>
      <c r="BL38" s="119">
        <v>0.88</v>
      </c>
      <c r="BM38" s="120">
        <v>1.94</v>
      </c>
      <c r="BN38" s="118">
        <v>2.54</v>
      </c>
      <c r="BO38" s="118">
        <v>1.94</v>
      </c>
      <c r="BP38" s="118">
        <v>2.2400000000000002</v>
      </c>
      <c r="BQ38" s="118">
        <v>2.0099999999999998</v>
      </c>
      <c r="BR38" s="118">
        <v>1.3</v>
      </c>
      <c r="BS38" s="118">
        <v>3.92</v>
      </c>
      <c r="BT38" s="118">
        <v>4.4000000000000004</v>
      </c>
      <c r="BU38" s="119">
        <v>2.33</v>
      </c>
      <c r="BV38" s="74">
        <v>1440000</v>
      </c>
      <c r="BW38" s="105">
        <v>190</v>
      </c>
      <c r="BX38" s="105">
        <v>705</v>
      </c>
      <c r="BY38" s="157">
        <v>32.9</v>
      </c>
      <c r="BZ38" s="106">
        <v>17.899999999999999</v>
      </c>
      <c r="CA38" s="115">
        <v>8.7899999999999992E-3</v>
      </c>
      <c r="CB38" s="105">
        <v>379</v>
      </c>
      <c r="CC38" s="114">
        <v>1.67E-3</v>
      </c>
      <c r="CD38" s="105">
        <v>354</v>
      </c>
      <c r="CE38" s="99">
        <f t="shared" si="2"/>
        <v>2.8947368421052635E-2</v>
      </c>
      <c r="CF38" s="100">
        <f t="shared" si="0"/>
        <v>2.04</v>
      </c>
    </row>
    <row r="39" spans="1:84" ht="14.25" hidden="1" customHeight="1" x14ac:dyDescent="0.25">
      <c r="A39" s="122">
        <v>38</v>
      </c>
      <c r="B39" s="102"/>
      <c r="C39" s="103" t="s">
        <v>246</v>
      </c>
      <c r="D39" s="123">
        <v>1800</v>
      </c>
      <c r="E39" s="124">
        <v>1200</v>
      </c>
      <c r="F39" s="106">
        <f t="shared" si="1"/>
        <v>2160000</v>
      </c>
      <c r="G39" s="124">
        <v>190</v>
      </c>
      <c r="H39" s="124">
        <v>1105</v>
      </c>
      <c r="I39" s="107">
        <v>1.5</v>
      </c>
      <c r="J39" s="155">
        <v>24</v>
      </c>
      <c r="K39" s="156">
        <v>32.9</v>
      </c>
      <c r="L39" s="157">
        <v>32.9</v>
      </c>
      <c r="M39" s="158">
        <v>1.18</v>
      </c>
      <c r="N39" s="106">
        <v>22.8</v>
      </c>
      <c r="O39" s="112" t="s">
        <v>210</v>
      </c>
      <c r="P39" s="113" t="s">
        <v>211</v>
      </c>
      <c r="Q39" s="114">
        <v>2.49E-3</v>
      </c>
      <c r="R39" s="115">
        <v>3.16E-3</v>
      </c>
      <c r="S39" s="115">
        <v>6.7400000000000003E-3</v>
      </c>
      <c r="T39" s="105">
        <v>379</v>
      </c>
      <c r="U39" s="113" t="s">
        <v>212</v>
      </c>
      <c r="V39" s="114">
        <v>1.67E-3</v>
      </c>
      <c r="W39" s="105">
        <v>354</v>
      </c>
      <c r="X39" s="116">
        <v>400</v>
      </c>
      <c r="Y39" s="160">
        <v>3.92</v>
      </c>
      <c r="Z39" s="110">
        <v>0.5</v>
      </c>
      <c r="AA39" s="162" t="s">
        <v>221</v>
      </c>
      <c r="AB39" s="163"/>
      <c r="AC39" s="174">
        <v>2</v>
      </c>
      <c r="AD39" s="112" t="s">
        <v>224</v>
      </c>
      <c r="AE39" s="175">
        <v>2.4</v>
      </c>
      <c r="AF39" s="120">
        <v>1.02</v>
      </c>
      <c r="AG39" s="118">
        <v>0.27</v>
      </c>
      <c r="AH39" s="118">
        <v>0.98</v>
      </c>
      <c r="AI39" s="119">
        <v>1.78</v>
      </c>
      <c r="AJ39" s="120">
        <v>0.38</v>
      </c>
      <c r="AK39" s="118">
        <v>0.59</v>
      </c>
      <c r="AL39" s="118">
        <v>0</v>
      </c>
      <c r="AM39" s="119">
        <v>0.98</v>
      </c>
      <c r="AN39" s="120">
        <v>0.78</v>
      </c>
      <c r="AO39" s="118">
        <v>0.38</v>
      </c>
      <c r="AP39" s="118">
        <v>1.89</v>
      </c>
      <c r="AQ39" s="119">
        <v>2.15</v>
      </c>
      <c r="AR39" s="120">
        <v>0.88</v>
      </c>
      <c r="AS39" s="118">
        <v>0.33</v>
      </c>
      <c r="AT39" s="118">
        <v>0.98</v>
      </c>
      <c r="AU39" s="119">
        <v>1.53</v>
      </c>
      <c r="AV39" s="120">
        <v>0.59</v>
      </c>
      <c r="AW39" s="118">
        <v>0.59</v>
      </c>
      <c r="AX39" s="118">
        <v>0</v>
      </c>
      <c r="AY39" s="119">
        <v>1.18</v>
      </c>
      <c r="AZ39" s="120">
        <v>0.39</v>
      </c>
      <c r="BA39" s="118">
        <v>1.27</v>
      </c>
      <c r="BB39" s="118">
        <v>0.32</v>
      </c>
      <c r="BC39" s="119">
        <v>1.97</v>
      </c>
      <c r="BD39" s="121">
        <v>0.57999999999999996</v>
      </c>
      <c r="BE39" s="120">
        <v>0.79</v>
      </c>
      <c r="BF39" s="118">
        <v>0</v>
      </c>
      <c r="BG39" s="118">
        <v>0.9</v>
      </c>
      <c r="BH39" s="119">
        <v>1.69</v>
      </c>
      <c r="BI39" s="120">
        <v>0.59</v>
      </c>
      <c r="BJ39" s="118">
        <v>0.36</v>
      </c>
      <c r="BK39" s="118">
        <v>1.18</v>
      </c>
      <c r="BL39" s="119">
        <v>2.12</v>
      </c>
      <c r="BM39" s="120">
        <v>1.35</v>
      </c>
      <c r="BN39" s="118">
        <v>2.46</v>
      </c>
      <c r="BO39" s="118">
        <v>1.1200000000000001</v>
      </c>
      <c r="BP39" s="118">
        <v>1.57</v>
      </c>
      <c r="BQ39" s="118">
        <v>2.02</v>
      </c>
      <c r="BR39" s="118">
        <v>1.22</v>
      </c>
      <c r="BS39" s="118">
        <v>4.1399999999999997</v>
      </c>
      <c r="BT39" s="118">
        <v>1.42</v>
      </c>
      <c r="BU39" s="119">
        <v>1.1299999999999999</v>
      </c>
      <c r="BV39" s="74">
        <v>2160000</v>
      </c>
      <c r="BW39" s="124">
        <v>190</v>
      </c>
      <c r="BX39" s="124">
        <v>1105</v>
      </c>
      <c r="BY39" s="157">
        <v>32.9</v>
      </c>
      <c r="BZ39" s="106">
        <v>22.8</v>
      </c>
      <c r="CA39" s="115">
        <v>6.7400000000000003E-3</v>
      </c>
      <c r="CB39" s="105">
        <v>379</v>
      </c>
      <c r="CC39" s="114">
        <v>1.67E-3</v>
      </c>
      <c r="CD39" s="105">
        <v>354</v>
      </c>
      <c r="CE39" s="99">
        <f t="shared" si="2"/>
        <v>6.2280701754385956E-3</v>
      </c>
      <c r="CF39" s="100">
        <f t="shared" si="0"/>
        <v>2.4</v>
      </c>
    </row>
    <row r="40" spans="1:84" ht="14.25" hidden="1" customHeight="1" x14ac:dyDescent="0.25">
      <c r="A40" s="122">
        <v>39</v>
      </c>
      <c r="B40" s="102"/>
      <c r="C40" s="103" t="s">
        <v>247</v>
      </c>
      <c r="D40" s="123">
        <v>1800</v>
      </c>
      <c r="E40" s="124">
        <v>1200</v>
      </c>
      <c r="F40" s="106">
        <f t="shared" si="1"/>
        <v>2160000</v>
      </c>
      <c r="G40" s="124">
        <v>190</v>
      </c>
      <c r="H40" s="124">
        <v>1105</v>
      </c>
      <c r="I40" s="107">
        <v>1.5</v>
      </c>
      <c r="J40" s="155">
        <v>24</v>
      </c>
      <c r="K40" s="156">
        <v>32.9</v>
      </c>
      <c r="L40" s="157">
        <v>32.9</v>
      </c>
      <c r="M40" s="158">
        <v>1.18</v>
      </c>
      <c r="N40" s="106">
        <v>22.8</v>
      </c>
      <c r="O40" s="112" t="s">
        <v>210</v>
      </c>
      <c r="P40" s="113" t="s">
        <v>211</v>
      </c>
      <c r="Q40" s="114">
        <v>2.49E-3</v>
      </c>
      <c r="R40" s="115">
        <v>3.16E-3</v>
      </c>
      <c r="S40" s="115">
        <v>6.7400000000000003E-3</v>
      </c>
      <c r="T40" s="105">
        <v>379</v>
      </c>
      <c r="U40" s="113" t="s">
        <v>212</v>
      </c>
      <c r="V40" s="114">
        <v>1.67E-3</v>
      </c>
      <c r="W40" s="105">
        <v>354</v>
      </c>
      <c r="X40" s="116">
        <v>400</v>
      </c>
      <c r="Y40" s="160">
        <v>5.87</v>
      </c>
      <c r="Z40" s="110">
        <v>0.5</v>
      </c>
      <c r="AA40" s="162" t="s">
        <v>221</v>
      </c>
      <c r="AB40" s="163"/>
      <c r="AC40" s="174">
        <v>2</v>
      </c>
      <c r="AD40" s="112" t="s">
        <v>224</v>
      </c>
      <c r="AE40" s="175">
        <v>2.61</v>
      </c>
      <c r="AF40" s="120">
        <v>1.02</v>
      </c>
      <c r="AG40" s="118">
        <v>0.27</v>
      </c>
      <c r="AH40" s="118">
        <v>1.47</v>
      </c>
      <c r="AI40" s="119">
        <v>1.78</v>
      </c>
      <c r="AJ40" s="120">
        <v>0.38</v>
      </c>
      <c r="AK40" s="118">
        <v>0.59</v>
      </c>
      <c r="AL40" s="118">
        <v>0</v>
      </c>
      <c r="AM40" s="119">
        <v>0.98</v>
      </c>
      <c r="AN40" s="120">
        <v>0.78</v>
      </c>
      <c r="AO40" s="118">
        <v>0.38</v>
      </c>
      <c r="AP40" s="118">
        <v>2.71</v>
      </c>
      <c r="AQ40" s="119">
        <v>2.15</v>
      </c>
      <c r="AR40" s="120">
        <v>0.88</v>
      </c>
      <c r="AS40" s="118">
        <v>0.33</v>
      </c>
      <c r="AT40" s="118">
        <v>1.47</v>
      </c>
      <c r="AU40" s="119">
        <v>1.53</v>
      </c>
      <c r="AV40" s="120">
        <v>0.59</v>
      </c>
      <c r="AW40" s="118">
        <v>0.59</v>
      </c>
      <c r="AX40" s="118">
        <v>0</v>
      </c>
      <c r="AY40" s="119">
        <v>1.18</v>
      </c>
      <c r="AZ40" s="120">
        <v>0.39</v>
      </c>
      <c r="BA40" s="118">
        <v>1.27</v>
      </c>
      <c r="BB40" s="118">
        <v>0.47</v>
      </c>
      <c r="BC40" s="119">
        <v>2.13</v>
      </c>
      <c r="BD40" s="121">
        <v>0.57999999999999996</v>
      </c>
      <c r="BE40" s="120">
        <v>0.79</v>
      </c>
      <c r="BF40" s="118">
        <v>0</v>
      </c>
      <c r="BG40" s="118">
        <v>1.35</v>
      </c>
      <c r="BH40" s="119">
        <v>2.14</v>
      </c>
      <c r="BI40" s="120">
        <v>0.59</v>
      </c>
      <c r="BJ40" s="118">
        <v>0.36</v>
      </c>
      <c r="BK40" s="118">
        <v>1.76</v>
      </c>
      <c r="BL40" s="119">
        <v>2.15</v>
      </c>
      <c r="BM40" s="120">
        <v>1.47</v>
      </c>
      <c r="BN40" s="118">
        <v>2.68</v>
      </c>
      <c r="BO40" s="118">
        <v>1.21</v>
      </c>
      <c r="BP40" s="118">
        <v>1.71</v>
      </c>
      <c r="BQ40" s="118">
        <v>2.2000000000000002</v>
      </c>
      <c r="BR40" s="118">
        <v>1.23</v>
      </c>
      <c r="BS40" s="118">
        <v>4.5</v>
      </c>
      <c r="BT40" s="118">
        <v>1.22</v>
      </c>
      <c r="BU40" s="119">
        <v>1.22</v>
      </c>
      <c r="BV40" s="74">
        <v>2160000</v>
      </c>
      <c r="BW40" s="124">
        <v>190</v>
      </c>
      <c r="BX40" s="124">
        <v>1105</v>
      </c>
      <c r="BY40" s="157">
        <v>32.9</v>
      </c>
      <c r="BZ40" s="106">
        <v>22.8</v>
      </c>
      <c r="CA40" s="115">
        <v>6.7400000000000003E-3</v>
      </c>
      <c r="CB40" s="105">
        <v>379</v>
      </c>
      <c r="CC40" s="114">
        <v>1.67E-3</v>
      </c>
      <c r="CD40" s="105">
        <v>354</v>
      </c>
      <c r="CE40" s="99">
        <f t="shared" si="2"/>
        <v>5.3508771929824559E-3</v>
      </c>
      <c r="CF40" s="100">
        <f t="shared" si="0"/>
        <v>2.61</v>
      </c>
    </row>
    <row r="41" spans="1:84" ht="14.25" hidden="1" customHeight="1" x14ac:dyDescent="0.25">
      <c r="A41" s="101">
        <v>40</v>
      </c>
      <c r="B41" s="102"/>
      <c r="C41" s="103" t="s">
        <v>248</v>
      </c>
      <c r="D41" s="104">
        <v>1800</v>
      </c>
      <c r="E41" s="105">
        <v>2000</v>
      </c>
      <c r="F41" s="106">
        <f t="shared" si="1"/>
        <v>3600000</v>
      </c>
      <c r="G41" s="105">
        <v>190</v>
      </c>
      <c r="H41" s="105">
        <v>1905</v>
      </c>
      <c r="I41" s="107">
        <v>0.9</v>
      </c>
      <c r="J41" s="155">
        <v>24</v>
      </c>
      <c r="K41" s="156">
        <v>32.9</v>
      </c>
      <c r="L41" s="157">
        <v>32.9</v>
      </c>
      <c r="M41" s="158">
        <v>1.27</v>
      </c>
      <c r="N41" s="106">
        <v>26.7</v>
      </c>
      <c r="O41" s="112" t="s">
        <v>210</v>
      </c>
      <c r="P41" s="113" t="s">
        <v>211</v>
      </c>
      <c r="Q41" s="114">
        <v>1.49E-3</v>
      </c>
      <c r="R41" s="115">
        <v>2.9199999999999999E-3</v>
      </c>
      <c r="S41" s="115">
        <v>5.0899999999999999E-3</v>
      </c>
      <c r="T41" s="105">
        <v>375</v>
      </c>
      <c r="U41" s="113" t="s">
        <v>212</v>
      </c>
      <c r="V41" s="114">
        <v>1.67E-3</v>
      </c>
      <c r="W41" s="105">
        <v>354</v>
      </c>
      <c r="X41" s="116">
        <v>400</v>
      </c>
      <c r="Y41" s="117">
        <v>0</v>
      </c>
      <c r="Z41" s="110">
        <v>0.5</v>
      </c>
      <c r="AA41" s="162" t="s">
        <v>221</v>
      </c>
      <c r="AB41" s="163"/>
      <c r="AC41" s="174">
        <v>2</v>
      </c>
      <c r="AD41" s="112" t="s">
        <v>224</v>
      </c>
      <c r="AE41" s="175">
        <v>3.12</v>
      </c>
      <c r="AF41" s="120">
        <v>1.36</v>
      </c>
      <c r="AG41" s="118">
        <v>0.28000000000000003</v>
      </c>
      <c r="AH41" s="118">
        <v>0</v>
      </c>
      <c r="AI41" s="119">
        <v>1.64</v>
      </c>
      <c r="AJ41" s="120">
        <v>0.21</v>
      </c>
      <c r="AK41" s="118">
        <v>0.59</v>
      </c>
      <c r="AL41" s="118">
        <v>0</v>
      </c>
      <c r="AM41" s="119">
        <v>0.8</v>
      </c>
      <c r="AN41" s="120">
        <v>0.94</v>
      </c>
      <c r="AO41" s="118">
        <v>0.38</v>
      </c>
      <c r="AP41" s="118">
        <v>0</v>
      </c>
      <c r="AQ41" s="119">
        <v>1.32</v>
      </c>
      <c r="AR41" s="120">
        <v>1.22</v>
      </c>
      <c r="AS41" s="118">
        <v>0.34</v>
      </c>
      <c r="AT41" s="118">
        <v>0</v>
      </c>
      <c r="AU41" s="119">
        <v>1.56</v>
      </c>
      <c r="AV41" s="120">
        <v>0.88</v>
      </c>
      <c r="AW41" s="118">
        <v>0.59</v>
      </c>
      <c r="AX41" s="118">
        <v>0</v>
      </c>
      <c r="AY41" s="119">
        <v>1.47</v>
      </c>
      <c r="AZ41" s="120">
        <v>0.39</v>
      </c>
      <c r="BA41" s="118">
        <v>1.28</v>
      </c>
      <c r="BB41" s="118">
        <v>0</v>
      </c>
      <c r="BC41" s="119">
        <v>1.67</v>
      </c>
      <c r="BD41" s="121">
        <v>0.69</v>
      </c>
      <c r="BE41" s="120">
        <v>1.41</v>
      </c>
      <c r="BF41" s="118">
        <v>0</v>
      </c>
      <c r="BG41" s="118">
        <v>0</v>
      </c>
      <c r="BH41" s="119">
        <v>1.41</v>
      </c>
      <c r="BI41" s="120">
        <v>0.63</v>
      </c>
      <c r="BJ41" s="118">
        <v>0.36</v>
      </c>
      <c r="BK41" s="118">
        <v>0</v>
      </c>
      <c r="BL41" s="119">
        <v>0.99</v>
      </c>
      <c r="BM41" s="120">
        <v>1.9</v>
      </c>
      <c r="BN41" s="118">
        <v>3.89</v>
      </c>
      <c r="BO41" s="118">
        <v>2.37</v>
      </c>
      <c r="BP41" s="118">
        <v>2</v>
      </c>
      <c r="BQ41" s="118">
        <v>2.12</v>
      </c>
      <c r="BR41" s="118">
        <v>1.87</v>
      </c>
      <c r="BS41" s="118">
        <v>4.53</v>
      </c>
      <c r="BT41" s="118">
        <v>2.21</v>
      </c>
      <c r="BU41" s="119">
        <v>3.15</v>
      </c>
      <c r="BV41" s="74">
        <v>3600000</v>
      </c>
      <c r="BW41" s="105">
        <v>190</v>
      </c>
      <c r="BX41" s="105">
        <v>1905</v>
      </c>
      <c r="BY41" s="157">
        <v>32.9</v>
      </c>
      <c r="BZ41" s="106">
        <v>26.7</v>
      </c>
      <c r="CA41" s="115">
        <v>5.0899999999999999E-3</v>
      </c>
      <c r="CB41" s="105">
        <v>375</v>
      </c>
      <c r="CC41" s="114">
        <v>1.67E-3</v>
      </c>
      <c r="CD41" s="105">
        <v>354</v>
      </c>
      <c r="CE41" s="99">
        <f t="shared" si="2"/>
        <v>5.8157894736842099E-3</v>
      </c>
      <c r="CF41" s="100">
        <f t="shared" si="0"/>
        <v>3.12</v>
      </c>
    </row>
    <row r="42" spans="1:84" ht="14.25" hidden="1" customHeight="1" x14ac:dyDescent="0.25">
      <c r="A42" s="101">
        <v>41</v>
      </c>
      <c r="B42" s="102"/>
      <c r="C42" s="103" t="s">
        <v>249</v>
      </c>
      <c r="D42" s="104">
        <v>1800</v>
      </c>
      <c r="E42" s="105">
        <v>1200</v>
      </c>
      <c r="F42" s="106">
        <f t="shared" si="1"/>
        <v>2160000</v>
      </c>
      <c r="G42" s="105">
        <v>190</v>
      </c>
      <c r="H42" s="105">
        <v>1105</v>
      </c>
      <c r="I42" s="107">
        <v>1.5</v>
      </c>
      <c r="J42" s="155">
        <v>24</v>
      </c>
      <c r="K42" s="156">
        <v>32.9</v>
      </c>
      <c r="L42" s="157">
        <v>32.9</v>
      </c>
      <c r="M42" s="158">
        <v>1.23</v>
      </c>
      <c r="N42" s="106">
        <v>25.2</v>
      </c>
      <c r="O42" s="112" t="s">
        <v>210</v>
      </c>
      <c r="P42" s="113" t="s">
        <v>211</v>
      </c>
      <c r="Q42" s="114">
        <v>2.49E-3</v>
      </c>
      <c r="R42" s="115">
        <v>3.16E-3</v>
      </c>
      <c r="S42" s="115">
        <v>6.7400000000000003E-3</v>
      </c>
      <c r="T42" s="105">
        <v>379</v>
      </c>
      <c r="U42" s="113" t="s">
        <v>212</v>
      </c>
      <c r="V42" s="114">
        <v>1.67E-3</v>
      </c>
      <c r="W42" s="105">
        <v>354</v>
      </c>
      <c r="X42" s="116">
        <v>400</v>
      </c>
      <c r="Y42" s="117">
        <v>0</v>
      </c>
      <c r="Z42" s="110">
        <v>0.5</v>
      </c>
      <c r="AA42" s="162" t="s">
        <v>221</v>
      </c>
      <c r="AB42" s="163"/>
      <c r="AC42" s="174">
        <v>2</v>
      </c>
      <c r="AD42" s="112" t="s">
        <v>224</v>
      </c>
      <c r="AE42" s="175">
        <v>2.3199999999999998</v>
      </c>
      <c r="AF42" s="120">
        <v>1.07</v>
      </c>
      <c r="AG42" s="118">
        <v>0.27</v>
      </c>
      <c r="AH42" s="118">
        <v>0</v>
      </c>
      <c r="AI42" s="119">
        <v>1.34</v>
      </c>
      <c r="AJ42" s="120">
        <v>0.21</v>
      </c>
      <c r="AK42" s="118">
        <v>0.59</v>
      </c>
      <c r="AL42" s="118">
        <v>0</v>
      </c>
      <c r="AM42" s="119">
        <v>0.8</v>
      </c>
      <c r="AN42" s="120">
        <v>0.82</v>
      </c>
      <c r="AO42" s="118">
        <v>0.38</v>
      </c>
      <c r="AP42" s="118">
        <v>0</v>
      </c>
      <c r="AQ42" s="119">
        <v>1.2</v>
      </c>
      <c r="AR42" s="120">
        <v>0.92</v>
      </c>
      <c r="AS42" s="118">
        <v>0.33</v>
      </c>
      <c r="AT42" s="118">
        <v>0</v>
      </c>
      <c r="AU42" s="119">
        <v>1.25</v>
      </c>
      <c r="AV42" s="120">
        <v>0.62</v>
      </c>
      <c r="AW42" s="118">
        <v>0.59</v>
      </c>
      <c r="AX42" s="118">
        <v>0</v>
      </c>
      <c r="AY42" s="119">
        <v>1.21</v>
      </c>
      <c r="AZ42" s="120">
        <v>0.41</v>
      </c>
      <c r="BA42" s="118">
        <v>1.27</v>
      </c>
      <c r="BB42" s="118">
        <v>0</v>
      </c>
      <c r="BC42" s="119">
        <v>1.68</v>
      </c>
      <c r="BD42" s="121">
        <v>0.57999999999999996</v>
      </c>
      <c r="BE42" s="120">
        <v>0.82</v>
      </c>
      <c r="BF42" s="118">
        <v>0</v>
      </c>
      <c r="BG42" s="118">
        <v>0</v>
      </c>
      <c r="BH42" s="119">
        <v>0.82</v>
      </c>
      <c r="BI42" s="120">
        <v>0.62</v>
      </c>
      <c r="BJ42" s="118">
        <v>0.36</v>
      </c>
      <c r="BK42" s="118">
        <v>0</v>
      </c>
      <c r="BL42" s="119">
        <v>0.97</v>
      </c>
      <c r="BM42" s="120">
        <v>1.73</v>
      </c>
      <c r="BN42" s="118">
        <v>2.89</v>
      </c>
      <c r="BO42" s="118">
        <v>1.93</v>
      </c>
      <c r="BP42" s="118">
        <v>1.85</v>
      </c>
      <c r="BQ42" s="118">
        <v>1.91</v>
      </c>
      <c r="BR42" s="118">
        <v>1.38</v>
      </c>
      <c r="BS42" s="118">
        <v>4</v>
      </c>
      <c r="BT42" s="118">
        <v>2.82</v>
      </c>
      <c r="BU42" s="119">
        <v>2.39</v>
      </c>
      <c r="BV42" s="74">
        <v>2160000</v>
      </c>
      <c r="BW42" s="105">
        <v>190</v>
      </c>
      <c r="BX42" s="105">
        <v>1105</v>
      </c>
      <c r="BY42" s="157">
        <v>32.9</v>
      </c>
      <c r="BZ42" s="106">
        <v>25.2</v>
      </c>
      <c r="CA42" s="115">
        <v>6.7400000000000003E-3</v>
      </c>
      <c r="CB42" s="105">
        <v>379</v>
      </c>
      <c r="CC42" s="114">
        <v>1.67E-3</v>
      </c>
      <c r="CD42" s="105">
        <v>354</v>
      </c>
      <c r="CE42" s="99">
        <f t="shared" si="2"/>
        <v>1.2368421052631579E-2</v>
      </c>
      <c r="CF42" s="100">
        <f t="shared" si="0"/>
        <v>2.3199999999999998</v>
      </c>
    </row>
    <row r="43" spans="1:84" ht="14.25" hidden="1" customHeight="1" x14ac:dyDescent="0.25">
      <c r="A43" s="128">
        <v>42</v>
      </c>
      <c r="B43" s="129"/>
      <c r="C43" s="130" t="s">
        <v>250</v>
      </c>
      <c r="D43" s="131">
        <v>1800</v>
      </c>
      <c r="E43" s="132">
        <v>800</v>
      </c>
      <c r="F43" s="133">
        <f t="shared" si="1"/>
        <v>1440000</v>
      </c>
      <c r="G43" s="132">
        <v>190</v>
      </c>
      <c r="H43" s="132">
        <v>705</v>
      </c>
      <c r="I43" s="134">
        <v>2.25</v>
      </c>
      <c r="J43" s="164">
        <v>24</v>
      </c>
      <c r="K43" s="165">
        <v>32.9</v>
      </c>
      <c r="L43" s="157">
        <v>32.9</v>
      </c>
      <c r="M43" s="166">
        <v>1.1399999999999999</v>
      </c>
      <c r="N43" s="133">
        <v>21.4</v>
      </c>
      <c r="O43" s="139" t="s">
        <v>210</v>
      </c>
      <c r="P43" s="140" t="s">
        <v>211</v>
      </c>
      <c r="Q43" s="141">
        <v>3.7399999999999998E-3</v>
      </c>
      <c r="R43" s="142">
        <v>3.5100000000000001E-3</v>
      </c>
      <c r="S43" s="142">
        <v>8.7899999999999992E-3</v>
      </c>
      <c r="T43" s="132">
        <v>379</v>
      </c>
      <c r="U43" s="140" t="s">
        <v>212</v>
      </c>
      <c r="V43" s="141">
        <v>1.67E-3</v>
      </c>
      <c r="W43" s="132">
        <v>354</v>
      </c>
      <c r="X43" s="143">
        <v>400</v>
      </c>
      <c r="Y43" s="144">
        <v>0</v>
      </c>
      <c r="Z43" s="137">
        <v>0.5</v>
      </c>
      <c r="AA43" s="168" t="s">
        <v>221</v>
      </c>
      <c r="AB43" s="169"/>
      <c r="AC43" s="178">
        <v>2</v>
      </c>
      <c r="AD43" s="176" t="s">
        <v>224</v>
      </c>
      <c r="AE43" s="177">
        <v>2.04</v>
      </c>
      <c r="AF43" s="147">
        <v>0.86</v>
      </c>
      <c r="AG43" s="145">
        <v>0.26</v>
      </c>
      <c r="AH43" s="145">
        <v>0</v>
      </c>
      <c r="AI43" s="146">
        <v>1.1200000000000001</v>
      </c>
      <c r="AJ43" s="147">
        <v>0.21</v>
      </c>
      <c r="AK43" s="145">
        <v>0.59</v>
      </c>
      <c r="AL43" s="145">
        <v>0</v>
      </c>
      <c r="AM43" s="146">
        <v>0.8</v>
      </c>
      <c r="AN43" s="147">
        <v>0.73</v>
      </c>
      <c r="AO43" s="145">
        <v>0.38</v>
      </c>
      <c r="AP43" s="145">
        <v>0</v>
      </c>
      <c r="AQ43" s="146">
        <v>1.1100000000000001</v>
      </c>
      <c r="AR43" s="147">
        <v>0.65</v>
      </c>
      <c r="AS43" s="145">
        <v>0.31</v>
      </c>
      <c r="AT43" s="145">
        <v>0</v>
      </c>
      <c r="AU43" s="146">
        <v>0.96</v>
      </c>
      <c r="AV43" s="147">
        <v>0.46</v>
      </c>
      <c r="AW43" s="145">
        <v>0.59</v>
      </c>
      <c r="AX43" s="145">
        <v>0</v>
      </c>
      <c r="AY43" s="146">
        <v>1.05</v>
      </c>
      <c r="AZ43" s="147">
        <v>0.35</v>
      </c>
      <c r="BA43" s="145">
        <v>1.25</v>
      </c>
      <c r="BB43" s="145">
        <v>0</v>
      </c>
      <c r="BC43" s="146">
        <v>1.61</v>
      </c>
      <c r="BD43" s="148">
        <v>0.52</v>
      </c>
      <c r="BE43" s="147">
        <v>0.51</v>
      </c>
      <c r="BF43" s="145">
        <v>0</v>
      </c>
      <c r="BG43" s="145">
        <v>0</v>
      </c>
      <c r="BH43" s="146">
        <v>0.51</v>
      </c>
      <c r="BI43" s="147">
        <v>0.56999999999999995</v>
      </c>
      <c r="BJ43" s="145">
        <v>0.36</v>
      </c>
      <c r="BK43" s="145">
        <v>0</v>
      </c>
      <c r="BL43" s="146">
        <v>0.93</v>
      </c>
      <c r="BM43" s="147">
        <v>1.81</v>
      </c>
      <c r="BN43" s="145">
        <v>2.54</v>
      </c>
      <c r="BO43" s="145">
        <v>1.83</v>
      </c>
      <c r="BP43" s="145">
        <v>2.11</v>
      </c>
      <c r="BQ43" s="145">
        <v>1.94</v>
      </c>
      <c r="BR43" s="145">
        <v>1.27</v>
      </c>
      <c r="BS43" s="145">
        <v>3.92</v>
      </c>
      <c r="BT43" s="145">
        <v>4.0199999999999996</v>
      </c>
      <c r="BU43" s="146">
        <v>2.2000000000000002</v>
      </c>
      <c r="BV43" s="74">
        <v>1440000</v>
      </c>
      <c r="BW43" s="132">
        <v>190</v>
      </c>
      <c r="BX43" s="132">
        <v>705</v>
      </c>
      <c r="BY43" s="157">
        <v>32.9</v>
      </c>
      <c r="BZ43" s="133">
        <v>21.4</v>
      </c>
      <c r="CA43" s="142">
        <v>8.7899999999999992E-3</v>
      </c>
      <c r="CB43" s="132">
        <v>379</v>
      </c>
      <c r="CC43" s="141">
        <v>1.67E-3</v>
      </c>
      <c r="CD43" s="132">
        <v>354</v>
      </c>
      <c r="CE43" s="99">
        <f t="shared" si="2"/>
        <v>2.6447368421052629E-2</v>
      </c>
      <c r="CF43" s="100">
        <f t="shared" si="0"/>
        <v>2.04</v>
      </c>
    </row>
    <row r="44" spans="1:84" ht="14.25" hidden="1" customHeight="1" x14ac:dyDescent="0.25">
      <c r="A44" s="78">
        <v>43</v>
      </c>
      <c r="B44" s="79" t="s">
        <v>251</v>
      </c>
      <c r="C44" s="80" t="s">
        <v>252</v>
      </c>
      <c r="D44" s="81">
        <v>1422</v>
      </c>
      <c r="E44" s="82">
        <v>1219</v>
      </c>
      <c r="F44" s="83">
        <f t="shared" si="1"/>
        <v>1733418</v>
      </c>
      <c r="G44" s="82">
        <v>194</v>
      </c>
      <c r="H44" s="82">
        <v>1143</v>
      </c>
      <c r="I44" s="84">
        <v>1.17</v>
      </c>
      <c r="J44" s="149">
        <v>24</v>
      </c>
      <c r="K44" s="150">
        <v>19.2</v>
      </c>
      <c r="L44" s="151">
        <v>22</v>
      </c>
      <c r="M44" s="152">
        <v>1.19</v>
      </c>
      <c r="N44" s="83">
        <v>23.1</v>
      </c>
      <c r="O44" s="89" t="s">
        <v>210</v>
      </c>
      <c r="P44" s="90" t="s">
        <v>211</v>
      </c>
      <c r="Q44" s="91">
        <v>8.4999999999999995E-4</v>
      </c>
      <c r="R44" s="92">
        <v>0</v>
      </c>
      <c r="S44" s="92">
        <v>1.6900000000000001E-3</v>
      </c>
      <c r="T44" s="82">
        <v>465</v>
      </c>
      <c r="U44" s="90" t="s">
        <v>212</v>
      </c>
      <c r="V44" s="91">
        <v>2.8700000000000002E-3</v>
      </c>
      <c r="W44" s="82">
        <v>407</v>
      </c>
      <c r="X44" s="93">
        <v>284</v>
      </c>
      <c r="Y44" s="153">
        <v>1.88</v>
      </c>
      <c r="Z44" s="87">
        <v>0.5</v>
      </c>
      <c r="AA44" s="170" t="s">
        <v>221</v>
      </c>
      <c r="AB44" s="171"/>
      <c r="AC44" s="86">
        <v>5.4</v>
      </c>
      <c r="AD44" s="112" t="s">
        <v>224</v>
      </c>
      <c r="AE44" s="173">
        <v>1.95</v>
      </c>
      <c r="AF44" s="97">
        <v>1.1599999999999999</v>
      </c>
      <c r="AG44" s="95">
        <v>0.55000000000000004</v>
      </c>
      <c r="AH44" s="95">
        <v>0.47</v>
      </c>
      <c r="AI44" s="96">
        <v>2</v>
      </c>
      <c r="AJ44" s="97">
        <v>0.28999999999999998</v>
      </c>
      <c r="AK44" s="95">
        <v>1.01</v>
      </c>
      <c r="AL44" s="95">
        <v>0</v>
      </c>
      <c r="AM44" s="96">
        <v>1.3</v>
      </c>
      <c r="AN44" s="97">
        <v>0</v>
      </c>
      <c r="AO44" s="95">
        <v>0.75</v>
      </c>
      <c r="AP44" s="95">
        <v>1.28</v>
      </c>
      <c r="AQ44" s="96">
        <v>2.02</v>
      </c>
      <c r="AR44" s="97">
        <v>1.02</v>
      </c>
      <c r="AS44" s="95">
        <v>0.66</v>
      </c>
      <c r="AT44" s="95">
        <v>0.47</v>
      </c>
      <c r="AU44" s="96">
        <v>1.54</v>
      </c>
      <c r="AV44" s="97">
        <v>0.72</v>
      </c>
      <c r="AW44" s="95">
        <v>1.17</v>
      </c>
      <c r="AX44" s="95">
        <v>0</v>
      </c>
      <c r="AY44" s="96">
        <v>1.89</v>
      </c>
      <c r="AZ44" s="97">
        <v>0.31</v>
      </c>
      <c r="BA44" s="95">
        <v>0.75</v>
      </c>
      <c r="BB44" s="95">
        <v>0.15</v>
      </c>
      <c r="BC44" s="96">
        <v>1.21</v>
      </c>
      <c r="BD44" s="98">
        <v>0.64</v>
      </c>
      <c r="BE44" s="97">
        <v>1.02</v>
      </c>
      <c r="BF44" s="95">
        <v>0</v>
      </c>
      <c r="BG44" s="95">
        <v>0.43</v>
      </c>
      <c r="BH44" s="96">
        <v>1.45</v>
      </c>
      <c r="BI44" s="97">
        <v>0.59</v>
      </c>
      <c r="BJ44" s="95">
        <v>0.23</v>
      </c>
      <c r="BK44" s="95">
        <v>0.56000000000000005</v>
      </c>
      <c r="BL44" s="96">
        <v>1.39</v>
      </c>
      <c r="BM44" s="97">
        <v>0.98</v>
      </c>
      <c r="BN44" s="95">
        <v>1.49</v>
      </c>
      <c r="BO44" s="95">
        <v>0.96</v>
      </c>
      <c r="BP44" s="95">
        <v>1.27</v>
      </c>
      <c r="BQ44" s="95">
        <v>1.03</v>
      </c>
      <c r="BR44" s="95">
        <v>1.61</v>
      </c>
      <c r="BS44" s="95">
        <v>3.04</v>
      </c>
      <c r="BT44" s="95">
        <v>1.34</v>
      </c>
      <c r="BU44" s="96">
        <v>1.4</v>
      </c>
      <c r="BV44" s="74">
        <v>1733418</v>
      </c>
      <c r="BW44" s="82">
        <v>194</v>
      </c>
      <c r="BX44" s="82">
        <v>1143</v>
      </c>
      <c r="BY44" s="151">
        <v>22</v>
      </c>
      <c r="BZ44" s="83">
        <v>23.1</v>
      </c>
      <c r="CA44" s="92">
        <v>1.6900000000000001E-3</v>
      </c>
      <c r="CB44" s="82">
        <v>465</v>
      </c>
      <c r="CC44" s="91">
        <v>2.8700000000000002E-3</v>
      </c>
      <c r="CD44" s="82">
        <v>407</v>
      </c>
      <c r="CE44" s="99">
        <f t="shared" si="2"/>
        <v>5.6662973706688774E-3</v>
      </c>
      <c r="CF44" s="100">
        <f t="shared" si="0"/>
        <v>1.95</v>
      </c>
    </row>
    <row r="45" spans="1:84" ht="14.25" hidden="1" customHeight="1" x14ac:dyDescent="0.25">
      <c r="A45" s="101">
        <v>44</v>
      </c>
      <c r="B45" s="102"/>
      <c r="C45" s="103" t="s">
        <v>253</v>
      </c>
      <c r="D45" s="104">
        <v>1422</v>
      </c>
      <c r="E45" s="105">
        <v>1219</v>
      </c>
      <c r="F45" s="106">
        <f t="shared" si="1"/>
        <v>1733418</v>
      </c>
      <c r="G45" s="105">
        <v>194</v>
      </c>
      <c r="H45" s="105">
        <v>1143</v>
      </c>
      <c r="I45" s="107">
        <v>1.17</v>
      </c>
      <c r="J45" s="155">
        <v>24</v>
      </c>
      <c r="K45" s="156">
        <v>19.2</v>
      </c>
      <c r="L45" s="157">
        <v>22</v>
      </c>
      <c r="M45" s="158">
        <v>1.19</v>
      </c>
      <c r="N45" s="106">
        <v>23.1</v>
      </c>
      <c r="O45" s="112" t="s">
        <v>210</v>
      </c>
      <c r="P45" s="113" t="s">
        <v>211</v>
      </c>
      <c r="Q45" s="114">
        <v>8.4999999999999995E-4</v>
      </c>
      <c r="R45" s="115">
        <v>0</v>
      </c>
      <c r="S45" s="115">
        <v>1.6900000000000001E-3</v>
      </c>
      <c r="T45" s="105">
        <v>465</v>
      </c>
      <c r="U45" s="113" t="s">
        <v>212</v>
      </c>
      <c r="V45" s="114">
        <v>2.8700000000000002E-3</v>
      </c>
      <c r="W45" s="105">
        <v>407</v>
      </c>
      <c r="X45" s="116">
        <v>284</v>
      </c>
      <c r="Y45" s="160">
        <v>3.01</v>
      </c>
      <c r="Z45" s="110">
        <v>0.5</v>
      </c>
      <c r="AA45" s="162" t="s">
        <v>221</v>
      </c>
      <c r="AB45" s="163"/>
      <c r="AC45" s="109">
        <v>5.2</v>
      </c>
      <c r="AD45" s="112" t="s">
        <v>224</v>
      </c>
      <c r="AE45" s="175">
        <v>2.38</v>
      </c>
      <c r="AF45" s="120">
        <v>1.1599999999999999</v>
      </c>
      <c r="AG45" s="118">
        <v>0.55000000000000004</v>
      </c>
      <c r="AH45" s="118">
        <v>0.75</v>
      </c>
      <c r="AI45" s="119">
        <v>2</v>
      </c>
      <c r="AJ45" s="120">
        <v>0.28999999999999998</v>
      </c>
      <c r="AK45" s="118">
        <v>1.26</v>
      </c>
      <c r="AL45" s="118">
        <v>0</v>
      </c>
      <c r="AM45" s="119">
        <v>1.55</v>
      </c>
      <c r="AN45" s="120">
        <v>0</v>
      </c>
      <c r="AO45" s="118">
        <v>0.75</v>
      </c>
      <c r="AP45" s="118">
        <v>1.99</v>
      </c>
      <c r="AQ45" s="119">
        <v>2.16</v>
      </c>
      <c r="AR45" s="120">
        <v>1.02</v>
      </c>
      <c r="AS45" s="118">
        <v>0.66</v>
      </c>
      <c r="AT45" s="118">
        <v>0.75</v>
      </c>
      <c r="AU45" s="119">
        <v>1.54</v>
      </c>
      <c r="AV45" s="120">
        <v>0.72</v>
      </c>
      <c r="AW45" s="118">
        <v>1.17</v>
      </c>
      <c r="AX45" s="118">
        <v>0</v>
      </c>
      <c r="AY45" s="119">
        <v>1.89</v>
      </c>
      <c r="AZ45" s="120">
        <v>0.31</v>
      </c>
      <c r="BA45" s="118">
        <v>0.75</v>
      </c>
      <c r="BB45" s="118">
        <v>0.25</v>
      </c>
      <c r="BC45" s="119">
        <v>1.31</v>
      </c>
      <c r="BD45" s="121">
        <v>0.64</v>
      </c>
      <c r="BE45" s="120">
        <v>1.02</v>
      </c>
      <c r="BF45" s="118">
        <v>0</v>
      </c>
      <c r="BG45" s="118">
        <v>0.69</v>
      </c>
      <c r="BH45" s="119">
        <v>1.71</v>
      </c>
      <c r="BI45" s="120">
        <v>0.59</v>
      </c>
      <c r="BJ45" s="118">
        <v>0.23</v>
      </c>
      <c r="BK45" s="118">
        <v>0.9</v>
      </c>
      <c r="BL45" s="119">
        <v>1.73</v>
      </c>
      <c r="BM45" s="120">
        <v>1.19</v>
      </c>
      <c r="BN45" s="118">
        <v>1.54</v>
      </c>
      <c r="BO45" s="118">
        <v>1.1000000000000001</v>
      </c>
      <c r="BP45" s="118">
        <v>1.55</v>
      </c>
      <c r="BQ45" s="118">
        <v>1.26</v>
      </c>
      <c r="BR45" s="118">
        <v>1.82</v>
      </c>
      <c r="BS45" s="118">
        <v>3.71</v>
      </c>
      <c r="BT45" s="118">
        <v>1.39</v>
      </c>
      <c r="BU45" s="119">
        <v>1.38</v>
      </c>
      <c r="BV45" s="74">
        <v>1733418</v>
      </c>
      <c r="BW45" s="105">
        <v>194</v>
      </c>
      <c r="BX45" s="105">
        <v>1143</v>
      </c>
      <c r="BY45" s="157">
        <v>22</v>
      </c>
      <c r="BZ45" s="106">
        <v>23.1</v>
      </c>
      <c r="CA45" s="115">
        <v>1.6900000000000001E-3</v>
      </c>
      <c r="CB45" s="105">
        <v>465</v>
      </c>
      <c r="CC45" s="114">
        <v>2.8700000000000002E-3</v>
      </c>
      <c r="CD45" s="105">
        <v>407</v>
      </c>
      <c r="CE45" s="99">
        <f t="shared" si="2"/>
        <v>5.8777263770371175E-3</v>
      </c>
      <c r="CF45" s="100">
        <f t="shared" si="0"/>
        <v>2.38</v>
      </c>
    </row>
    <row r="46" spans="1:84" ht="14.25" hidden="1" customHeight="1" x14ac:dyDescent="0.25">
      <c r="A46" s="101">
        <v>45</v>
      </c>
      <c r="B46" s="102"/>
      <c r="C46" s="103" t="s">
        <v>254</v>
      </c>
      <c r="D46" s="104">
        <v>1422</v>
      </c>
      <c r="E46" s="105">
        <v>1219</v>
      </c>
      <c r="F46" s="106">
        <f t="shared" si="1"/>
        <v>1733418</v>
      </c>
      <c r="G46" s="105">
        <v>143</v>
      </c>
      <c r="H46" s="105">
        <v>1143</v>
      </c>
      <c r="I46" s="107">
        <v>1.17</v>
      </c>
      <c r="J46" s="155">
        <v>24</v>
      </c>
      <c r="K46" s="156">
        <v>19.2</v>
      </c>
      <c r="L46" s="157">
        <v>22</v>
      </c>
      <c r="M46" s="158">
        <v>0.97</v>
      </c>
      <c r="N46" s="106">
        <v>15.8</v>
      </c>
      <c r="O46" s="112" t="s">
        <v>210</v>
      </c>
      <c r="P46" s="113" t="s">
        <v>211</v>
      </c>
      <c r="Q46" s="114">
        <v>2.2200000000000002E-3</v>
      </c>
      <c r="R46" s="115">
        <v>0</v>
      </c>
      <c r="S46" s="115">
        <v>4.4400000000000004E-3</v>
      </c>
      <c r="T46" s="105">
        <v>391</v>
      </c>
      <c r="U46" s="113" t="s">
        <v>212</v>
      </c>
      <c r="V46" s="114">
        <v>3.9399999999999999E-3</v>
      </c>
      <c r="W46" s="105">
        <v>438</v>
      </c>
      <c r="X46" s="116">
        <v>284</v>
      </c>
      <c r="Y46" s="160">
        <v>2.76</v>
      </c>
      <c r="Z46" s="110">
        <v>0.5</v>
      </c>
      <c r="AA46" s="162" t="s">
        <v>221</v>
      </c>
      <c r="AB46" s="163"/>
      <c r="AC46" s="109">
        <v>4.2</v>
      </c>
      <c r="AD46" s="112" t="s">
        <v>224</v>
      </c>
      <c r="AE46" s="175">
        <v>2.46</v>
      </c>
      <c r="AF46" s="120">
        <v>0.96</v>
      </c>
      <c r="AG46" s="118">
        <v>0.81</v>
      </c>
      <c r="AH46" s="118">
        <v>0.69</v>
      </c>
      <c r="AI46" s="119">
        <v>1.65</v>
      </c>
      <c r="AJ46" s="120">
        <v>0.28999999999999998</v>
      </c>
      <c r="AK46" s="118">
        <v>1.37</v>
      </c>
      <c r="AL46" s="118">
        <v>0</v>
      </c>
      <c r="AM46" s="119">
        <v>1.66</v>
      </c>
      <c r="AN46" s="120">
        <v>0</v>
      </c>
      <c r="AO46" s="118">
        <v>1.1000000000000001</v>
      </c>
      <c r="AP46" s="118">
        <v>1.74</v>
      </c>
      <c r="AQ46" s="119">
        <v>1.79</v>
      </c>
      <c r="AR46" s="120">
        <v>0.85</v>
      </c>
      <c r="AS46" s="118">
        <v>0.97</v>
      </c>
      <c r="AT46" s="118">
        <v>0.69</v>
      </c>
      <c r="AU46" s="119">
        <v>1.27</v>
      </c>
      <c r="AV46" s="120">
        <v>0.6</v>
      </c>
      <c r="AW46" s="118">
        <v>1.72</v>
      </c>
      <c r="AX46" s="118">
        <v>0</v>
      </c>
      <c r="AY46" s="119">
        <v>2.3199999999999998</v>
      </c>
      <c r="AZ46" s="120">
        <v>0.32</v>
      </c>
      <c r="BA46" s="118">
        <v>0.91</v>
      </c>
      <c r="BB46" s="118">
        <v>0.23</v>
      </c>
      <c r="BC46" s="119">
        <v>1.45</v>
      </c>
      <c r="BD46" s="121">
        <v>0.57999999999999996</v>
      </c>
      <c r="BE46" s="120">
        <v>0.83</v>
      </c>
      <c r="BF46" s="118">
        <v>0</v>
      </c>
      <c r="BG46" s="118">
        <v>0.63</v>
      </c>
      <c r="BH46" s="119">
        <v>1.47</v>
      </c>
      <c r="BI46" s="120">
        <v>0.49</v>
      </c>
      <c r="BJ46" s="118">
        <v>0.34</v>
      </c>
      <c r="BK46" s="118">
        <v>0.83</v>
      </c>
      <c r="BL46" s="119">
        <v>1.66</v>
      </c>
      <c r="BM46" s="120">
        <v>1.49</v>
      </c>
      <c r="BN46" s="118">
        <v>1.48</v>
      </c>
      <c r="BO46" s="118">
        <v>1.37</v>
      </c>
      <c r="BP46" s="118">
        <v>1.93</v>
      </c>
      <c r="BQ46" s="118">
        <v>1.06</v>
      </c>
      <c r="BR46" s="118">
        <v>1.69</v>
      </c>
      <c r="BS46" s="118">
        <v>4.26</v>
      </c>
      <c r="BT46" s="118">
        <v>1.68</v>
      </c>
      <c r="BU46" s="119">
        <v>1.48</v>
      </c>
      <c r="BV46" s="74">
        <v>1733418</v>
      </c>
      <c r="BW46" s="105">
        <v>143</v>
      </c>
      <c r="BX46" s="105">
        <v>1143</v>
      </c>
      <c r="BY46" s="157">
        <v>22</v>
      </c>
      <c r="BZ46" s="106">
        <v>15.8</v>
      </c>
      <c r="CA46" s="115">
        <v>4.4400000000000004E-3</v>
      </c>
      <c r="CB46" s="105">
        <v>391</v>
      </c>
      <c r="CC46" s="114">
        <v>3.9399999999999999E-3</v>
      </c>
      <c r="CD46" s="105">
        <v>438</v>
      </c>
      <c r="CE46" s="99">
        <f t="shared" si="2"/>
        <v>9.6376142315436827E-3</v>
      </c>
      <c r="CF46" s="100">
        <f t="shared" si="0"/>
        <v>2.46</v>
      </c>
    </row>
    <row r="47" spans="1:84" ht="14.25" hidden="1" customHeight="1" x14ac:dyDescent="0.25">
      <c r="A47" s="101">
        <v>46</v>
      </c>
      <c r="B47" s="102"/>
      <c r="C47" s="103" t="s">
        <v>255</v>
      </c>
      <c r="D47" s="104">
        <v>1422</v>
      </c>
      <c r="E47" s="105">
        <v>1219</v>
      </c>
      <c r="F47" s="106">
        <f t="shared" si="1"/>
        <v>1733418</v>
      </c>
      <c r="G47" s="105">
        <v>143</v>
      </c>
      <c r="H47" s="105">
        <v>1143</v>
      </c>
      <c r="I47" s="107">
        <v>1.17</v>
      </c>
      <c r="J47" s="155">
        <v>24</v>
      </c>
      <c r="K47" s="156">
        <v>19.2</v>
      </c>
      <c r="L47" s="157">
        <v>22</v>
      </c>
      <c r="M47" s="158">
        <v>0.97</v>
      </c>
      <c r="N47" s="106">
        <v>15.8</v>
      </c>
      <c r="O47" s="112" t="s">
        <v>210</v>
      </c>
      <c r="P47" s="113" t="s">
        <v>211</v>
      </c>
      <c r="Q47" s="114">
        <v>7.3999999999999999E-4</v>
      </c>
      <c r="R47" s="115">
        <v>4.2300000000000003E-3</v>
      </c>
      <c r="S47" s="115">
        <v>4.4400000000000004E-3</v>
      </c>
      <c r="T47" s="105">
        <v>410</v>
      </c>
      <c r="U47" s="113" t="s">
        <v>212</v>
      </c>
      <c r="V47" s="114">
        <v>3.9399999999999999E-3</v>
      </c>
      <c r="W47" s="105">
        <v>438</v>
      </c>
      <c r="X47" s="116">
        <v>284</v>
      </c>
      <c r="Y47" s="160">
        <v>2.76</v>
      </c>
      <c r="Z47" s="110">
        <v>0.5</v>
      </c>
      <c r="AA47" s="162" t="s">
        <v>221</v>
      </c>
      <c r="AB47" s="163"/>
      <c r="AC47" s="109">
        <v>2.2000000000000002</v>
      </c>
      <c r="AD47" s="112" t="s">
        <v>224</v>
      </c>
      <c r="AE47" s="175">
        <v>2.46</v>
      </c>
      <c r="AF47" s="120">
        <v>0.96</v>
      </c>
      <c r="AG47" s="118">
        <v>0.81</v>
      </c>
      <c r="AH47" s="118">
        <v>0.69</v>
      </c>
      <c r="AI47" s="119">
        <v>1.65</v>
      </c>
      <c r="AJ47" s="120">
        <v>0.28999999999999998</v>
      </c>
      <c r="AK47" s="118">
        <v>1.86</v>
      </c>
      <c r="AL47" s="118">
        <v>0</v>
      </c>
      <c r="AM47" s="119">
        <v>2</v>
      </c>
      <c r="AN47" s="120">
        <v>0.65</v>
      </c>
      <c r="AO47" s="118">
        <v>1.1000000000000001</v>
      </c>
      <c r="AP47" s="118">
        <v>1.74</v>
      </c>
      <c r="AQ47" s="119">
        <v>1.79</v>
      </c>
      <c r="AR47" s="120">
        <v>0.85</v>
      </c>
      <c r="AS47" s="118">
        <v>0.97</v>
      </c>
      <c r="AT47" s="118">
        <v>0.69</v>
      </c>
      <c r="AU47" s="119">
        <v>1.27</v>
      </c>
      <c r="AV47" s="120">
        <v>0.6</v>
      </c>
      <c r="AW47" s="118">
        <v>1.72</v>
      </c>
      <c r="AX47" s="118">
        <v>0</v>
      </c>
      <c r="AY47" s="119">
        <v>2.3199999999999998</v>
      </c>
      <c r="AZ47" s="120">
        <v>0.25</v>
      </c>
      <c r="BA47" s="118">
        <v>1.82</v>
      </c>
      <c r="BB47" s="118">
        <v>0.23</v>
      </c>
      <c r="BC47" s="119">
        <v>2.2999999999999998</v>
      </c>
      <c r="BD47" s="121">
        <v>0.57999999999999996</v>
      </c>
      <c r="BE47" s="120">
        <v>0.83</v>
      </c>
      <c r="BF47" s="118">
        <v>0</v>
      </c>
      <c r="BG47" s="118">
        <v>0.63</v>
      </c>
      <c r="BH47" s="119">
        <v>1.47</v>
      </c>
      <c r="BI47" s="120">
        <v>0.49</v>
      </c>
      <c r="BJ47" s="118">
        <v>0.34</v>
      </c>
      <c r="BK47" s="118">
        <v>0.83</v>
      </c>
      <c r="BL47" s="119">
        <v>1.66</v>
      </c>
      <c r="BM47" s="120">
        <v>1.49</v>
      </c>
      <c r="BN47" s="118">
        <v>1.23</v>
      </c>
      <c r="BO47" s="118">
        <v>1.37</v>
      </c>
      <c r="BP47" s="118">
        <v>1.93</v>
      </c>
      <c r="BQ47" s="118">
        <v>1.06</v>
      </c>
      <c r="BR47" s="118">
        <v>1.07</v>
      </c>
      <c r="BS47" s="118">
        <v>4.26</v>
      </c>
      <c r="BT47" s="118">
        <v>1.68</v>
      </c>
      <c r="BU47" s="119">
        <v>1.48</v>
      </c>
      <c r="BV47" s="74">
        <v>1733418</v>
      </c>
      <c r="BW47" s="105">
        <v>143</v>
      </c>
      <c r="BX47" s="105">
        <v>1143</v>
      </c>
      <c r="BY47" s="157">
        <v>22</v>
      </c>
      <c r="BZ47" s="106">
        <v>15.8</v>
      </c>
      <c r="CA47" s="115">
        <v>4.4400000000000004E-3</v>
      </c>
      <c r="CB47" s="105">
        <v>410</v>
      </c>
      <c r="CC47" s="114">
        <v>3.9399999999999999E-3</v>
      </c>
      <c r="CD47" s="105">
        <v>438</v>
      </c>
      <c r="CE47" s="99">
        <f t="shared" si="2"/>
        <v>9.6376142315436827E-3</v>
      </c>
      <c r="CF47" s="100">
        <f t="shared" si="0"/>
        <v>2.46</v>
      </c>
    </row>
    <row r="48" spans="1:84" ht="14.25" hidden="1" customHeight="1" x14ac:dyDescent="0.25">
      <c r="A48" s="101">
        <v>47</v>
      </c>
      <c r="B48" s="102"/>
      <c r="C48" s="103" t="s">
        <v>256</v>
      </c>
      <c r="D48" s="104">
        <v>1422</v>
      </c>
      <c r="E48" s="105">
        <v>1219</v>
      </c>
      <c r="F48" s="106">
        <f t="shared" si="1"/>
        <v>1733418</v>
      </c>
      <c r="G48" s="105">
        <v>143</v>
      </c>
      <c r="H48" s="105">
        <v>1143</v>
      </c>
      <c r="I48" s="107">
        <v>1.17</v>
      </c>
      <c r="J48" s="155">
        <v>24</v>
      </c>
      <c r="K48" s="156">
        <v>19.2</v>
      </c>
      <c r="L48" s="157">
        <v>22</v>
      </c>
      <c r="M48" s="158">
        <v>0.95</v>
      </c>
      <c r="N48" s="106">
        <v>15.1</v>
      </c>
      <c r="O48" s="112" t="s">
        <v>210</v>
      </c>
      <c r="P48" s="113" t="s">
        <v>211</v>
      </c>
      <c r="Q48" s="114">
        <v>2.2200000000000002E-3</v>
      </c>
      <c r="R48" s="115">
        <v>0</v>
      </c>
      <c r="S48" s="115">
        <v>4.4400000000000004E-3</v>
      </c>
      <c r="T48" s="105">
        <v>391</v>
      </c>
      <c r="U48" s="113" t="s">
        <v>212</v>
      </c>
      <c r="V48" s="114">
        <v>1.97E-3</v>
      </c>
      <c r="W48" s="105">
        <v>438</v>
      </c>
      <c r="X48" s="116">
        <v>474</v>
      </c>
      <c r="Y48" s="160">
        <v>2.76</v>
      </c>
      <c r="Z48" s="110">
        <v>0.5</v>
      </c>
      <c r="AA48" s="162" t="s">
        <v>221</v>
      </c>
      <c r="AB48" s="163"/>
      <c r="AC48" s="109">
        <v>4.9000000000000004</v>
      </c>
      <c r="AD48" s="112" t="s">
        <v>224</v>
      </c>
      <c r="AE48" s="175">
        <v>2.36</v>
      </c>
      <c r="AF48" s="120">
        <v>0.94</v>
      </c>
      <c r="AG48" s="118">
        <v>0.4</v>
      </c>
      <c r="AH48" s="118">
        <v>0.69</v>
      </c>
      <c r="AI48" s="119">
        <v>1.62</v>
      </c>
      <c r="AJ48" s="120">
        <v>0.28999999999999998</v>
      </c>
      <c r="AK48" s="118">
        <v>1.03</v>
      </c>
      <c r="AL48" s="118">
        <v>0</v>
      </c>
      <c r="AM48" s="119">
        <v>1.32</v>
      </c>
      <c r="AN48" s="120">
        <v>0</v>
      </c>
      <c r="AO48" s="118">
        <v>0.55000000000000004</v>
      </c>
      <c r="AP48" s="118">
        <v>1.73</v>
      </c>
      <c r="AQ48" s="119">
        <v>1.75</v>
      </c>
      <c r="AR48" s="120">
        <v>0.83</v>
      </c>
      <c r="AS48" s="118">
        <v>0.48</v>
      </c>
      <c r="AT48" s="118">
        <v>0.69</v>
      </c>
      <c r="AU48" s="119">
        <v>1.24</v>
      </c>
      <c r="AV48" s="120">
        <v>0.57999999999999996</v>
      </c>
      <c r="AW48" s="118">
        <v>0.86</v>
      </c>
      <c r="AX48" s="118">
        <v>0</v>
      </c>
      <c r="AY48" s="119">
        <v>1.45</v>
      </c>
      <c r="AZ48" s="120">
        <v>0.31</v>
      </c>
      <c r="BA48" s="118">
        <v>0.64</v>
      </c>
      <c r="BB48" s="118">
        <v>0.23</v>
      </c>
      <c r="BC48" s="119">
        <v>1.18</v>
      </c>
      <c r="BD48" s="121">
        <v>0.56000000000000005</v>
      </c>
      <c r="BE48" s="120">
        <v>0.81</v>
      </c>
      <c r="BF48" s="118">
        <v>0</v>
      </c>
      <c r="BG48" s="118">
        <v>0.63</v>
      </c>
      <c r="BH48" s="119">
        <v>1.45</v>
      </c>
      <c r="BI48" s="120">
        <v>0.47</v>
      </c>
      <c r="BJ48" s="118">
        <v>0.22</v>
      </c>
      <c r="BK48" s="118">
        <v>0.83</v>
      </c>
      <c r="BL48" s="119">
        <v>1.52</v>
      </c>
      <c r="BM48" s="120">
        <v>1.46</v>
      </c>
      <c r="BN48" s="118">
        <v>1.78</v>
      </c>
      <c r="BO48" s="118">
        <v>1.35</v>
      </c>
      <c r="BP48" s="118">
        <v>1.89</v>
      </c>
      <c r="BQ48" s="118">
        <v>1.63</v>
      </c>
      <c r="BR48" s="118">
        <v>2</v>
      </c>
      <c r="BS48" s="118">
        <v>4.18</v>
      </c>
      <c r="BT48" s="118">
        <v>1.63</v>
      </c>
      <c r="BU48" s="119">
        <v>1.55</v>
      </c>
      <c r="BV48" s="74">
        <v>1733418</v>
      </c>
      <c r="BW48" s="105">
        <v>143</v>
      </c>
      <c r="BX48" s="105">
        <v>1143</v>
      </c>
      <c r="BY48" s="157">
        <v>22</v>
      </c>
      <c r="BZ48" s="106">
        <v>15.1</v>
      </c>
      <c r="CA48" s="115">
        <v>4.4400000000000004E-3</v>
      </c>
      <c r="CB48" s="105">
        <v>391</v>
      </c>
      <c r="CC48" s="114">
        <v>1.97E-3</v>
      </c>
      <c r="CD48" s="105">
        <v>438</v>
      </c>
      <c r="CE48" s="99">
        <f t="shared" si="2"/>
        <v>9.3507804746525008E-3</v>
      </c>
      <c r="CF48" s="100">
        <f t="shared" si="0"/>
        <v>2.36</v>
      </c>
    </row>
    <row r="49" spans="1:84" ht="14.25" hidden="1" customHeight="1" x14ac:dyDescent="0.25">
      <c r="A49" s="101">
        <v>48</v>
      </c>
      <c r="B49" s="102"/>
      <c r="C49" s="103" t="s">
        <v>257</v>
      </c>
      <c r="D49" s="104">
        <v>1422</v>
      </c>
      <c r="E49" s="105">
        <v>1219</v>
      </c>
      <c r="F49" s="106">
        <f t="shared" si="1"/>
        <v>1733418</v>
      </c>
      <c r="G49" s="105">
        <v>143</v>
      </c>
      <c r="H49" s="105">
        <v>1143</v>
      </c>
      <c r="I49" s="107">
        <v>1.17</v>
      </c>
      <c r="J49" s="155">
        <v>24</v>
      </c>
      <c r="K49" s="156">
        <v>19.2</v>
      </c>
      <c r="L49" s="157">
        <v>22</v>
      </c>
      <c r="M49" s="158">
        <v>0.95</v>
      </c>
      <c r="N49" s="106">
        <v>15.1</v>
      </c>
      <c r="O49" s="112" t="s">
        <v>210</v>
      </c>
      <c r="P49" s="113" t="s">
        <v>211</v>
      </c>
      <c r="Q49" s="114">
        <v>7.3999999999999999E-4</v>
      </c>
      <c r="R49" s="115">
        <v>4.2300000000000003E-3</v>
      </c>
      <c r="S49" s="115">
        <v>4.4400000000000004E-3</v>
      </c>
      <c r="T49" s="105">
        <v>410</v>
      </c>
      <c r="U49" s="113" t="s">
        <v>212</v>
      </c>
      <c r="V49" s="114">
        <v>1.97E-3</v>
      </c>
      <c r="W49" s="105">
        <v>438</v>
      </c>
      <c r="X49" s="116">
        <v>474</v>
      </c>
      <c r="Y49" s="160">
        <v>2.76</v>
      </c>
      <c r="Z49" s="110">
        <v>0.5</v>
      </c>
      <c r="AA49" s="162" t="s">
        <v>221</v>
      </c>
      <c r="AB49" s="163"/>
      <c r="AC49" s="109">
        <v>5.4</v>
      </c>
      <c r="AD49" s="112" t="s">
        <v>224</v>
      </c>
      <c r="AE49" s="175">
        <v>2.23</v>
      </c>
      <c r="AF49" s="120">
        <v>0.94</v>
      </c>
      <c r="AG49" s="118">
        <v>0.4</v>
      </c>
      <c r="AH49" s="118">
        <v>0.69</v>
      </c>
      <c r="AI49" s="119">
        <v>1.62</v>
      </c>
      <c r="AJ49" s="120">
        <v>0.28999999999999998</v>
      </c>
      <c r="AK49" s="118">
        <v>1.03</v>
      </c>
      <c r="AL49" s="118">
        <v>0</v>
      </c>
      <c r="AM49" s="119">
        <v>1.32</v>
      </c>
      <c r="AN49" s="120">
        <v>0</v>
      </c>
      <c r="AO49" s="118">
        <v>0.55000000000000004</v>
      </c>
      <c r="AP49" s="118">
        <v>1.73</v>
      </c>
      <c r="AQ49" s="119">
        <v>1.75</v>
      </c>
      <c r="AR49" s="120">
        <v>0.83</v>
      </c>
      <c r="AS49" s="118">
        <v>0.48</v>
      </c>
      <c r="AT49" s="118">
        <v>0.69</v>
      </c>
      <c r="AU49" s="119">
        <v>1.24</v>
      </c>
      <c r="AV49" s="120">
        <v>0.57999999999999996</v>
      </c>
      <c r="AW49" s="118">
        <v>0.86</v>
      </c>
      <c r="AX49" s="118">
        <v>0</v>
      </c>
      <c r="AY49" s="119">
        <v>1.45</v>
      </c>
      <c r="AZ49" s="120">
        <v>0.24</v>
      </c>
      <c r="BA49" s="118">
        <v>1.56</v>
      </c>
      <c r="BB49" s="118">
        <v>0.23</v>
      </c>
      <c r="BC49" s="119">
        <v>2.02</v>
      </c>
      <c r="BD49" s="121">
        <v>0.56000000000000005</v>
      </c>
      <c r="BE49" s="120">
        <v>0.81</v>
      </c>
      <c r="BF49" s="118">
        <v>0</v>
      </c>
      <c r="BG49" s="118">
        <v>0.63</v>
      </c>
      <c r="BH49" s="119">
        <v>1.45</v>
      </c>
      <c r="BI49" s="120">
        <v>0.47</v>
      </c>
      <c r="BJ49" s="118">
        <v>0.22</v>
      </c>
      <c r="BK49" s="118">
        <v>0.83</v>
      </c>
      <c r="BL49" s="119">
        <v>1.52</v>
      </c>
      <c r="BM49" s="120">
        <v>1.38</v>
      </c>
      <c r="BN49" s="118">
        <v>1.69</v>
      </c>
      <c r="BO49" s="118">
        <v>1.27</v>
      </c>
      <c r="BP49" s="118">
        <v>1.79</v>
      </c>
      <c r="BQ49" s="118">
        <v>1.54</v>
      </c>
      <c r="BR49" s="118">
        <v>1.1000000000000001</v>
      </c>
      <c r="BS49" s="118">
        <v>3.95</v>
      </c>
      <c r="BT49" s="118">
        <v>1.54</v>
      </c>
      <c r="BU49" s="119">
        <v>1.47</v>
      </c>
      <c r="BV49" s="74">
        <v>1733418</v>
      </c>
      <c r="BW49" s="105">
        <v>143</v>
      </c>
      <c r="BX49" s="105">
        <v>1143</v>
      </c>
      <c r="BY49" s="157">
        <v>22</v>
      </c>
      <c r="BZ49" s="106">
        <v>15.1</v>
      </c>
      <c r="CA49" s="115">
        <v>4.4400000000000004E-3</v>
      </c>
      <c r="CB49" s="105">
        <v>410</v>
      </c>
      <c r="CC49" s="114">
        <v>1.97E-3</v>
      </c>
      <c r="CD49" s="105">
        <v>438</v>
      </c>
      <c r="CE49" s="99">
        <f t="shared" si="2"/>
        <v>8.8344797122483741E-3</v>
      </c>
      <c r="CF49" s="100">
        <f t="shared" si="0"/>
        <v>2.23</v>
      </c>
    </row>
    <row r="50" spans="1:84" ht="14.25" hidden="1" customHeight="1" x14ac:dyDescent="0.25">
      <c r="A50" s="101">
        <v>49</v>
      </c>
      <c r="B50" s="102"/>
      <c r="C50" s="103" t="s">
        <v>258</v>
      </c>
      <c r="D50" s="104">
        <v>1422</v>
      </c>
      <c r="E50" s="105">
        <v>1219</v>
      </c>
      <c r="F50" s="106">
        <f t="shared" si="1"/>
        <v>1733418</v>
      </c>
      <c r="G50" s="105">
        <v>143</v>
      </c>
      <c r="H50" s="105">
        <v>1143</v>
      </c>
      <c r="I50" s="107">
        <v>1.17</v>
      </c>
      <c r="J50" s="155">
        <v>24</v>
      </c>
      <c r="K50" s="156">
        <v>19.2</v>
      </c>
      <c r="L50" s="157">
        <v>22</v>
      </c>
      <c r="M50" s="158">
        <v>0.95</v>
      </c>
      <c r="N50" s="106">
        <v>15.1</v>
      </c>
      <c r="O50" s="112" t="s">
        <v>210</v>
      </c>
      <c r="P50" s="113" t="s">
        <v>211</v>
      </c>
      <c r="Q50" s="114">
        <v>2.2200000000000002E-3</v>
      </c>
      <c r="R50" s="115">
        <v>0</v>
      </c>
      <c r="S50" s="115">
        <v>4.4400000000000004E-3</v>
      </c>
      <c r="T50" s="105">
        <v>391</v>
      </c>
      <c r="U50" s="113" t="s">
        <v>212</v>
      </c>
      <c r="V50" s="114">
        <v>7.5000000000000002E-4</v>
      </c>
      <c r="W50" s="105">
        <v>438</v>
      </c>
      <c r="X50" s="116">
        <v>203</v>
      </c>
      <c r="Y50" s="160">
        <v>2.76</v>
      </c>
      <c r="Z50" s="110">
        <v>0.5</v>
      </c>
      <c r="AA50" s="162" t="s">
        <v>221</v>
      </c>
      <c r="AB50" s="163"/>
      <c r="AC50" s="109">
        <v>4.4000000000000004</v>
      </c>
      <c r="AD50" s="112" t="s">
        <v>224</v>
      </c>
      <c r="AE50" s="175">
        <v>1.92</v>
      </c>
      <c r="AF50" s="120">
        <v>0.94</v>
      </c>
      <c r="AG50" s="118">
        <v>0.15</v>
      </c>
      <c r="AH50" s="118">
        <v>0.69</v>
      </c>
      <c r="AI50" s="119">
        <v>1.62</v>
      </c>
      <c r="AJ50" s="120">
        <v>0.28999999999999998</v>
      </c>
      <c r="AK50" s="118">
        <v>0.34</v>
      </c>
      <c r="AL50" s="118">
        <v>0</v>
      </c>
      <c r="AM50" s="119">
        <v>0.63</v>
      </c>
      <c r="AN50" s="120">
        <v>0</v>
      </c>
      <c r="AO50" s="118">
        <v>0.21</v>
      </c>
      <c r="AP50" s="118">
        <v>1.73</v>
      </c>
      <c r="AQ50" s="119">
        <v>1.75</v>
      </c>
      <c r="AR50" s="120">
        <v>0.83</v>
      </c>
      <c r="AS50" s="118">
        <v>0.18</v>
      </c>
      <c r="AT50" s="118">
        <v>0.69</v>
      </c>
      <c r="AU50" s="119">
        <v>1.24</v>
      </c>
      <c r="AV50" s="120">
        <v>0.57999999999999996</v>
      </c>
      <c r="AW50" s="118">
        <v>0.33</v>
      </c>
      <c r="AX50" s="118">
        <v>0</v>
      </c>
      <c r="AY50" s="119">
        <v>0.91</v>
      </c>
      <c r="AZ50" s="120">
        <v>0.31</v>
      </c>
      <c r="BA50" s="118">
        <v>0.4</v>
      </c>
      <c r="BB50" s="118">
        <v>0.23</v>
      </c>
      <c r="BC50" s="119">
        <v>0.94</v>
      </c>
      <c r="BD50" s="121">
        <v>0.56000000000000005</v>
      </c>
      <c r="BE50" s="120">
        <v>0.81</v>
      </c>
      <c r="BF50" s="118">
        <v>0</v>
      </c>
      <c r="BG50" s="118">
        <v>0.63</v>
      </c>
      <c r="BH50" s="119">
        <v>1.45</v>
      </c>
      <c r="BI50" s="120">
        <v>0.47</v>
      </c>
      <c r="BJ50" s="118">
        <v>0.2</v>
      </c>
      <c r="BK50" s="118">
        <v>0.83</v>
      </c>
      <c r="BL50" s="119">
        <v>1.5</v>
      </c>
      <c r="BM50" s="120">
        <v>1.19</v>
      </c>
      <c r="BN50" s="118">
        <v>3.07</v>
      </c>
      <c r="BO50" s="118">
        <v>1.1000000000000001</v>
      </c>
      <c r="BP50" s="118">
        <v>1.54</v>
      </c>
      <c r="BQ50" s="118">
        <v>2.11</v>
      </c>
      <c r="BR50" s="118">
        <v>2.0499999999999998</v>
      </c>
      <c r="BS50" s="118">
        <v>3.4</v>
      </c>
      <c r="BT50" s="118">
        <v>1.33</v>
      </c>
      <c r="BU50" s="119">
        <v>1.28</v>
      </c>
      <c r="BV50" s="74">
        <v>1733418</v>
      </c>
      <c r="BW50" s="105">
        <v>143</v>
      </c>
      <c r="BX50" s="105">
        <v>1143</v>
      </c>
      <c r="BY50" s="157">
        <v>22</v>
      </c>
      <c r="BZ50" s="106">
        <v>15.1</v>
      </c>
      <c r="CA50" s="115">
        <v>4.4400000000000004E-3</v>
      </c>
      <c r="CB50" s="105">
        <v>391</v>
      </c>
      <c r="CC50" s="114">
        <v>7.5000000000000002E-4</v>
      </c>
      <c r="CD50" s="105">
        <v>438</v>
      </c>
      <c r="CE50" s="99">
        <f t="shared" si="2"/>
        <v>7.6297779333054164E-3</v>
      </c>
      <c r="CF50" s="100">
        <f t="shared" si="0"/>
        <v>1.92</v>
      </c>
    </row>
    <row r="51" spans="1:84" ht="14.25" hidden="1" customHeight="1" x14ac:dyDescent="0.25">
      <c r="A51" s="101">
        <v>50</v>
      </c>
      <c r="B51" s="102"/>
      <c r="C51" s="103" t="s">
        <v>259</v>
      </c>
      <c r="D51" s="104">
        <v>1422</v>
      </c>
      <c r="E51" s="105">
        <v>1219</v>
      </c>
      <c r="F51" s="106">
        <f t="shared" si="1"/>
        <v>1733418</v>
      </c>
      <c r="G51" s="105">
        <v>143</v>
      </c>
      <c r="H51" s="105">
        <v>1143</v>
      </c>
      <c r="I51" s="107">
        <v>1.17</v>
      </c>
      <c r="J51" s="155">
        <v>24</v>
      </c>
      <c r="K51" s="156">
        <v>19.2</v>
      </c>
      <c r="L51" s="157">
        <v>22</v>
      </c>
      <c r="M51" s="158">
        <v>0.95</v>
      </c>
      <c r="N51" s="106">
        <v>15.1</v>
      </c>
      <c r="O51" s="112" t="s">
        <v>210</v>
      </c>
      <c r="P51" s="113" t="s">
        <v>211</v>
      </c>
      <c r="Q51" s="114">
        <v>2.2200000000000002E-3</v>
      </c>
      <c r="R51" s="115">
        <v>0</v>
      </c>
      <c r="S51" s="115">
        <v>4.4400000000000004E-3</v>
      </c>
      <c r="T51" s="105">
        <v>391</v>
      </c>
      <c r="U51" s="113" t="s">
        <v>212</v>
      </c>
      <c r="V51" s="114">
        <v>2.7200000000000002E-3</v>
      </c>
      <c r="W51" s="105">
        <v>438</v>
      </c>
      <c r="X51" s="116">
        <v>399</v>
      </c>
      <c r="Y51" s="160">
        <v>2.76</v>
      </c>
      <c r="Z51" s="110">
        <v>0.5</v>
      </c>
      <c r="AA51" s="162" t="s">
        <v>221</v>
      </c>
      <c r="AB51" s="163"/>
      <c r="AC51" s="109">
        <v>6.3</v>
      </c>
      <c r="AD51" s="112" t="s">
        <v>224</v>
      </c>
      <c r="AE51" s="175">
        <v>2.4300000000000002</v>
      </c>
      <c r="AF51" s="120">
        <v>0.94</v>
      </c>
      <c r="AG51" s="118">
        <v>0.56000000000000005</v>
      </c>
      <c r="AH51" s="118">
        <v>0.69</v>
      </c>
      <c r="AI51" s="119">
        <v>1.62</v>
      </c>
      <c r="AJ51" s="120">
        <v>0.28999999999999998</v>
      </c>
      <c r="AK51" s="118">
        <v>1.2</v>
      </c>
      <c r="AL51" s="118">
        <v>0</v>
      </c>
      <c r="AM51" s="119">
        <v>1.49</v>
      </c>
      <c r="AN51" s="120">
        <v>0</v>
      </c>
      <c r="AO51" s="118">
        <v>0.76</v>
      </c>
      <c r="AP51" s="118">
        <v>1.73</v>
      </c>
      <c r="AQ51" s="119">
        <v>1.75</v>
      </c>
      <c r="AR51" s="120">
        <v>0.83</v>
      </c>
      <c r="AS51" s="118">
        <v>0.67</v>
      </c>
      <c r="AT51" s="118">
        <v>0.69</v>
      </c>
      <c r="AU51" s="119">
        <v>1.24</v>
      </c>
      <c r="AV51" s="120">
        <v>0.57999999999999996</v>
      </c>
      <c r="AW51" s="118">
        <v>1.19</v>
      </c>
      <c r="AX51" s="118">
        <v>0</v>
      </c>
      <c r="AY51" s="119">
        <v>1.77</v>
      </c>
      <c r="AZ51" s="120">
        <v>0.31</v>
      </c>
      <c r="BA51" s="118">
        <v>0.76</v>
      </c>
      <c r="BB51" s="118">
        <v>0.23</v>
      </c>
      <c r="BC51" s="119">
        <v>1.29</v>
      </c>
      <c r="BD51" s="121">
        <v>0.56000000000000005</v>
      </c>
      <c r="BE51" s="120">
        <v>0.81</v>
      </c>
      <c r="BF51" s="118">
        <v>0</v>
      </c>
      <c r="BG51" s="118">
        <v>0.63</v>
      </c>
      <c r="BH51" s="119">
        <v>1.45</v>
      </c>
      <c r="BI51" s="120">
        <v>0.47</v>
      </c>
      <c r="BJ51" s="118">
        <v>0.24</v>
      </c>
      <c r="BK51" s="118">
        <v>0.83</v>
      </c>
      <c r="BL51" s="119">
        <v>1.54</v>
      </c>
      <c r="BM51" s="120">
        <v>1.5</v>
      </c>
      <c r="BN51" s="118">
        <v>1.63</v>
      </c>
      <c r="BO51" s="118">
        <v>1.39</v>
      </c>
      <c r="BP51" s="118">
        <v>1.95</v>
      </c>
      <c r="BQ51" s="118">
        <v>1.37</v>
      </c>
      <c r="BR51" s="118">
        <v>1.88</v>
      </c>
      <c r="BS51" s="118">
        <v>4.3099999999999996</v>
      </c>
      <c r="BT51" s="118">
        <v>1.68</v>
      </c>
      <c r="BU51" s="119">
        <v>1.58</v>
      </c>
      <c r="BV51" s="74">
        <v>1733418</v>
      </c>
      <c r="BW51" s="105">
        <v>143</v>
      </c>
      <c r="BX51" s="105">
        <v>1143</v>
      </c>
      <c r="BY51" s="157">
        <v>22</v>
      </c>
      <c r="BZ51" s="106">
        <v>15.1</v>
      </c>
      <c r="CA51" s="115">
        <v>4.4400000000000004E-3</v>
      </c>
      <c r="CB51" s="105">
        <v>391</v>
      </c>
      <c r="CC51" s="114">
        <v>2.7200000000000002E-3</v>
      </c>
      <c r="CD51" s="105">
        <v>438</v>
      </c>
      <c r="CE51" s="99">
        <f t="shared" si="2"/>
        <v>9.6376142315436827E-3</v>
      </c>
      <c r="CF51" s="100">
        <f t="shared" si="0"/>
        <v>2.4300000000000002</v>
      </c>
    </row>
    <row r="52" spans="1:84" ht="14.25" hidden="1" customHeight="1" x14ac:dyDescent="0.25">
      <c r="A52" s="101">
        <v>51</v>
      </c>
      <c r="B52" s="102"/>
      <c r="C52" s="103" t="s">
        <v>260</v>
      </c>
      <c r="D52" s="104">
        <v>1422</v>
      </c>
      <c r="E52" s="105">
        <v>1219</v>
      </c>
      <c r="F52" s="106">
        <f t="shared" si="1"/>
        <v>1733418</v>
      </c>
      <c r="G52" s="105">
        <v>143</v>
      </c>
      <c r="H52" s="105">
        <v>1143</v>
      </c>
      <c r="I52" s="107">
        <v>1.17</v>
      </c>
      <c r="J52" s="155">
        <v>24</v>
      </c>
      <c r="K52" s="156">
        <v>19.2</v>
      </c>
      <c r="L52" s="157">
        <v>22</v>
      </c>
      <c r="M52" s="158">
        <v>0.95</v>
      </c>
      <c r="N52" s="106">
        <v>15.1</v>
      </c>
      <c r="O52" s="112" t="s">
        <v>210</v>
      </c>
      <c r="P52" s="113" t="s">
        <v>211</v>
      </c>
      <c r="Q52" s="114">
        <v>2.2200000000000002E-3</v>
      </c>
      <c r="R52" s="115">
        <v>0</v>
      </c>
      <c r="S52" s="115">
        <v>4.4400000000000004E-3</v>
      </c>
      <c r="T52" s="105">
        <v>391</v>
      </c>
      <c r="U52" s="113" t="s">
        <v>212</v>
      </c>
      <c r="V52" s="114">
        <v>1.97E-3</v>
      </c>
      <c r="W52" s="105">
        <v>438</v>
      </c>
      <c r="X52" s="116">
        <v>474</v>
      </c>
      <c r="Y52" s="160">
        <v>1.74</v>
      </c>
      <c r="Z52" s="110">
        <v>0.5</v>
      </c>
      <c r="AA52" s="162" t="s">
        <v>221</v>
      </c>
      <c r="AB52" s="163"/>
      <c r="AC52" s="109">
        <v>3.2</v>
      </c>
      <c r="AD52" s="112" t="s">
        <v>224</v>
      </c>
      <c r="AE52" s="175">
        <v>1.96</v>
      </c>
      <c r="AF52" s="120">
        <v>0.94</v>
      </c>
      <c r="AG52" s="118">
        <v>0.4</v>
      </c>
      <c r="AH52" s="118">
        <v>0.44</v>
      </c>
      <c r="AI52" s="119">
        <v>1.62</v>
      </c>
      <c r="AJ52" s="120">
        <v>0.28999999999999998</v>
      </c>
      <c r="AK52" s="118">
        <v>1.03</v>
      </c>
      <c r="AL52" s="118">
        <v>0</v>
      </c>
      <c r="AM52" s="119">
        <v>1.32</v>
      </c>
      <c r="AN52" s="120">
        <v>0.27</v>
      </c>
      <c r="AO52" s="118">
        <v>0.55000000000000004</v>
      </c>
      <c r="AP52" s="118">
        <v>1.1299999999999999</v>
      </c>
      <c r="AQ52" s="119">
        <v>1.75</v>
      </c>
      <c r="AR52" s="120">
        <v>0.83</v>
      </c>
      <c r="AS52" s="118">
        <v>0.48</v>
      </c>
      <c r="AT52" s="118">
        <v>0.44</v>
      </c>
      <c r="AU52" s="119">
        <v>1.24</v>
      </c>
      <c r="AV52" s="120">
        <v>0.57999999999999996</v>
      </c>
      <c r="AW52" s="118">
        <v>0.86</v>
      </c>
      <c r="AX52" s="118">
        <v>0</v>
      </c>
      <c r="AY52" s="119">
        <v>1.45</v>
      </c>
      <c r="AZ52" s="120">
        <v>0.31</v>
      </c>
      <c r="BA52" s="118">
        <v>0.64</v>
      </c>
      <c r="BB52" s="118">
        <v>0.14000000000000001</v>
      </c>
      <c r="BC52" s="119">
        <v>1.1000000000000001</v>
      </c>
      <c r="BD52" s="121">
        <v>0.56000000000000005</v>
      </c>
      <c r="BE52" s="120">
        <v>0.81</v>
      </c>
      <c r="BF52" s="118">
        <v>0</v>
      </c>
      <c r="BG52" s="118">
        <v>0.4</v>
      </c>
      <c r="BH52" s="119">
        <v>1.21</v>
      </c>
      <c r="BI52" s="120">
        <v>0.47</v>
      </c>
      <c r="BJ52" s="118">
        <v>0.22</v>
      </c>
      <c r="BK52" s="118">
        <v>0.52</v>
      </c>
      <c r="BL52" s="119">
        <v>1.21</v>
      </c>
      <c r="BM52" s="120">
        <v>1.21</v>
      </c>
      <c r="BN52" s="118">
        <v>1.48</v>
      </c>
      <c r="BO52" s="118">
        <v>1.1200000000000001</v>
      </c>
      <c r="BP52" s="118">
        <v>1.58</v>
      </c>
      <c r="BQ52" s="118">
        <v>1.36</v>
      </c>
      <c r="BR52" s="118">
        <v>1.79</v>
      </c>
      <c r="BS52" s="118">
        <v>3.48</v>
      </c>
      <c r="BT52" s="118">
        <v>1.62</v>
      </c>
      <c r="BU52" s="119">
        <v>1.62</v>
      </c>
      <c r="BV52" s="74">
        <v>1733418</v>
      </c>
      <c r="BW52" s="105">
        <v>143</v>
      </c>
      <c r="BX52" s="105">
        <v>1143</v>
      </c>
      <c r="BY52" s="157">
        <v>22</v>
      </c>
      <c r="BZ52" s="106">
        <v>15.1</v>
      </c>
      <c r="CA52" s="115">
        <v>4.4400000000000004E-3</v>
      </c>
      <c r="CB52" s="105">
        <v>391</v>
      </c>
      <c r="CC52" s="114">
        <v>1.97E-3</v>
      </c>
      <c r="CD52" s="105">
        <v>438</v>
      </c>
      <c r="CE52" s="99">
        <f t="shared" si="2"/>
        <v>9.2934137232742655E-3</v>
      </c>
      <c r="CF52" s="100">
        <f t="shared" si="0"/>
        <v>1.96</v>
      </c>
    </row>
    <row r="53" spans="1:84" ht="14.25" hidden="1" customHeight="1" x14ac:dyDescent="0.25">
      <c r="A53" s="101">
        <v>52</v>
      </c>
      <c r="B53" s="102"/>
      <c r="C53" s="103" t="s">
        <v>261</v>
      </c>
      <c r="D53" s="104">
        <v>1422</v>
      </c>
      <c r="E53" s="105">
        <v>1219</v>
      </c>
      <c r="F53" s="106">
        <f t="shared" si="1"/>
        <v>1733418</v>
      </c>
      <c r="G53" s="105">
        <v>143</v>
      </c>
      <c r="H53" s="105">
        <v>1143</v>
      </c>
      <c r="I53" s="107">
        <v>1.17</v>
      </c>
      <c r="J53" s="155">
        <v>24</v>
      </c>
      <c r="K53" s="156">
        <v>19.2</v>
      </c>
      <c r="L53" s="157">
        <v>22</v>
      </c>
      <c r="M53" s="158">
        <v>0.95</v>
      </c>
      <c r="N53" s="106">
        <v>15.1</v>
      </c>
      <c r="O53" s="112" t="s">
        <v>210</v>
      </c>
      <c r="P53" s="113" t="s">
        <v>211</v>
      </c>
      <c r="Q53" s="114">
        <v>2.2200000000000002E-3</v>
      </c>
      <c r="R53" s="115">
        <v>0</v>
      </c>
      <c r="S53" s="115">
        <v>4.4400000000000004E-3</v>
      </c>
      <c r="T53" s="105">
        <v>391</v>
      </c>
      <c r="U53" s="113" t="s">
        <v>212</v>
      </c>
      <c r="V53" s="114">
        <v>1.97E-3</v>
      </c>
      <c r="W53" s="105">
        <v>438</v>
      </c>
      <c r="X53" s="116">
        <v>474</v>
      </c>
      <c r="Y53" s="160">
        <v>2.76</v>
      </c>
      <c r="Z53" s="110">
        <v>0.5</v>
      </c>
      <c r="AA53" s="162" t="s">
        <v>221</v>
      </c>
      <c r="AB53" s="163"/>
      <c r="AC53" s="109">
        <v>2.2999999999999998</v>
      </c>
      <c r="AD53" s="112" t="s">
        <v>224</v>
      </c>
      <c r="AE53" s="175">
        <v>2.4</v>
      </c>
      <c r="AF53" s="120">
        <v>0.94</v>
      </c>
      <c r="AG53" s="118">
        <v>0.4</v>
      </c>
      <c r="AH53" s="118">
        <v>0.69</v>
      </c>
      <c r="AI53" s="119">
        <v>1.62</v>
      </c>
      <c r="AJ53" s="120">
        <v>0.28999999999999998</v>
      </c>
      <c r="AK53" s="118">
        <v>1.03</v>
      </c>
      <c r="AL53" s="118">
        <v>0</v>
      </c>
      <c r="AM53" s="119">
        <v>1.32</v>
      </c>
      <c r="AN53" s="120">
        <v>0.6</v>
      </c>
      <c r="AO53" s="118">
        <v>0.55000000000000004</v>
      </c>
      <c r="AP53" s="118">
        <v>1.73</v>
      </c>
      <c r="AQ53" s="119">
        <v>1.75</v>
      </c>
      <c r="AR53" s="120">
        <v>0.83</v>
      </c>
      <c r="AS53" s="118">
        <v>0.48</v>
      </c>
      <c r="AT53" s="118">
        <v>0.69</v>
      </c>
      <c r="AU53" s="119">
        <v>1.24</v>
      </c>
      <c r="AV53" s="120">
        <v>0.57999999999999996</v>
      </c>
      <c r="AW53" s="118">
        <v>0.86</v>
      </c>
      <c r="AX53" s="118">
        <v>0</v>
      </c>
      <c r="AY53" s="119">
        <v>1.45</v>
      </c>
      <c r="AZ53" s="120">
        <v>0.31</v>
      </c>
      <c r="BA53" s="118">
        <v>0.64</v>
      </c>
      <c r="BB53" s="118">
        <v>0.23</v>
      </c>
      <c r="BC53" s="119">
        <v>1.18</v>
      </c>
      <c r="BD53" s="121">
        <v>0.56000000000000005</v>
      </c>
      <c r="BE53" s="120">
        <v>0.81</v>
      </c>
      <c r="BF53" s="118">
        <v>0</v>
      </c>
      <c r="BG53" s="118">
        <v>0.63</v>
      </c>
      <c r="BH53" s="119">
        <v>1.45</v>
      </c>
      <c r="BI53" s="120">
        <v>0.47</v>
      </c>
      <c r="BJ53" s="118">
        <v>0.22</v>
      </c>
      <c r="BK53" s="118">
        <v>0.83</v>
      </c>
      <c r="BL53" s="119">
        <v>1.52</v>
      </c>
      <c r="BM53" s="120">
        <v>1.48</v>
      </c>
      <c r="BN53" s="118">
        <v>1.81</v>
      </c>
      <c r="BO53" s="118">
        <v>1.37</v>
      </c>
      <c r="BP53" s="118">
        <v>1.93</v>
      </c>
      <c r="BQ53" s="118">
        <v>1.66</v>
      </c>
      <c r="BR53" s="118">
        <v>2.0299999999999998</v>
      </c>
      <c r="BS53" s="118">
        <v>4.25</v>
      </c>
      <c r="BT53" s="118">
        <v>1.66</v>
      </c>
      <c r="BU53" s="119">
        <v>1.58</v>
      </c>
      <c r="BV53" s="74">
        <v>1733418</v>
      </c>
      <c r="BW53" s="105">
        <v>143</v>
      </c>
      <c r="BX53" s="105">
        <v>1143</v>
      </c>
      <c r="BY53" s="157">
        <v>22</v>
      </c>
      <c r="BZ53" s="106">
        <v>15.1</v>
      </c>
      <c r="CA53" s="115">
        <v>4.4400000000000004E-3</v>
      </c>
      <c r="CB53" s="105">
        <v>391</v>
      </c>
      <c r="CC53" s="114">
        <v>1.97E-3</v>
      </c>
      <c r="CD53" s="105">
        <v>438</v>
      </c>
      <c r="CE53" s="99">
        <f t="shared" si="2"/>
        <v>9.5228807287872086E-3</v>
      </c>
      <c r="CF53" s="100">
        <f t="shared" si="0"/>
        <v>2.4</v>
      </c>
    </row>
    <row r="54" spans="1:84" ht="14.25" hidden="1" customHeight="1" x14ac:dyDescent="0.25">
      <c r="A54" s="101">
        <v>53</v>
      </c>
      <c r="B54" s="102"/>
      <c r="C54" s="103" t="s">
        <v>262</v>
      </c>
      <c r="D54" s="104">
        <v>1422</v>
      </c>
      <c r="E54" s="105">
        <v>1219</v>
      </c>
      <c r="F54" s="106">
        <f t="shared" si="1"/>
        <v>1733418</v>
      </c>
      <c r="G54" s="105">
        <v>143</v>
      </c>
      <c r="H54" s="105">
        <v>1143</v>
      </c>
      <c r="I54" s="107">
        <v>1.17</v>
      </c>
      <c r="J54" s="155">
        <v>24</v>
      </c>
      <c r="K54" s="156">
        <v>19.2</v>
      </c>
      <c r="L54" s="157">
        <v>22</v>
      </c>
      <c r="M54" s="158">
        <v>1.1100000000000001</v>
      </c>
      <c r="N54" s="106">
        <v>20.100000000000001</v>
      </c>
      <c r="O54" s="112" t="s">
        <v>210</v>
      </c>
      <c r="P54" s="113" t="s">
        <v>202</v>
      </c>
      <c r="Q54" s="114">
        <v>2.2200000000000002E-3</v>
      </c>
      <c r="R54" s="115">
        <v>0</v>
      </c>
      <c r="S54" s="115">
        <v>4.4400000000000004E-3</v>
      </c>
      <c r="T54" s="105">
        <v>391</v>
      </c>
      <c r="U54" s="113" t="s">
        <v>212</v>
      </c>
      <c r="V54" s="114">
        <v>1.9499999999999999E-3</v>
      </c>
      <c r="W54" s="105">
        <v>438</v>
      </c>
      <c r="X54" s="116">
        <v>474</v>
      </c>
      <c r="Y54" s="160">
        <v>2.76</v>
      </c>
      <c r="Z54" s="110">
        <v>0.5</v>
      </c>
      <c r="AA54" s="162" t="s">
        <v>221</v>
      </c>
      <c r="AB54" s="163"/>
      <c r="AC54" s="109">
        <v>3.9</v>
      </c>
      <c r="AD54" s="112" t="s">
        <v>224</v>
      </c>
      <c r="AE54" s="175">
        <v>1.84</v>
      </c>
      <c r="AF54" s="120">
        <v>1.08</v>
      </c>
      <c r="AG54" s="118">
        <v>0.4</v>
      </c>
      <c r="AH54" s="118">
        <v>0.69</v>
      </c>
      <c r="AI54" s="119">
        <v>1.86</v>
      </c>
      <c r="AJ54" s="120">
        <v>0.28999999999999998</v>
      </c>
      <c r="AK54" s="118">
        <v>1.02</v>
      </c>
      <c r="AL54" s="118">
        <v>0</v>
      </c>
      <c r="AM54" s="119">
        <v>1.31</v>
      </c>
      <c r="AN54" s="120">
        <v>0.05</v>
      </c>
      <c r="AO54" s="118">
        <v>0.55000000000000004</v>
      </c>
      <c r="AP54" s="118">
        <v>1.78</v>
      </c>
      <c r="AQ54" s="119">
        <v>2.02</v>
      </c>
      <c r="AR54" s="120">
        <v>0.95</v>
      </c>
      <c r="AS54" s="118">
        <v>0.48</v>
      </c>
      <c r="AT54" s="118">
        <v>0.69</v>
      </c>
      <c r="AU54" s="119">
        <v>1.44</v>
      </c>
      <c r="AV54" s="120">
        <v>0.67</v>
      </c>
      <c r="AW54" s="118">
        <v>0.85</v>
      </c>
      <c r="AX54" s="118">
        <v>0</v>
      </c>
      <c r="AY54" s="119">
        <v>1.53</v>
      </c>
      <c r="AZ54" s="120">
        <v>0.36</v>
      </c>
      <c r="BA54" s="118">
        <v>0.64</v>
      </c>
      <c r="BB54" s="118">
        <v>0.23</v>
      </c>
      <c r="BC54" s="119">
        <v>1.23</v>
      </c>
      <c r="BD54" s="121">
        <v>0.64</v>
      </c>
      <c r="BE54" s="120">
        <v>0.95</v>
      </c>
      <c r="BF54" s="118">
        <v>0</v>
      </c>
      <c r="BG54" s="118">
        <v>0.63</v>
      </c>
      <c r="BH54" s="119">
        <v>1.58</v>
      </c>
      <c r="BI54" s="120">
        <v>0.55000000000000004</v>
      </c>
      <c r="BJ54" s="118">
        <v>0.22</v>
      </c>
      <c r="BK54" s="118">
        <v>0.83</v>
      </c>
      <c r="BL54" s="119">
        <v>1.61</v>
      </c>
      <c r="BM54" s="120">
        <v>0.99</v>
      </c>
      <c r="BN54" s="118">
        <v>1.4</v>
      </c>
      <c r="BO54" s="118">
        <v>0.91</v>
      </c>
      <c r="BP54" s="118">
        <v>1.28</v>
      </c>
      <c r="BQ54" s="118">
        <v>1.21</v>
      </c>
      <c r="BR54" s="118">
        <v>1.5</v>
      </c>
      <c r="BS54" s="118">
        <v>2.87</v>
      </c>
      <c r="BT54" s="118">
        <v>1.1599999999999999</v>
      </c>
      <c r="BU54" s="119">
        <v>1.1499999999999999</v>
      </c>
      <c r="BV54" s="74">
        <v>1733418</v>
      </c>
      <c r="BW54" s="105">
        <v>143</v>
      </c>
      <c r="BX54" s="105">
        <v>1143</v>
      </c>
      <c r="BY54" s="157">
        <v>22</v>
      </c>
      <c r="BZ54" s="106">
        <v>20.100000000000001</v>
      </c>
      <c r="CA54" s="115">
        <v>4.4400000000000004E-3</v>
      </c>
      <c r="CB54" s="105">
        <v>391</v>
      </c>
      <c r="CC54" s="114">
        <v>1.9499999999999999E-3</v>
      </c>
      <c r="CD54" s="105">
        <v>438</v>
      </c>
      <c r="CE54" s="99">
        <f t="shared" si="2"/>
        <v>6.6545431598753991E-3</v>
      </c>
      <c r="CF54" s="100">
        <f t="shared" si="0"/>
        <v>1.84</v>
      </c>
    </row>
    <row r="55" spans="1:84" ht="14.25" hidden="1" customHeight="1" x14ac:dyDescent="0.25">
      <c r="A55" s="101">
        <v>54</v>
      </c>
      <c r="B55" s="102"/>
      <c r="C55" s="103" t="s">
        <v>263</v>
      </c>
      <c r="D55" s="104">
        <v>1422</v>
      </c>
      <c r="E55" s="105">
        <v>1219</v>
      </c>
      <c r="F55" s="106">
        <f t="shared" si="1"/>
        <v>1733418</v>
      </c>
      <c r="G55" s="105">
        <v>143</v>
      </c>
      <c r="H55" s="105">
        <v>1143</v>
      </c>
      <c r="I55" s="107">
        <v>1.17</v>
      </c>
      <c r="J55" s="155">
        <v>24</v>
      </c>
      <c r="K55" s="156">
        <v>19.2</v>
      </c>
      <c r="L55" s="157">
        <v>22</v>
      </c>
      <c r="M55" s="158">
        <v>1.1100000000000001</v>
      </c>
      <c r="N55" s="106">
        <v>20.100000000000001</v>
      </c>
      <c r="O55" s="112" t="s">
        <v>210</v>
      </c>
      <c r="P55" s="113" t="s">
        <v>202</v>
      </c>
      <c r="Q55" s="114">
        <v>2.2200000000000002E-3</v>
      </c>
      <c r="R55" s="115">
        <v>0</v>
      </c>
      <c r="S55" s="115">
        <v>4.4400000000000004E-3</v>
      </c>
      <c r="T55" s="105">
        <v>391</v>
      </c>
      <c r="U55" s="113" t="s">
        <v>212</v>
      </c>
      <c r="V55" s="114">
        <v>4.8700000000000002E-3</v>
      </c>
      <c r="W55" s="105">
        <v>438</v>
      </c>
      <c r="X55" s="116">
        <v>237</v>
      </c>
      <c r="Y55" s="160">
        <v>2.76</v>
      </c>
      <c r="Z55" s="110">
        <v>0.5</v>
      </c>
      <c r="AA55" s="162" t="s">
        <v>221</v>
      </c>
      <c r="AB55" s="163"/>
      <c r="AC55" s="109">
        <v>3.2</v>
      </c>
      <c r="AD55" s="112" t="s">
        <v>224</v>
      </c>
      <c r="AE55" s="175">
        <v>1.92</v>
      </c>
      <c r="AF55" s="120">
        <v>1.08</v>
      </c>
      <c r="AG55" s="118">
        <v>1</v>
      </c>
      <c r="AH55" s="118">
        <v>0.69</v>
      </c>
      <c r="AI55" s="119">
        <v>1.86</v>
      </c>
      <c r="AJ55" s="120">
        <v>0.28999999999999998</v>
      </c>
      <c r="AK55" s="118">
        <v>2.2400000000000002</v>
      </c>
      <c r="AL55" s="118">
        <v>0</v>
      </c>
      <c r="AM55" s="119">
        <v>2</v>
      </c>
      <c r="AN55" s="120">
        <v>0.32</v>
      </c>
      <c r="AO55" s="118">
        <v>1.36</v>
      </c>
      <c r="AP55" s="118">
        <v>1.78</v>
      </c>
      <c r="AQ55" s="119">
        <v>2.02</v>
      </c>
      <c r="AR55" s="120">
        <v>0.95</v>
      </c>
      <c r="AS55" s="118">
        <v>1.2</v>
      </c>
      <c r="AT55" s="118">
        <v>0.69</v>
      </c>
      <c r="AU55" s="119">
        <v>1.44</v>
      </c>
      <c r="AV55" s="120">
        <v>0.67</v>
      </c>
      <c r="AW55" s="118">
        <v>2.13</v>
      </c>
      <c r="AX55" s="118">
        <v>0</v>
      </c>
      <c r="AY55" s="119">
        <v>2.8</v>
      </c>
      <c r="AZ55" s="120">
        <v>0.36</v>
      </c>
      <c r="BA55" s="118">
        <v>1.01</v>
      </c>
      <c r="BB55" s="118">
        <v>0.23</v>
      </c>
      <c r="BC55" s="119">
        <v>1.6</v>
      </c>
      <c r="BD55" s="121">
        <v>0.64</v>
      </c>
      <c r="BE55" s="120">
        <v>0.95</v>
      </c>
      <c r="BF55" s="118">
        <v>0</v>
      </c>
      <c r="BG55" s="118">
        <v>0.63</v>
      </c>
      <c r="BH55" s="119">
        <v>1.58</v>
      </c>
      <c r="BI55" s="120">
        <v>0.55000000000000004</v>
      </c>
      <c r="BJ55" s="118">
        <v>0.43</v>
      </c>
      <c r="BK55" s="118">
        <v>0.83</v>
      </c>
      <c r="BL55" s="119">
        <v>1.81</v>
      </c>
      <c r="BM55" s="120">
        <v>1.03</v>
      </c>
      <c r="BN55" s="118">
        <v>0.96</v>
      </c>
      <c r="BO55" s="118">
        <v>0.95</v>
      </c>
      <c r="BP55" s="118">
        <v>1.34</v>
      </c>
      <c r="BQ55" s="118">
        <v>0.69</v>
      </c>
      <c r="BR55" s="118">
        <v>1.2</v>
      </c>
      <c r="BS55" s="118">
        <v>3</v>
      </c>
      <c r="BT55" s="118">
        <v>1.21</v>
      </c>
      <c r="BU55" s="119">
        <v>1.06</v>
      </c>
      <c r="BV55" s="74">
        <v>1733418</v>
      </c>
      <c r="BW55" s="105">
        <v>143</v>
      </c>
      <c r="BX55" s="105">
        <v>1143</v>
      </c>
      <c r="BY55" s="157">
        <v>22</v>
      </c>
      <c r="BZ55" s="106">
        <v>20.100000000000001</v>
      </c>
      <c r="CA55" s="115">
        <v>4.4400000000000004E-3</v>
      </c>
      <c r="CB55" s="105">
        <v>391</v>
      </c>
      <c r="CC55" s="114">
        <v>4.8700000000000002E-3</v>
      </c>
      <c r="CD55" s="105">
        <v>438</v>
      </c>
      <c r="CE55" s="99">
        <f t="shared" si="2"/>
        <v>6.9413769167665802E-3</v>
      </c>
      <c r="CF55" s="100">
        <f t="shared" si="0"/>
        <v>1.92</v>
      </c>
    </row>
    <row r="56" spans="1:84" ht="14.25" hidden="1" customHeight="1" x14ac:dyDescent="0.25">
      <c r="A56" s="101">
        <v>55</v>
      </c>
      <c r="B56" s="102"/>
      <c r="C56" s="103" t="s">
        <v>264</v>
      </c>
      <c r="D56" s="104">
        <v>1422</v>
      </c>
      <c r="E56" s="105">
        <v>1219</v>
      </c>
      <c r="F56" s="106">
        <f t="shared" si="1"/>
        <v>1733418</v>
      </c>
      <c r="G56" s="105">
        <v>143</v>
      </c>
      <c r="H56" s="105">
        <v>1143</v>
      </c>
      <c r="I56" s="107">
        <v>1.17</v>
      </c>
      <c r="J56" s="155">
        <v>24</v>
      </c>
      <c r="K56" s="156">
        <v>19.2</v>
      </c>
      <c r="L56" s="157">
        <v>22</v>
      </c>
      <c r="M56" s="158">
        <v>1.1100000000000001</v>
      </c>
      <c r="N56" s="106">
        <v>20.100000000000001</v>
      </c>
      <c r="O56" s="112" t="s">
        <v>210</v>
      </c>
      <c r="P56" s="113" t="s">
        <v>202</v>
      </c>
      <c r="Q56" s="114">
        <v>2.2200000000000002E-3</v>
      </c>
      <c r="R56" s="115">
        <v>3.9399999999999999E-3</v>
      </c>
      <c r="S56" s="115">
        <v>6.7400000000000003E-3</v>
      </c>
      <c r="T56" s="105">
        <v>391</v>
      </c>
      <c r="U56" s="113" t="s">
        <v>212</v>
      </c>
      <c r="V56" s="114">
        <v>1.97E-3</v>
      </c>
      <c r="W56" s="105">
        <v>438</v>
      </c>
      <c r="X56" s="116">
        <v>474</v>
      </c>
      <c r="Y56" s="160">
        <v>2.76</v>
      </c>
      <c r="Z56" s="110">
        <v>0.5</v>
      </c>
      <c r="AA56" s="162" t="s">
        <v>221</v>
      </c>
      <c r="AB56" s="163"/>
      <c r="AC56" s="109">
        <v>3.8</v>
      </c>
      <c r="AD56" s="112" t="s">
        <v>224</v>
      </c>
      <c r="AE56" s="175">
        <v>2.35</v>
      </c>
      <c r="AF56" s="120">
        <v>1.08</v>
      </c>
      <c r="AG56" s="118">
        <v>0.4</v>
      </c>
      <c r="AH56" s="118">
        <v>0.69</v>
      </c>
      <c r="AI56" s="119">
        <v>1.86</v>
      </c>
      <c r="AJ56" s="120">
        <v>0.28999999999999998</v>
      </c>
      <c r="AK56" s="118">
        <v>1.03</v>
      </c>
      <c r="AL56" s="118">
        <v>0</v>
      </c>
      <c r="AM56" s="119">
        <v>1.32</v>
      </c>
      <c r="AN56" s="120">
        <v>0.11</v>
      </c>
      <c r="AO56" s="118">
        <v>0.55000000000000004</v>
      </c>
      <c r="AP56" s="118">
        <v>1.77</v>
      </c>
      <c r="AQ56" s="119">
        <v>2.02</v>
      </c>
      <c r="AR56" s="120">
        <v>0.95</v>
      </c>
      <c r="AS56" s="118">
        <v>0.48</v>
      </c>
      <c r="AT56" s="118">
        <v>0.69</v>
      </c>
      <c r="AU56" s="119">
        <v>1.44</v>
      </c>
      <c r="AV56" s="120">
        <v>0.67</v>
      </c>
      <c r="AW56" s="118">
        <v>0.86</v>
      </c>
      <c r="AX56" s="118">
        <v>0</v>
      </c>
      <c r="AY56" s="119">
        <v>1.53</v>
      </c>
      <c r="AZ56" s="120">
        <v>0.36</v>
      </c>
      <c r="BA56" s="118">
        <v>1.5</v>
      </c>
      <c r="BB56" s="118">
        <v>0.23</v>
      </c>
      <c r="BC56" s="119">
        <v>2.09</v>
      </c>
      <c r="BD56" s="121">
        <v>0.64</v>
      </c>
      <c r="BE56" s="120">
        <v>0.95</v>
      </c>
      <c r="BF56" s="118">
        <v>0</v>
      </c>
      <c r="BG56" s="118">
        <v>0.63</v>
      </c>
      <c r="BH56" s="119">
        <v>1.58</v>
      </c>
      <c r="BI56" s="120">
        <v>0.55000000000000004</v>
      </c>
      <c r="BJ56" s="118">
        <v>0.22</v>
      </c>
      <c r="BK56" s="118">
        <v>0.83</v>
      </c>
      <c r="BL56" s="119">
        <v>1.6</v>
      </c>
      <c r="BM56" s="120">
        <v>1.26</v>
      </c>
      <c r="BN56" s="118">
        <v>1.78</v>
      </c>
      <c r="BO56" s="118">
        <v>1.17</v>
      </c>
      <c r="BP56" s="118">
        <v>1.64</v>
      </c>
      <c r="BQ56" s="118">
        <v>1.53</v>
      </c>
      <c r="BR56" s="118">
        <v>1.1299999999999999</v>
      </c>
      <c r="BS56" s="118">
        <v>3.67</v>
      </c>
      <c r="BT56" s="118">
        <v>1.48</v>
      </c>
      <c r="BU56" s="119">
        <v>1.47</v>
      </c>
      <c r="BV56" s="74">
        <v>1733418</v>
      </c>
      <c r="BW56" s="105">
        <v>143</v>
      </c>
      <c r="BX56" s="105">
        <v>1143</v>
      </c>
      <c r="BY56" s="157">
        <v>22</v>
      </c>
      <c r="BZ56" s="106">
        <v>20.100000000000001</v>
      </c>
      <c r="CA56" s="115">
        <v>6.7400000000000003E-3</v>
      </c>
      <c r="CB56" s="105">
        <v>391</v>
      </c>
      <c r="CC56" s="114">
        <v>1.97E-3</v>
      </c>
      <c r="CD56" s="105">
        <v>438</v>
      </c>
      <c r="CE56" s="99">
        <f t="shared" si="2"/>
        <v>8.4902792039789569E-3</v>
      </c>
      <c r="CF56" s="100">
        <f t="shared" si="0"/>
        <v>2.35</v>
      </c>
    </row>
    <row r="57" spans="1:84" ht="14.25" hidden="1" customHeight="1" x14ac:dyDescent="0.25">
      <c r="A57" s="101">
        <v>56</v>
      </c>
      <c r="B57" s="102"/>
      <c r="C57" s="103" t="s">
        <v>265</v>
      </c>
      <c r="D57" s="104">
        <v>1422</v>
      </c>
      <c r="E57" s="105">
        <v>1219</v>
      </c>
      <c r="F57" s="106">
        <f t="shared" si="1"/>
        <v>1733418</v>
      </c>
      <c r="G57" s="105">
        <v>143</v>
      </c>
      <c r="H57" s="105">
        <v>1143</v>
      </c>
      <c r="I57" s="107">
        <v>1.17</v>
      </c>
      <c r="J57" s="155">
        <v>24</v>
      </c>
      <c r="K57" s="156">
        <v>19.2</v>
      </c>
      <c r="L57" s="157">
        <v>22</v>
      </c>
      <c r="M57" s="158">
        <v>1.1100000000000001</v>
      </c>
      <c r="N57" s="106">
        <v>20.100000000000001</v>
      </c>
      <c r="O57" s="112" t="s">
        <v>210</v>
      </c>
      <c r="P57" s="113" t="s">
        <v>202</v>
      </c>
      <c r="Q57" s="114">
        <v>1.15E-3</v>
      </c>
      <c r="R57" s="115">
        <v>3.9399999999999999E-3</v>
      </c>
      <c r="S57" s="115">
        <v>4.5900000000000003E-3</v>
      </c>
      <c r="T57" s="105">
        <v>438</v>
      </c>
      <c r="U57" s="113" t="s">
        <v>212</v>
      </c>
      <c r="V57" s="114">
        <v>4.8700000000000002E-3</v>
      </c>
      <c r="W57" s="105">
        <v>438</v>
      </c>
      <c r="X57" s="116">
        <v>237</v>
      </c>
      <c r="Y57" s="160">
        <v>2.76</v>
      </c>
      <c r="Z57" s="110">
        <v>0.5</v>
      </c>
      <c r="AA57" s="162" t="s">
        <v>221</v>
      </c>
      <c r="AB57" s="163"/>
      <c r="AC57" s="109">
        <v>3.2</v>
      </c>
      <c r="AD57" s="112" t="s">
        <v>224</v>
      </c>
      <c r="AE57" s="175">
        <v>2.4</v>
      </c>
      <c r="AF57" s="120">
        <v>1.08</v>
      </c>
      <c r="AG57" s="118">
        <v>1</v>
      </c>
      <c r="AH57" s="118">
        <v>0.69</v>
      </c>
      <c r="AI57" s="119">
        <v>1.86</v>
      </c>
      <c r="AJ57" s="120">
        <v>0.28999999999999998</v>
      </c>
      <c r="AK57" s="118">
        <v>2.2400000000000002</v>
      </c>
      <c r="AL57" s="118">
        <v>0</v>
      </c>
      <c r="AM57" s="119">
        <v>2</v>
      </c>
      <c r="AN57" s="120">
        <v>0.32</v>
      </c>
      <c r="AO57" s="118">
        <v>1.36</v>
      </c>
      <c r="AP57" s="118">
        <v>1.78</v>
      </c>
      <c r="AQ57" s="119">
        <v>2.02</v>
      </c>
      <c r="AR57" s="120">
        <v>0.95</v>
      </c>
      <c r="AS57" s="118">
        <v>1.2</v>
      </c>
      <c r="AT57" s="118">
        <v>0.69</v>
      </c>
      <c r="AU57" s="119">
        <v>1.44</v>
      </c>
      <c r="AV57" s="120">
        <v>0.67</v>
      </c>
      <c r="AW57" s="118">
        <v>2.13</v>
      </c>
      <c r="AX57" s="118">
        <v>0</v>
      </c>
      <c r="AY57" s="119">
        <v>2.8</v>
      </c>
      <c r="AZ57" s="120">
        <v>0.31</v>
      </c>
      <c r="BA57" s="118">
        <v>1.92</v>
      </c>
      <c r="BB57" s="118">
        <v>0.23</v>
      </c>
      <c r="BC57" s="119">
        <v>2.46</v>
      </c>
      <c r="BD57" s="121">
        <v>0.64</v>
      </c>
      <c r="BE57" s="120">
        <v>0.95</v>
      </c>
      <c r="BF57" s="118">
        <v>0</v>
      </c>
      <c r="BG57" s="118">
        <v>0.63</v>
      </c>
      <c r="BH57" s="119">
        <v>1.58</v>
      </c>
      <c r="BI57" s="120">
        <v>0.55000000000000004</v>
      </c>
      <c r="BJ57" s="118">
        <v>0.43</v>
      </c>
      <c r="BK57" s="118">
        <v>0.83</v>
      </c>
      <c r="BL57" s="119">
        <v>1.81</v>
      </c>
      <c r="BM57" s="120">
        <v>1.29</v>
      </c>
      <c r="BN57" s="118">
        <v>1.2</v>
      </c>
      <c r="BO57" s="118">
        <v>1.19</v>
      </c>
      <c r="BP57" s="118">
        <v>1.67</v>
      </c>
      <c r="BQ57" s="118">
        <v>0.86</v>
      </c>
      <c r="BR57" s="118">
        <v>0.98</v>
      </c>
      <c r="BS57" s="118">
        <v>3.74</v>
      </c>
      <c r="BT57" s="118">
        <v>1.51</v>
      </c>
      <c r="BU57" s="119">
        <v>1.33</v>
      </c>
      <c r="BV57" s="74">
        <v>1733418</v>
      </c>
      <c r="BW57" s="105">
        <v>143</v>
      </c>
      <c r="BX57" s="105">
        <v>1143</v>
      </c>
      <c r="BY57" s="157">
        <v>22</v>
      </c>
      <c r="BZ57" s="106">
        <v>20.100000000000001</v>
      </c>
      <c r="CA57" s="115">
        <v>4.5900000000000003E-3</v>
      </c>
      <c r="CB57" s="105">
        <v>438</v>
      </c>
      <c r="CC57" s="114">
        <v>4.8700000000000002E-3</v>
      </c>
      <c r="CD57" s="105">
        <v>438</v>
      </c>
      <c r="CE57" s="99">
        <f t="shared" si="2"/>
        <v>8.6623794581136664E-3</v>
      </c>
      <c r="CF57" s="100">
        <f t="shared" si="0"/>
        <v>2.4</v>
      </c>
    </row>
    <row r="58" spans="1:84" ht="14.25" hidden="1" customHeight="1" x14ac:dyDescent="0.25">
      <c r="A58" s="101">
        <v>57</v>
      </c>
      <c r="B58" s="102"/>
      <c r="C58" s="103" t="s">
        <v>266</v>
      </c>
      <c r="D58" s="104">
        <v>1422</v>
      </c>
      <c r="E58" s="105">
        <v>1219</v>
      </c>
      <c r="F58" s="106">
        <f t="shared" si="1"/>
        <v>1733418</v>
      </c>
      <c r="G58" s="105">
        <v>143</v>
      </c>
      <c r="H58" s="105">
        <v>1143</v>
      </c>
      <c r="I58" s="107">
        <v>1.17</v>
      </c>
      <c r="J58" s="155">
        <v>24</v>
      </c>
      <c r="K58" s="156">
        <v>19.2</v>
      </c>
      <c r="L58" s="157">
        <v>22</v>
      </c>
      <c r="M58" s="158">
        <v>1.1100000000000001</v>
      </c>
      <c r="N58" s="106">
        <v>20.100000000000001</v>
      </c>
      <c r="O58" s="112" t="s">
        <v>210</v>
      </c>
      <c r="P58" s="113" t="s">
        <v>202</v>
      </c>
      <c r="Q58" s="114">
        <v>7.3999999999999999E-4</v>
      </c>
      <c r="R58" s="115">
        <v>4.2300000000000003E-3</v>
      </c>
      <c r="S58" s="115">
        <v>4.4400000000000004E-3</v>
      </c>
      <c r="T58" s="105">
        <v>410</v>
      </c>
      <c r="U58" s="113" t="s">
        <v>212</v>
      </c>
      <c r="V58" s="114">
        <v>1.97E-3</v>
      </c>
      <c r="W58" s="105">
        <v>438</v>
      </c>
      <c r="X58" s="116">
        <v>474</v>
      </c>
      <c r="Y58" s="160">
        <v>2.76</v>
      </c>
      <c r="Z58" s="110">
        <v>0.5</v>
      </c>
      <c r="AA58" s="162" t="s">
        <v>221</v>
      </c>
      <c r="AB58" s="163"/>
      <c r="AC58" s="109">
        <v>4.7</v>
      </c>
      <c r="AD58" s="112" t="s">
        <v>224</v>
      </c>
      <c r="AE58" s="175">
        <v>2.0299999999999998</v>
      </c>
      <c r="AF58" s="120">
        <v>1.08</v>
      </c>
      <c r="AG58" s="118">
        <v>0.4</v>
      </c>
      <c r="AH58" s="118">
        <v>0.69</v>
      </c>
      <c r="AI58" s="119">
        <v>1.86</v>
      </c>
      <c r="AJ58" s="120">
        <v>0.28999999999999998</v>
      </c>
      <c r="AK58" s="118">
        <v>1.03</v>
      </c>
      <c r="AL58" s="118">
        <v>0</v>
      </c>
      <c r="AM58" s="119">
        <v>1.32</v>
      </c>
      <c r="AN58" s="120">
        <v>0</v>
      </c>
      <c r="AO58" s="118">
        <v>0.55000000000000004</v>
      </c>
      <c r="AP58" s="118">
        <v>1.78</v>
      </c>
      <c r="AQ58" s="119">
        <v>2.02</v>
      </c>
      <c r="AR58" s="120">
        <v>0.95</v>
      </c>
      <c r="AS58" s="118">
        <v>0.48</v>
      </c>
      <c r="AT58" s="118">
        <v>0.69</v>
      </c>
      <c r="AU58" s="119">
        <v>1.44</v>
      </c>
      <c r="AV58" s="120">
        <v>0.67</v>
      </c>
      <c r="AW58" s="118">
        <v>0.86</v>
      </c>
      <c r="AX58" s="118">
        <v>0</v>
      </c>
      <c r="AY58" s="119">
        <v>1.53</v>
      </c>
      <c r="AZ58" s="120">
        <v>0.28000000000000003</v>
      </c>
      <c r="BA58" s="118">
        <v>1.56</v>
      </c>
      <c r="BB58" s="118">
        <v>0.23</v>
      </c>
      <c r="BC58" s="119">
        <v>2.06</v>
      </c>
      <c r="BD58" s="121">
        <v>0.64</v>
      </c>
      <c r="BE58" s="120">
        <v>0.95</v>
      </c>
      <c r="BF58" s="118">
        <v>0</v>
      </c>
      <c r="BG58" s="118">
        <v>0.63</v>
      </c>
      <c r="BH58" s="119">
        <v>1.58</v>
      </c>
      <c r="BI58" s="120">
        <v>0.55000000000000004</v>
      </c>
      <c r="BJ58" s="118">
        <v>0.22</v>
      </c>
      <c r="BK58" s="118">
        <v>0.83</v>
      </c>
      <c r="BL58" s="119">
        <v>1.6</v>
      </c>
      <c r="BM58" s="120">
        <v>1.0900000000000001</v>
      </c>
      <c r="BN58" s="118">
        <v>1.53</v>
      </c>
      <c r="BO58" s="118">
        <v>1.01</v>
      </c>
      <c r="BP58" s="118">
        <v>1.42</v>
      </c>
      <c r="BQ58" s="118">
        <v>1.32</v>
      </c>
      <c r="BR58" s="118">
        <v>0.99</v>
      </c>
      <c r="BS58" s="118">
        <v>3.17</v>
      </c>
      <c r="BT58" s="118">
        <v>1.28</v>
      </c>
      <c r="BU58" s="119">
        <v>1.27</v>
      </c>
      <c r="BV58" s="74">
        <v>1733418</v>
      </c>
      <c r="BW58" s="105">
        <v>143</v>
      </c>
      <c r="BX58" s="105">
        <v>1143</v>
      </c>
      <c r="BY58" s="157">
        <v>22</v>
      </c>
      <c r="BZ58" s="106">
        <v>20.100000000000001</v>
      </c>
      <c r="CA58" s="115">
        <v>4.4400000000000004E-3</v>
      </c>
      <c r="CB58" s="105">
        <v>410</v>
      </c>
      <c r="CC58" s="114">
        <v>1.97E-3</v>
      </c>
      <c r="CD58" s="105">
        <v>438</v>
      </c>
      <c r="CE58" s="99">
        <f t="shared" si="2"/>
        <v>7.3429441764142336E-3</v>
      </c>
      <c r="CF58" s="100">
        <f t="shared" si="0"/>
        <v>2.0299999999999998</v>
      </c>
    </row>
    <row r="59" spans="1:84" ht="14.25" hidden="1" customHeight="1" x14ac:dyDescent="0.25">
      <c r="A59" s="101">
        <v>58</v>
      </c>
      <c r="B59" s="102"/>
      <c r="C59" s="103" t="s">
        <v>267</v>
      </c>
      <c r="D59" s="104">
        <v>1422</v>
      </c>
      <c r="E59" s="105">
        <v>1219</v>
      </c>
      <c r="F59" s="106">
        <f t="shared" si="1"/>
        <v>1733418</v>
      </c>
      <c r="G59" s="105">
        <v>143</v>
      </c>
      <c r="H59" s="105">
        <v>1143</v>
      </c>
      <c r="I59" s="107">
        <v>1.17</v>
      </c>
      <c r="J59" s="155">
        <v>24</v>
      </c>
      <c r="K59" s="156">
        <v>19.2</v>
      </c>
      <c r="L59" s="157">
        <v>22</v>
      </c>
      <c r="M59" s="158">
        <v>1.1100000000000001</v>
      </c>
      <c r="N59" s="106">
        <v>20.100000000000001</v>
      </c>
      <c r="O59" s="112" t="s">
        <v>210</v>
      </c>
      <c r="P59" s="113" t="s">
        <v>202</v>
      </c>
      <c r="Q59" s="114">
        <v>7.3999999999999999E-4</v>
      </c>
      <c r="R59" s="115">
        <v>4.2300000000000003E-3</v>
      </c>
      <c r="S59" s="115">
        <v>4.4400000000000004E-3</v>
      </c>
      <c r="T59" s="105">
        <v>410</v>
      </c>
      <c r="U59" s="113" t="s">
        <v>212</v>
      </c>
      <c r="V59" s="114">
        <v>4.8700000000000002E-3</v>
      </c>
      <c r="W59" s="105">
        <v>438</v>
      </c>
      <c r="X59" s="116">
        <v>237</v>
      </c>
      <c r="Y59" s="160">
        <v>2.76</v>
      </c>
      <c r="Z59" s="110">
        <v>0.5</v>
      </c>
      <c r="AA59" s="162" t="s">
        <v>221</v>
      </c>
      <c r="AB59" s="163"/>
      <c r="AC59" s="109">
        <v>5.2</v>
      </c>
      <c r="AD59" s="112" t="s">
        <v>224</v>
      </c>
      <c r="AE59" s="175">
        <v>2.2000000000000002</v>
      </c>
      <c r="AF59" s="120">
        <v>1.08</v>
      </c>
      <c r="AG59" s="118">
        <v>1</v>
      </c>
      <c r="AH59" s="118">
        <v>0.69</v>
      </c>
      <c r="AI59" s="119">
        <v>1.86</v>
      </c>
      <c r="AJ59" s="120">
        <v>0.28999999999999998</v>
      </c>
      <c r="AK59" s="118">
        <v>2.2400000000000002</v>
      </c>
      <c r="AL59" s="118">
        <v>0</v>
      </c>
      <c r="AM59" s="119">
        <v>2</v>
      </c>
      <c r="AN59" s="120">
        <v>0</v>
      </c>
      <c r="AO59" s="118">
        <v>1.36</v>
      </c>
      <c r="AP59" s="118">
        <v>1.78</v>
      </c>
      <c r="AQ59" s="119">
        <v>2.02</v>
      </c>
      <c r="AR59" s="120">
        <v>0.95</v>
      </c>
      <c r="AS59" s="118">
        <v>1.2</v>
      </c>
      <c r="AT59" s="118">
        <v>0.69</v>
      </c>
      <c r="AU59" s="119">
        <v>1.44</v>
      </c>
      <c r="AV59" s="120">
        <v>0.67</v>
      </c>
      <c r="AW59" s="118">
        <v>2.13</v>
      </c>
      <c r="AX59" s="118">
        <v>0</v>
      </c>
      <c r="AY59" s="119">
        <v>2.8</v>
      </c>
      <c r="AZ59" s="120">
        <v>0.28000000000000003</v>
      </c>
      <c r="BA59" s="118">
        <v>1.92</v>
      </c>
      <c r="BB59" s="118">
        <v>0.23</v>
      </c>
      <c r="BC59" s="119">
        <v>2.4300000000000002</v>
      </c>
      <c r="BD59" s="121">
        <v>0.64</v>
      </c>
      <c r="BE59" s="120">
        <v>0.95</v>
      </c>
      <c r="BF59" s="118">
        <v>0</v>
      </c>
      <c r="BG59" s="118">
        <v>0.63</v>
      </c>
      <c r="BH59" s="119">
        <v>1.58</v>
      </c>
      <c r="BI59" s="120">
        <v>0.55000000000000004</v>
      </c>
      <c r="BJ59" s="118">
        <v>0.43</v>
      </c>
      <c r="BK59" s="118">
        <v>0.83</v>
      </c>
      <c r="BL59" s="119">
        <v>1.81</v>
      </c>
      <c r="BM59" s="120">
        <v>1.18</v>
      </c>
      <c r="BN59" s="118">
        <v>1.1000000000000001</v>
      </c>
      <c r="BO59" s="118">
        <v>1.0900000000000001</v>
      </c>
      <c r="BP59" s="118">
        <v>1.53</v>
      </c>
      <c r="BQ59" s="118">
        <v>0.78</v>
      </c>
      <c r="BR59" s="118">
        <v>0.9</v>
      </c>
      <c r="BS59" s="118">
        <v>3.43</v>
      </c>
      <c r="BT59" s="118">
        <v>1.39</v>
      </c>
      <c r="BU59" s="119">
        <v>1.22</v>
      </c>
      <c r="BV59" s="74">
        <v>1733418</v>
      </c>
      <c r="BW59" s="105">
        <v>143</v>
      </c>
      <c r="BX59" s="105">
        <v>1143</v>
      </c>
      <c r="BY59" s="157">
        <v>22</v>
      </c>
      <c r="BZ59" s="106">
        <v>20.100000000000001</v>
      </c>
      <c r="CA59" s="115">
        <v>4.4400000000000004E-3</v>
      </c>
      <c r="CB59" s="105">
        <v>410</v>
      </c>
      <c r="CC59" s="114">
        <v>4.8700000000000002E-3</v>
      </c>
      <c r="CD59" s="105">
        <v>438</v>
      </c>
      <c r="CE59" s="99">
        <f t="shared" si="2"/>
        <v>7.9739784415748319E-3</v>
      </c>
      <c r="CF59" s="100">
        <f t="shared" si="0"/>
        <v>2.2000000000000002</v>
      </c>
    </row>
    <row r="60" spans="1:84" ht="14.25" hidden="1" customHeight="1" x14ac:dyDescent="0.25">
      <c r="A60" s="101">
        <v>59</v>
      </c>
      <c r="B60" s="102"/>
      <c r="C60" s="103" t="s">
        <v>268</v>
      </c>
      <c r="D60" s="104">
        <v>1422</v>
      </c>
      <c r="E60" s="105">
        <v>1219</v>
      </c>
      <c r="F60" s="106">
        <f t="shared" si="1"/>
        <v>1733418</v>
      </c>
      <c r="G60" s="105">
        <v>143</v>
      </c>
      <c r="H60" s="105">
        <v>1143</v>
      </c>
      <c r="I60" s="107">
        <v>1.17</v>
      </c>
      <c r="J60" s="155">
        <v>24</v>
      </c>
      <c r="K60" s="156">
        <v>19.2</v>
      </c>
      <c r="L60" s="157">
        <v>22</v>
      </c>
      <c r="M60" s="158">
        <v>1.1100000000000001</v>
      </c>
      <c r="N60" s="106">
        <v>20.100000000000001</v>
      </c>
      <c r="O60" s="112" t="s">
        <v>210</v>
      </c>
      <c r="P60" s="113" t="s">
        <v>202</v>
      </c>
      <c r="Q60" s="114">
        <v>2.2200000000000002E-3</v>
      </c>
      <c r="R60" s="115">
        <v>0</v>
      </c>
      <c r="S60" s="115">
        <v>1.48E-3</v>
      </c>
      <c r="T60" s="105">
        <v>391</v>
      </c>
      <c r="U60" s="113" t="s">
        <v>212</v>
      </c>
      <c r="V60" s="114">
        <v>1.97E-3</v>
      </c>
      <c r="W60" s="105">
        <v>438</v>
      </c>
      <c r="X60" s="116">
        <v>474</v>
      </c>
      <c r="Y60" s="160">
        <v>2.76</v>
      </c>
      <c r="Z60" s="110">
        <v>0.5</v>
      </c>
      <c r="AA60" s="162" t="s">
        <v>221</v>
      </c>
      <c r="AB60" s="163"/>
      <c r="AC60" s="109">
        <v>2.2000000000000002</v>
      </c>
      <c r="AD60" s="112" t="s">
        <v>224</v>
      </c>
      <c r="AE60" s="175">
        <v>2.1800000000000002</v>
      </c>
      <c r="AF60" s="120">
        <v>1.08</v>
      </c>
      <c r="AG60" s="118">
        <v>0.4</v>
      </c>
      <c r="AH60" s="118">
        <v>0.69</v>
      </c>
      <c r="AI60" s="119">
        <v>1.86</v>
      </c>
      <c r="AJ60" s="120">
        <v>0.28999999999999998</v>
      </c>
      <c r="AK60" s="118">
        <v>1.03</v>
      </c>
      <c r="AL60" s="118">
        <v>0</v>
      </c>
      <c r="AM60" s="119">
        <v>1.32</v>
      </c>
      <c r="AN60" s="120">
        <v>0.65</v>
      </c>
      <c r="AO60" s="118">
        <v>0.55000000000000004</v>
      </c>
      <c r="AP60" s="118">
        <v>1.82</v>
      </c>
      <c r="AQ60" s="119">
        <v>2.02</v>
      </c>
      <c r="AR60" s="120">
        <v>0.95</v>
      </c>
      <c r="AS60" s="118">
        <v>0.48</v>
      </c>
      <c r="AT60" s="118">
        <v>0.69</v>
      </c>
      <c r="AU60" s="119">
        <v>1.44</v>
      </c>
      <c r="AV60" s="120">
        <v>0.67</v>
      </c>
      <c r="AW60" s="118">
        <v>0.86</v>
      </c>
      <c r="AX60" s="118">
        <v>0</v>
      </c>
      <c r="AY60" s="119">
        <v>1.53</v>
      </c>
      <c r="AZ60" s="120">
        <v>0.36</v>
      </c>
      <c r="BA60" s="118">
        <v>0.64</v>
      </c>
      <c r="BB60" s="118">
        <v>0.23</v>
      </c>
      <c r="BC60" s="119">
        <v>1.23</v>
      </c>
      <c r="BD60" s="121">
        <v>0.64</v>
      </c>
      <c r="BE60" s="120">
        <v>0.95</v>
      </c>
      <c r="BF60" s="118">
        <v>0</v>
      </c>
      <c r="BG60" s="118">
        <v>0.63</v>
      </c>
      <c r="BH60" s="119">
        <v>1.58</v>
      </c>
      <c r="BI60" s="120">
        <v>0.55000000000000004</v>
      </c>
      <c r="BJ60" s="118">
        <v>0.22</v>
      </c>
      <c r="BK60" s="118">
        <v>0.83</v>
      </c>
      <c r="BL60" s="119">
        <v>1.6</v>
      </c>
      <c r="BM60" s="120">
        <v>1.17</v>
      </c>
      <c r="BN60" s="118">
        <v>1.65</v>
      </c>
      <c r="BO60" s="118">
        <v>1.08</v>
      </c>
      <c r="BP60" s="118">
        <v>1.52</v>
      </c>
      <c r="BQ60" s="118">
        <v>1.42</v>
      </c>
      <c r="BR60" s="118">
        <v>1.77</v>
      </c>
      <c r="BS60" s="118">
        <v>3.4</v>
      </c>
      <c r="BT60" s="118">
        <v>1.38</v>
      </c>
      <c r="BU60" s="119">
        <v>1.36</v>
      </c>
      <c r="BV60" s="74">
        <v>1733418</v>
      </c>
      <c r="BW60" s="105">
        <v>143</v>
      </c>
      <c r="BX60" s="105">
        <v>1143</v>
      </c>
      <c r="BY60" s="157">
        <v>22</v>
      </c>
      <c r="BZ60" s="106">
        <v>20.100000000000001</v>
      </c>
      <c r="CA60" s="115">
        <v>1.48E-3</v>
      </c>
      <c r="CB60" s="105">
        <v>391</v>
      </c>
      <c r="CC60" s="114">
        <v>1.97E-3</v>
      </c>
      <c r="CD60" s="105">
        <v>438</v>
      </c>
      <c r="CE60" s="99">
        <f t="shared" si="2"/>
        <v>7.9166116901965965E-3</v>
      </c>
      <c r="CF60" s="100">
        <f t="shared" si="0"/>
        <v>2.1800000000000002</v>
      </c>
    </row>
    <row r="61" spans="1:84" ht="14.25" hidden="1" customHeight="1" x14ac:dyDescent="0.25">
      <c r="A61" s="101">
        <v>60</v>
      </c>
      <c r="B61" s="102"/>
      <c r="C61" s="103" t="s">
        <v>269</v>
      </c>
      <c r="D61" s="104">
        <v>1422</v>
      </c>
      <c r="E61" s="105">
        <v>1219</v>
      </c>
      <c r="F61" s="106">
        <f t="shared" si="1"/>
        <v>1733418</v>
      </c>
      <c r="G61" s="105">
        <v>143</v>
      </c>
      <c r="H61" s="105">
        <v>1143</v>
      </c>
      <c r="I61" s="107">
        <v>1.17</v>
      </c>
      <c r="J61" s="155">
        <v>24</v>
      </c>
      <c r="K61" s="156">
        <v>19.2</v>
      </c>
      <c r="L61" s="157">
        <v>22</v>
      </c>
      <c r="M61" s="158">
        <v>1.1100000000000001</v>
      </c>
      <c r="N61" s="106">
        <v>20.100000000000001</v>
      </c>
      <c r="O61" s="112" t="s">
        <v>210</v>
      </c>
      <c r="P61" s="113" t="s">
        <v>202</v>
      </c>
      <c r="Q61" s="114">
        <v>2.2200000000000002E-3</v>
      </c>
      <c r="R61" s="115">
        <v>0</v>
      </c>
      <c r="S61" s="115">
        <v>4.4400000000000004E-3</v>
      </c>
      <c r="T61" s="105">
        <v>391</v>
      </c>
      <c r="U61" s="113" t="s">
        <v>212</v>
      </c>
      <c r="V61" s="114">
        <v>4.8700000000000002E-3</v>
      </c>
      <c r="W61" s="105">
        <v>438</v>
      </c>
      <c r="X61" s="116">
        <v>237</v>
      </c>
      <c r="Y61" s="160">
        <v>2.76</v>
      </c>
      <c r="Z61" s="110">
        <v>0.5</v>
      </c>
      <c r="AA61" s="162" t="s">
        <v>221</v>
      </c>
      <c r="AB61" s="163"/>
      <c r="AC61" s="109">
        <v>2.7</v>
      </c>
      <c r="AD61" s="112" t="s">
        <v>224</v>
      </c>
      <c r="AE61" s="175">
        <v>2.14</v>
      </c>
      <c r="AF61" s="120">
        <v>1.08</v>
      </c>
      <c r="AG61" s="118">
        <v>1</v>
      </c>
      <c r="AH61" s="118">
        <v>0.69</v>
      </c>
      <c r="AI61" s="119">
        <v>1.86</v>
      </c>
      <c r="AJ61" s="120">
        <v>0.28999999999999998</v>
      </c>
      <c r="AK61" s="118">
        <v>2.2400000000000002</v>
      </c>
      <c r="AL61" s="118">
        <v>0</v>
      </c>
      <c r="AM61" s="119">
        <v>2</v>
      </c>
      <c r="AN61" s="120">
        <v>0.53</v>
      </c>
      <c r="AO61" s="118">
        <v>1.36</v>
      </c>
      <c r="AP61" s="118">
        <v>1.78</v>
      </c>
      <c r="AQ61" s="119">
        <v>2.02</v>
      </c>
      <c r="AR61" s="120">
        <v>0.95</v>
      </c>
      <c r="AS61" s="118">
        <v>1.2</v>
      </c>
      <c r="AT61" s="118">
        <v>0.69</v>
      </c>
      <c r="AU61" s="119">
        <v>1.44</v>
      </c>
      <c r="AV61" s="120">
        <v>0.67</v>
      </c>
      <c r="AW61" s="118">
        <v>2.13</v>
      </c>
      <c r="AX61" s="118">
        <v>0</v>
      </c>
      <c r="AY61" s="119">
        <v>2.8</v>
      </c>
      <c r="AZ61" s="120">
        <v>0.36</v>
      </c>
      <c r="BA61" s="118">
        <v>1.01</v>
      </c>
      <c r="BB61" s="118">
        <v>0.23</v>
      </c>
      <c r="BC61" s="119">
        <v>1.6</v>
      </c>
      <c r="BD61" s="121">
        <v>0.64</v>
      </c>
      <c r="BE61" s="120">
        <v>0.95</v>
      </c>
      <c r="BF61" s="118">
        <v>0</v>
      </c>
      <c r="BG61" s="118">
        <v>0.63</v>
      </c>
      <c r="BH61" s="119">
        <v>1.58</v>
      </c>
      <c r="BI61" s="120">
        <v>0.55000000000000004</v>
      </c>
      <c r="BJ61" s="118">
        <v>0.43</v>
      </c>
      <c r="BK61" s="118">
        <v>0.83</v>
      </c>
      <c r="BL61" s="119">
        <v>1.81</v>
      </c>
      <c r="BM61" s="120">
        <v>1.1499999999999999</v>
      </c>
      <c r="BN61" s="118">
        <v>1.07</v>
      </c>
      <c r="BO61" s="118">
        <v>1.06</v>
      </c>
      <c r="BP61" s="118">
        <v>1.49</v>
      </c>
      <c r="BQ61" s="118">
        <v>0.76</v>
      </c>
      <c r="BR61" s="118">
        <v>1.34</v>
      </c>
      <c r="BS61" s="118">
        <v>3.34</v>
      </c>
      <c r="BT61" s="118">
        <v>1.35</v>
      </c>
      <c r="BU61" s="119">
        <v>1.18</v>
      </c>
      <c r="BV61" s="74">
        <v>1733418</v>
      </c>
      <c r="BW61" s="105">
        <v>143</v>
      </c>
      <c r="BX61" s="105">
        <v>1143</v>
      </c>
      <c r="BY61" s="157">
        <v>22</v>
      </c>
      <c r="BZ61" s="106">
        <v>20.100000000000001</v>
      </c>
      <c r="CA61" s="115">
        <v>4.4400000000000004E-3</v>
      </c>
      <c r="CB61" s="105">
        <v>391</v>
      </c>
      <c r="CC61" s="114">
        <v>4.8700000000000002E-3</v>
      </c>
      <c r="CD61" s="105">
        <v>438</v>
      </c>
      <c r="CE61" s="99">
        <f t="shared" si="2"/>
        <v>7.744511436061887E-3</v>
      </c>
      <c r="CF61" s="100">
        <f t="shared" si="0"/>
        <v>2.14</v>
      </c>
    </row>
    <row r="62" spans="1:84" ht="14.25" hidden="1" customHeight="1" x14ac:dyDescent="0.25">
      <c r="A62" s="101">
        <v>61</v>
      </c>
      <c r="B62" s="102"/>
      <c r="C62" s="103" t="s">
        <v>270</v>
      </c>
      <c r="D62" s="104">
        <v>1422</v>
      </c>
      <c r="E62" s="105">
        <v>1219</v>
      </c>
      <c r="F62" s="106">
        <f t="shared" si="1"/>
        <v>1733418</v>
      </c>
      <c r="G62" s="105">
        <v>143</v>
      </c>
      <c r="H62" s="105">
        <v>1143</v>
      </c>
      <c r="I62" s="107">
        <v>1.17</v>
      </c>
      <c r="J62" s="155">
        <v>24</v>
      </c>
      <c r="K62" s="156">
        <v>19.2</v>
      </c>
      <c r="L62" s="157">
        <v>22</v>
      </c>
      <c r="M62" s="158">
        <v>1.1100000000000001</v>
      </c>
      <c r="N62" s="106">
        <v>20.100000000000001</v>
      </c>
      <c r="O62" s="112" t="s">
        <v>210</v>
      </c>
      <c r="P62" s="113" t="s">
        <v>202</v>
      </c>
      <c r="Q62" s="114">
        <v>2.2200000000000002E-3</v>
      </c>
      <c r="R62" s="115">
        <v>0</v>
      </c>
      <c r="S62" s="115">
        <v>4.4400000000000004E-3</v>
      </c>
      <c r="T62" s="105">
        <v>391</v>
      </c>
      <c r="U62" s="113" t="s">
        <v>212</v>
      </c>
      <c r="V62" s="114">
        <v>2.5000000000000001E-3</v>
      </c>
      <c r="W62" s="105">
        <v>410</v>
      </c>
      <c r="X62" s="116">
        <v>284</v>
      </c>
      <c r="Y62" s="160">
        <v>2.76</v>
      </c>
      <c r="Z62" s="110">
        <v>0.5</v>
      </c>
      <c r="AA62" s="162" t="s">
        <v>221</v>
      </c>
      <c r="AB62" s="163"/>
      <c r="AC62" s="109">
        <v>3.4</v>
      </c>
      <c r="AD62" s="112" t="s">
        <v>224</v>
      </c>
      <c r="AE62" s="175">
        <v>2.25</v>
      </c>
      <c r="AF62" s="120">
        <v>1.08</v>
      </c>
      <c r="AG62" s="118">
        <v>0.48</v>
      </c>
      <c r="AH62" s="118">
        <v>0.69</v>
      </c>
      <c r="AI62" s="119">
        <v>1.86</v>
      </c>
      <c r="AJ62" s="120">
        <v>0.28999999999999998</v>
      </c>
      <c r="AK62" s="118">
        <v>1.1100000000000001</v>
      </c>
      <c r="AL62" s="118">
        <v>0</v>
      </c>
      <c r="AM62" s="119">
        <v>1.39</v>
      </c>
      <c r="AN62" s="120">
        <v>0.25</v>
      </c>
      <c r="AO62" s="118">
        <v>0.66</v>
      </c>
      <c r="AP62" s="118">
        <v>1.78</v>
      </c>
      <c r="AQ62" s="119">
        <v>2.02</v>
      </c>
      <c r="AR62" s="120">
        <v>0.95</v>
      </c>
      <c r="AS62" s="118">
        <v>0.57999999999999996</v>
      </c>
      <c r="AT62" s="118">
        <v>0.69</v>
      </c>
      <c r="AU62" s="119">
        <v>1.44</v>
      </c>
      <c r="AV62" s="120">
        <v>0.67</v>
      </c>
      <c r="AW62" s="118">
        <v>1.02</v>
      </c>
      <c r="AX62" s="118">
        <v>0</v>
      </c>
      <c r="AY62" s="119">
        <v>1.7</v>
      </c>
      <c r="AZ62" s="120">
        <v>0.36</v>
      </c>
      <c r="BA62" s="118">
        <v>0.7</v>
      </c>
      <c r="BB62" s="118">
        <v>0.23</v>
      </c>
      <c r="BC62" s="119">
        <v>1.29</v>
      </c>
      <c r="BD62" s="121">
        <v>0.64</v>
      </c>
      <c r="BE62" s="120">
        <v>0.95</v>
      </c>
      <c r="BF62" s="118">
        <v>0</v>
      </c>
      <c r="BG62" s="118">
        <v>0.63</v>
      </c>
      <c r="BH62" s="119">
        <v>1.58</v>
      </c>
      <c r="BI62" s="120">
        <v>0.55000000000000004</v>
      </c>
      <c r="BJ62" s="118">
        <v>0.2</v>
      </c>
      <c r="BK62" s="118">
        <v>0.83</v>
      </c>
      <c r="BL62" s="119">
        <v>1.59</v>
      </c>
      <c r="BM62" s="120">
        <v>1.21</v>
      </c>
      <c r="BN62" s="118">
        <v>1.61</v>
      </c>
      <c r="BO62" s="118">
        <v>1.1100000000000001</v>
      </c>
      <c r="BP62" s="118">
        <v>1.57</v>
      </c>
      <c r="BQ62" s="118">
        <v>1.32</v>
      </c>
      <c r="BR62" s="118">
        <v>1.75</v>
      </c>
      <c r="BS62" s="118">
        <v>3.51</v>
      </c>
      <c r="BT62" s="118">
        <v>1.42</v>
      </c>
      <c r="BU62" s="119">
        <v>1.42</v>
      </c>
      <c r="BV62" s="74">
        <v>1733418</v>
      </c>
      <c r="BW62" s="105">
        <v>143</v>
      </c>
      <c r="BX62" s="105">
        <v>1143</v>
      </c>
      <c r="BY62" s="157">
        <v>22</v>
      </c>
      <c r="BZ62" s="106">
        <v>20.100000000000001</v>
      </c>
      <c r="CA62" s="115">
        <v>4.4400000000000004E-3</v>
      </c>
      <c r="CB62" s="105">
        <v>391</v>
      </c>
      <c r="CC62" s="114">
        <v>2.5000000000000001E-3</v>
      </c>
      <c r="CD62" s="105">
        <v>410</v>
      </c>
      <c r="CE62" s="99">
        <f t="shared" si="2"/>
        <v>8.1460786957095396E-3</v>
      </c>
      <c r="CF62" s="100">
        <f t="shared" si="0"/>
        <v>2.25</v>
      </c>
    </row>
    <row r="63" spans="1:84" ht="14.25" hidden="1" customHeight="1" x14ac:dyDescent="0.25">
      <c r="A63" s="101">
        <v>62</v>
      </c>
      <c r="B63" s="102"/>
      <c r="C63" s="103" t="s">
        <v>271</v>
      </c>
      <c r="D63" s="104">
        <v>1422</v>
      </c>
      <c r="E63" s="105">
        <v>1219</v>
      </c>
      <c r="F63" s="106">
        <f t="shared" si="1"/>
        <v>1733418</v>
      </c>
      <c r="G63" s="105">
        <v>143</v>
      </c>
      <c r="H63" s="105">
        <v>1143</v>
      </c>
      <c r="I63" s="107">
        <v>1.17</v>
      </c>
      <c r="J63" s="155">
        <v>24</v>
      </c>
      <c r="K63" s="156">
        <v>19.2</v>
      </c>
      <c r="L63" s="157">
        <v>22</v>
      </c>
      <c r="M63" s="158">
        <v>1.1100000000000001</v>
      </c>
      <c r="N63" s="106">
        <v>20.100000000000001</v>
      </c>
      <c r="O63" s="112" t="s">
        <v>210</v>
      </c>
      <c r="P63" s="113" t="s">
        <v>202</v>
      </c>
      <c r="Q63" s="114">
        <v>2.2200000000000002E-3</v>
      </c>
      <c r="R63" s="115">
        <v>0</v>
      </c>
      <c r="S63" s="115">
        <v>4.4400000000000004E-3</v>
      </c>
      <c r="T63" s="105">
        <v>410</v>
      </c>
      <c r="U63" s="113" t="s">
        <v>212</v>
      </c>
      <c r="V63" s="114">
        <v>6.2500000000000003E-3</v>
      </c>
      <c r="W63" s="105">
        <v>417</v>
      </c>
      <c r="X63" s="116">
        <v>129</v>
      </c>
      <c r="Y63" s="160">
        <v>2.76</v>
      </c>
      <c r="Z63" s="110">
        <v>0.5</v>
      </c>
      <c r="AA63" s="162" t="s">
        <v>221</v>
      </c>
      <c r="AB63" s="163"/>
      <c r="AC63" s="109">
        <v>3.4</v>
      </c>
      <c r="AD63" s="112" t="s">
        <v>224</v>
      </c>
      <c r="AE63" s="175">
        <v>2.27</v>
      </c>
      <c r="AF63" s="120">
        <v>1.08</v>
      </c>
      <c r="AG63" s="118">
        <v>1.22</v>
      </c>
      <c r="AH63" s="118">
        <v>0.69</v>
      </c>
      <c r="AI63" s="119">
        <v>1.86</v>
      </c>
      <c r="AJ63" s="120">
        <v>0.28999999999999998</v>
      </c>
      <c r="AK63" s="118">
        <v>2.5499999999999998</v>
      </c>
      <c r="AL63" s="118">
        <v>0</v>
      </c>
      <c r="AM63" s="119">
        <v>2</v>
      </c>
      <c r="AN63" s="120">
        <v>0.26</v>
      </c>
      <c r="AO63" s="118">
        <v>1.67</v>
      </c>
      <c r="AP63" s="118">
        <v>1.78</v>
      </c>
      <c r="AQ63" s="119">
        <v>2.02</v>
      </c>
      <c r="AR63" s="120">
        <v>0.95</v>
      </c>
      <c r="AS63" s="118">
        <v>1.47</v>
      </c>
      <c r="AT63" s="118">
        <v>0.69</v>
      </c>
      <c r="AU63" s="119">
        <v>1.44</v>
      </c>
      <c r="AV63" s="120">
        <v>0.67</v>
      </c>
      <c r="AW63" s="118">
        <v>2.61</v>
      </c>
      <c r="AX63" s="118">
        <v>0</v>
      </c>
      <c r="AY63" s="119">
        <v>3.28</v>
      </c>
      <c r="AZ63" s="120">
        <v>0.36</v>
      </c>
      <c r="BA63" s="118">
        <v>1.1200000000000001</v>
      </c>
      <c r="BB63" s="118">
        <v>0.23</v>
      </c>
      <c r="BC63" s="119">
        <v>1.7</v>
      </c>
      <c r="BD63" s="121">
        <v>0.64</v>
      </c>
      <c r="BE63" s="120">
        <v>0.95</v>
      </c>
      <c r="BF63" s="118">
        <v>0</v>
      </c>
      <c r="BG63" s="118">
        <v>0.63</v>
      </c>
      <c r="BH63" s="119">
        <v>1.58</v>
      </c>
      <c r="BI63" s="120">
        <v>0.55000000000000004</v>
      </c>
      <c r="BJ63" s="118">
        <v>0.52</v>
      </c>
      <c r="BK63" s="118">
        <v>0.83</v>
      </c>
      <c r="BL63" s="119">
        <v>1.9</v>
      </c>
      <c r="BM63" s="120">
        <v>1.22</v>
      </c>
      <c r="BN63" s="118">
        <v>1.1399999999999999</v>
      </c>
      <c r="BO63" s="118">
        <v>1.1299999999999999</v>
      </c>
      <c r="BP63" s="118">
        <v>1.58</v>
      </c>
      <c r="BQ63" s="118">
        <v>0.69</v>
      </c>
      <c r="BR63" s="118">
        <v>1.33</v>
      </c>
      <c r="BS63" s="118">
        <v>3.54</v>
      </c>
      <c r="BT63" s="118">
        <v>1.43</v>
      </c>
      <c r="BU63" s="119">
        <v>1.19</v>
      </c>
      <c r="BV63" s="74">
        <v>1733418</v>
      </c>
      <c r="BW63" s="105">
        <v>143</v>
      </c>
      <c r="BX63" s="105">
        <v>1143</v>
      </c>
      <c r="BY63" s="157">
        <v>22</v>
      </c>
      <c r="BZ63" s="106">
        <v>20.100000000000001</v>
      </c>
      <c r="CA63" s="115">
        <v>4.4400000000000004E-3</v>
      </c>
      <c r="CB63" s="105">
        <v>410</v>
      </c>
      <c r="CC63" s="114">
        <v>6.2500000000000003E-3</v>
      </c>
      <c r="CD63" s="105">
        <v>417</v>
      </c>
      <c r="CE63" s="99">
        <f t="shared" si="2"/>
        <v>8.203445447087775E-3</v>
      </c>
      <c r="CF63" s="100">
        <f t="shared" si="0"/>
        <v>2.27</v>
      </c>
    </row>
    <row r="64" spans="1:84" ht="14.25" hidden="1" customHeight="1" x14ac:dyDescent="0.25">
      <c r="A64" s="101">
        <v>63</v>
      </c>
      <c r="B64" s="102"/>
      <c r="C64" s="103" t="s">
        <v>272</v>
      </c>
      <c r="D64" s="104">
        <v>1422</v>
      </c>
      <c r="E64" s="105">
        <v>1219</v>
      </c>
      <c r="F64" s="106">
        <f t="shared" si="1"/>
        <v>1733418</v>
      </c>
      <c r="G64" s="105">
        <v>143</v>
      </c>
      <c r="H64" s="105">
        <v>1143</v>
      </c>
      <c r="I64" s="107">
        <v>1.17</v>
      </c>
      <c r="J64" s="155">
        <v>24</v>
      </c>
      <c r="K64" s="156">
        <v>19.2</v>
      </c>
      <c r="L64" s="157">
        <v>22</v>
      </c>
      <c r="M64" s="158">
        <v>1.29</v>
      </c>
      <c r="N64" s="106">
        <v>27.6</v>
      </c>
      <c r="O64" s="112" t="s">
        <v>210</v>
      </c>
      <c r="P64" s="113" t="s">
        <v>202</v>
      </c>
      <c r="Q64" s="114">
        <v>2.2200000000000002E-3</v>
      </c>
      <c r="R64" s="115">
        <v>0</v>
      </c>
      <c r="S64" s="115">
        <v>4.4400000000000004E-3</v>
      </c>
      <c r="T64" s="105">
        <v>391</v>
      </c>
      <c r="U64" s="113" t="s">
        <v>212</v>
      </c>
      <c r="V64" s="114">
        <v>1E-3</v>
      </c>
      <c r="W64" s="105">
        <v>438</v>
      </c>
      <c r="X64" s="116">
        <v>203</v>
      </c>
      <c r="Y64" s="160">
        <v>2.76</v>
      </c>
      <c r="Z64" s="110">
        <v>0.5</v>
      </c>
      <c r="AA64" s="162" t="s">
        <v>221</v>
      </c>
      <c r="AB64" s="163"/>
      <c r="AC64" s="109">
        <v>2.9</v>
      </c>
      <c r="AD64" s="112" t="s">
        <v>224</v>
      </c>
      <c r="AE64" s="175">
        <v>2.69</v>
      </c>
      <c r="AF64" s="120">
        <v>1.27</v>
      </c>
      <c r="AG64" s="118">
        <v>0.21</v>
      </c>
      <c r="AH64" s="118">
        <v>0.69</v>
      </c>
      <c r="AI64" s="119">
        <v>2.17</v>
      </c>
      <c r="AJ64" s="120">
        <v>0.28999999999999998</v>
      </c>
      <c r="AK64" s="118">
        <v>0.45</v>
      </c>
      <c r="AL64" s="118">
        <v>0</v>
      </c>
      <c r="AM64" s="119">
        <v>0.74</v>
      </c>
      <c r="AN64" s="120">
        <v>0.54</v>
      </c>
      <c r="AO64" s="118">
        <v>0.28000000000000003</v>
      </c>
      <c r="AP64" s="118">
        <v>1.83</v>
      </c>
      <c r="AQ64" s="119">
        <v>2.36</v>
      </c>
      <c r="AR64" s="120">
        <v>1.1200000000000001</v>
      </c>
      <c r="AS64" s="118">
        <v>0.25</v>
      </c>
      <c r="AT64" s="118">
        <v>0.69</v>
      </c>
      <c r="AU64" s="119">
        <v>1.68</v>
      </c>
      <c r="AV64" s="120">
        <v>0.79</v>
      </c>
      <c r="AW64" s="118">
        <v>0.44</v>
      </c>
      <c r="AX64" s="118">
        <v>0</v>
      </c>
      <c r="AY64" s="119">
        <v>1.23</v>
      </c>
      <c r="AZ64" s="120">
        <v>0.43</v>
      </c>
      <c r="BA64" s="118">
        <v>0.46</v>
      </c>
      <c r="BB64" s="118">
        <v>0.23</v>
      </c>
      <c r="BC64" s="119">
        <v>1.1200000000000001</v>
      </c>
      <c r="BD64" s="121">
        <v>0.64</v>
      </c>
      <c r="BE64" s="120">
        <v>1.1000000000000001</v>
      </c>
      <c r="BF64" s="118">
        <v>0</v>
      </c>
      <c r="BG64" s="118">
        <v>0.63</v>
      </c>
      <c r="BH64" s="119">
        <v>1.74</v>
      </c>
      <c r="BI64" s="120">
        <v>0.64</v>
      </c>
      <c r="BJ64" s="118">
        <v>0.26</v>
      </c>
      <c r="BK64" s="118">
        <v>0.83</v>
      </c>
      <c r="BL64" s="119">
        <v>1.73</v>
      </c>
      <c r="BM64" s="120">
        <v>1.24</v>
      </c>
      <c r="BN64" s="118">
        <v>3.64</v>
      </c>
      <c r="BO64" s="118">
        <v>1.1399999999999999</v>
      </c>
      <c r="BP64" s="118">
        <v>1.6</v>
      </c>
      <c r="BQ64" s="118">
        <v>2.19</v>
      </c>
      <c r="BR64" s="118">
        <v>2.41</v>
      </c>
      <c r="BS64" s="118">
        <v>4.2</v>
      </c>
      <c r="BT64" s="118">
        <v>1.55</v>
      </c>
      <c r="BU64" s="119">
        <v>1.55</v>
      </c>
      <c r="BV64" s="74">
        <v>1733418</v>
      </c>
      <c r="BW64" s="105">
        <v>143</v>
      </c>
      <c r="BX64" s="105">
        <v>1143</v>
      </c>
      <c r="BY64" s="157">
        <v>22</v>
      </c>
      <c r="BZ64" s="106">
        <v>27.6</v>
      </c>
      <c r="CA64" s="115">
        <v>4.4400000000000004E-3</v>
      </c>
      <c r="CB64" s="105">
        <v>391</v>
      </c>
      <c r="CC64" s="114">
        <v>1E-3</v>
      </c>
      <c r="CD64" s="105">
        <v>438</v>
      </c>
      <c r="CE64" s="99">
        <f t="shared" si="2"/>
        <v>8.8918464636266112E-3</v>
      </c>
      <c r="CF64" s="100">
        <f t="shared" si="0"/>
        <v>2.69</v>
      </c>
    </row>
    <row r="65" spans="1:84" ht="14.25" hidden="1" customHeight="1" x14ac:dyDescent="0.25">
      <c r="A65" s="101">
        <v>64</v>
      </c>
      <c r="B65" s="102"/>
      <c r="C65" s="103" t="s">
        <v>273</v>
      </c>
      <c r="D65" s="104">
        <v>1422</v>
      </c>
      <c r="E65" s="105">
        <v>1219</v>
      </c>
      <c r="F65" s="106">
        <f t="shared" si="1"/>
        <v>1733418</v>
      </c>
      <c r="G65" s="105">
        <v>254</v>
      </c>
      <c r="H65" s="105">
        <v>1143</v>
      </c>
      <c r="I65" s="107">
        <v>1.17</v>
      </c>
      <c r="J65" s="155">
        <v>24</v>
      </c>
      <c r="K65" s="156">
        <v>19.2</v>
      </c>
      <c r="L65" s="157">
        <v>22</v>
      </c>
      <c r="M65" s="158">
        <v>1.02</v>
      </c>
      <c r="N65" s="106">
        <v>17.100000000000001</v>
      </c>
      <c r="O65" s="112" t="s">
        <v>210</v>
      </c>
      <c r="P65" s="113" t="s">
        <v>202</v>
      </c>
      <c r="Q65" s="114">
        <v>6.4999999999999997E-4</v>
      </c>
      <c r="R65" s="115">
        <v>0</v>
      </c>
      <c r="S65" s="115">
        <v>1.2899999999999999E-3</v>
      </c>
      <c r="T65" s="105">
        <v>465</v>
      </c>
      <c r="U65" s="113" t="s">
        <v>212</v>
      </c>
      <c r="V65" s="114">
        <v>5.5000000000000003E-4</v>
      </c>
      <c r="W65" s="105">
        <v>407</v>
      </c>
      <c r="X65" s="116">
        <v>711</v>
      </c>
      <c r="Y65" s="160">
        <v>1.52</v>
      </c>
      <c r="Z65" s="110">
        <v>0.5</v>
      </c>
      <c r="AA65" s="162" t="s">
        <v>221</v>
      </c>
      <c r="AB65" s="163"/>
      <c r="AC65" s="174">
        <v>2</v>
      </c>
      <c r="AD65" s="112" t="s">
        <v>224</v>
      </c>
      <c r="AE65" s="175">
        <v>1.49</v>
      </c>
      <c r="AF65" s="120">
        <v>1</v>
      </c>
      <c r="AG65" s="118">
        <v>0.1</v>
      </c>
      <c r="AH65" s="118">
        <v>0.38</v>
      </c>
      <c r="AI65" s="119">
        <v>1.48</v>
      </c>
      <c r="AJ65" s="120">
        <v>0.28999999999999998</v>
      </c>
      <c r="AK65" s="118">
        <v>0.54</v>
      </c>
      <c r="AL65" s="118">
        <v>0</v>
      </c>
      <c r="AM65" s="119">
        <v>0.83</v>
      </c>
      <c r="AN65" s="120">
        <v>0.63</v>
      </c>
      <c r="AO65" s="118">
        <v>0.14000000000000001</v>
      </c>
      <c r="AP65" s="118">
        <v>1.03</v>
      </c>
      <c r="AQ65" s="119">
        <v>1.8</v>
      </c>
      <c r="AR65" s="120">
        <v>0.88</v>
      </c>
      <c r="AS65" s="118">
        <v>0.13</v>
      </c>
      <c r="AT65" s="118">
        <v>0.38</v>
      </c>
      <c r="AU65" s="119">
        <v>1.32</v>
      </c>
      <c r="AV65" s="120">
        <v>0.62</v>
      </c>
      <c r="AW65" s="118">
        <v>0.22</v>
      </c>
      <c r="AX65" s="118">
        <v>0</v>
      </c>
      <c r="AY65" s="119">
        <v>0.84</v>
      </c>
      <c r="AZ65" s="120">
        <v>0.25</v>
      </c>
      <c r="BA65" s="118">
        <v>0.33</v>
      </c>
      <c r="BB65" s="118">
        <v>0.12</v>
      </c>
      <c r="BC65" s="119">
        <v>0.7</v>
      </c>
      <c r="BD65" s="121">
        <v>0.6</v>
      </c>
      <c r="BE65" s="120">
        <v>0.87</v>
      </c>
      <c r="BF65" s="118">
        <v>0</v>
      </c>
      <c r="BG65" s="118">
        <v>0.35</v>
      </c>
      <c r="BH65" s="119">
        <v>1.22</v>
      </c>
      <c r="BI65" s="120">
        <v>0.51</v>
      </c>
      <c r="BJ65" s="118">
        <v>0.13</v>
      </c>
      <c r="BK65" s="118">
        <v>0.46</v>
      </c>
      <c r="BL65" s="119">
        <v>1.1000000000000001</v>
      </c>
      <c r="BM65" s="120">
        <v>1</v>
      </c>
      <c r="BN65" s="118">
        <v>1.8</v>
      </c>
      <c r="BO65" s="118">
        <v>0.83</v>
      </c>
      <c r="BP65" s="118">
        <v>1.1200000000000001</v>
      </c>
      <c r="BQ65" s="118">
        <v>1.76</v>
      </c>
      <c r="BR65" s="118">
        <v>2.12</v>
      </c>
      <c r="BS65" s="118">
        <v>2.48</v>
      </c>
      <c r="BT65" s="118">
        <v>1.22</v>
      </c>
      <c r="BU65" s="119">
        <v>1.36</v>
      </c>
      <c r="BV65" s="74">
        <v>1733418</v>
      </c>
      <c r="BW65" s="105">
        <v>254</v>
      </c>
      <c r="BX65" s="105">
        <v>1143</v>
      </c>
      <c r="BY65" s="157">
        <v>22</v>
      </c>
      <c r="BZ65" s="106">
        <v>17.100000000000001</v>
      </c>
      <c r="CA65" s="115">
        <v>1.2899999999999999E-3</v>
      </c>
      <c r="CB65" s="105">
        <v>465</v>
      </c>
      <c r="CC65" s="114">
        <v>5.5000000000000003E-4</v>
      </c>
      <c r="CD65" s="105">
        <v>407</v>
      </c>
      <c r="CE65" s="99">
        <f t="shared" si="2"/>
        <v>3.940237576947672E-3</v>
      </c>
      <c r="CF65" s="100">
        <f t="shared" si="0"/>
        <v>1.49</v>
      </c>
    </row>
    <row r="66" spans="1:84" ht="14.25" hidden="1" customHeight="1" x14ac:dyDescent="0.25">
      <c r="A66" s="101">
        <v>65</v>
      </c>
      <c r="B66" s="102"/>
      <c r="C66" s="103" t="s">
        <v>274</v>
      </c>
      <c r="D66" s="104">
        <v>1422</v>
      </c>
      <c r="E66" s="105">
        <v>1219</v>
      </c>
      <c r="F66" s="106">
        <f t="shared" si="1"/>
        <v>1733418</v>
      </c>
      <c r="G66" s="105">
        <v>254</v>
      </c>
      <c r="H66" s="105">
        <v>1143</v>
      </c>
      <c r="I66" s="107">
        <v>1.17</v>
      </c>
      <c r="J66" s="155">
        <v>24</v>
      </c>
      <c r="K66" s="156">
        <v>19.2</v>
      </c>
      <c r="L66" s="157">
        <v>22</v>
      </c>
      <c r="M66" s="158">
        <v>1.02</v>
      </c>
      <c r="N66" s="106">
        <v>17.100000000000001</v>
      </c>
      <c r="O66" s="112" t="s">
        <v>210</v>
      </c>
      <c r="P66" s="113" t="s">
        <v>202</v>
      </c>
      <c r="Q66" s="114">
        <v>6.4999999999999997E-4</v>
      </c>
      <c r="R66" s="115">
        <v>0</v>
      </c>
      <c r="S66" s="115">
        <v>1.2899999999999999E-3</v>
      </c>
      <c r="T66" s="105">
        <v>465</v>
      </c>
      <c r="U66" s="113" t="s">
        <v>212</v>
      </c>
      <c r="V66" s="114">
        <v>2.7699999999999999E-3</v>
      </c>
      <c r="W66" s="105">
        <v>465</v>
      </c>
      <c r="X66" s="116">
        <v>237</v>
      </c>
      <c r="Y66" s="160">
        <v>2.29</v>
      </c>
      <c r="Z66" s="110">
        <v>0.5</v>
      </c>
      <c r="AA66" s="162" t="s">
        <v>221</v>
      </c>
      <c r="AB66" s="163"/>
      <c r="AC66" s="174">
        <v>2</v>
      </c>
      <c r="AD66" s="112" t="s">
        <v>224</v>
      </c>
      <c r="AE66" s="175">
        <v>1.63</v>
      </c>
      <c r="AF66" s="120">
        <v>1</v>
      </c>
      <c r="AG66" s="118">
        <v>0.6</v>
      </c>
      <c r="AH66" s="118">
        <v>0.56999999999999995</v>
      </c>
      <c r="AI66" s="119">
        <v>1.72</v>
      </c>
      <c r="AJ66" s="120">
        <v>0.28999999999999998</v>
      </c>
      <c r="AK66" s="118">
        <v>1.35</v>
      </c>
      <c r="AL66" s="118">
        <v>0</v>
      </c>
      <c r="AM66" s="119">
        <v>1.64</v>
      </c>
      <c r="AN66" s="120">
        <v>0.63</v>
      </c>
      <c r="AO66" s="118">
        <v>0.82</v>
      </c>
      <c r="AP66" s="118">
        <v>1.51</v>
      </c>
      <c r="AQ66" s="119">
        <v>1.86</v>
      </c>
      <c r="AR66" s="120">
        <v>0.88</v>
      </c>
      <c r="AS66" s="118">
        <v>0.72</v>
      </c>
      <c r="AT66" s="118">
        <v>0.56999999999999995</v>
      </c>
      <c r="AU66" s="119">
        <v>1.32</v>
      </c>
      <c r="AV66" s="120">
        <v>0.62</v>
      </c>
      <c r="AW66" s="118">
        <v>1.29</v>
      </c>
      <c r="AX66" s="118">
        <v>0</v>
      </c>
      <c r="AY66" s="119">
        <v>1.91</v>
      </c>
      <c r="AZ66" s="120">
        <v>0.25</v>
      </c>
      <c r="BA66" s="118">
        <v>0.79</v>
      </c>
      <c r="BB66" s="118">
        <v>0.19</v>
      </c>
      <c r="BC66" s="119">
        <v>1.22</v>
      </c>
      <c r="BD66" s="121">
        <v>0.6</v>
      </c>
      <c r="BE66" s="120">
        <v>0.87</v>
      </c>
      <c r="BF66" s="118">
        <v>0</v>
      </c>
      <c r="BG66" s="118">
        <v>0.53</v>
      </c>
      <c r="BH66" s="119">
        <v>1.4</v>
      </c>
      <c r="BI66" s="120">
        <v>0.51</v>
      </c>
      <c r="BJ66" s="118">
        <v>0.26</v>
      </c>
      <c r="BK66" s="118">
        <v>0.69</v>
      </c>
      <c r="BL66" s="119">
        <v>1.45</v>
      </c>
      <c r="BM66" s="120">
        <v>0.95</v>
      </c>
      <c r="BN66" s="118">
        <v>0.99</v>
      </c>
      <c r="BO66" s="118">
        <v>0.88</v>
      </c>
      <c r="BP66" s="118">
        <v>1.23</v>
      </c>
      <c r="BQ66" s="118">
        <v>0.85</v>
      </c>
      <c r="BR66" s="118">
        <v>1.33</v>
      </c>
      <c r="BS66" s="118">
        <v>2.72</v>
      </c>
      <c r="BT66" s="118">
        <v>1.17</v>
      </c>
      <c r="BU66" s="119">
        <v>1.1200000000000001</v>
      </c>
      <c r="BV66" s="74">
        <v>1733418</v>
      </c>
      <c r="BW66" s="105">
        <v>254</v>
      </c>
      <c r="BX66" s="105">
        <v>1143</v>
      </c>
      <c r="BY66" s="157">
        <v>22</v>
      </c>
      <c r="BZ66" s="106">
        <v>17.100000000000001</v>
      </c>
      <c r="CA66" s="115">
        <v>1.2899999999999999E-3</v>
      </c>
      <c r="CB66" s="105">
        <v>465</v>
      </c>
      <c r="CC66" s="114">
        <v>2.7699999999999999E-3</v>
      </c>
      <c r="CD66" s="105">
        <v>465</v>
      </c>
      <c r="CE66" s="99">
        <f t="shared" si="2"/>
        <v>3.7787524303514561E-3</v>
      </c>
      <c r="CF66" s="100">
        <f t="shared" ref="CF66:CF129" si="3">AE66</f>
        <v>1.63</v>
      </c>
    </row>
    <row r="67" spans="1:84" ht="14.25" hidden="1" customHeight="1" x14ac:dyDescent="0.25">
      <c r="A67" s="101">
        <v>66</v>
      </c>
      <c r="B67" s="102"/>
      <c r="C67" s="103" t="s">
        <v>275</v>
      </c>
      <c r="D67" s="104">
        <v>1422</v>
      </c>
      <c r="E67" s="105">
        <v>1219</v>
      </c>
      <c r="F67" s="106">
        <f t="shared" ref="F67:F130" si="4">E67*D67</f>
        <v>1733418</v>
      </c>
      <c r="G67" s="105">
        <v>254</v>
      </c>
      <c r="H67" s="105">
        <v>1143</v>
      </c>
      <c r="I67" s="107">
        <v>1.17</v>
      </c>
      <c r="J67" s="155">
        <v>24</v>
      </c>
      <c r="K67" s="156">
        <v>19.2</v>
      </c>
      <c r="L67" s="157">
        <v>22</v>
      </c>
      <c r="M67" s="158">
        <v>1.02</v>
      </c>
      <c r="N67" s="106">
        <v>17.100000000000001</v>
      </c>
      <c r="O67" s="112" t="s">
        <v>210</v>
      </c>
      <c r="P67" s="113" t="s">
        <v>202</v>
      </c>
      <c r="Q67" s="114">
        <v>6.4999999999999997E-4</v>
      </c>
      <c r="R67" s="115">
        <v>0</v>
      </c>
      <c r="S67" s="115">
        <v>1.2899999999999999E-3</v>
      </c>
      <c r="T67" s="105">
        <v>465</v>
      </c>
      <c r="U67" s="113" t="s">
        <v>212</v>
      </c>
      <c r="V67" s="114">
        <v>5.5000000000000003E-4</v>
      </c>
      <c r="W67" s="105">
        <v>407</v>
      </c>
      <c r="X67" s="116">
        <v>711</v>
      </c>
      <c r="Y67" s="160">
        <v>2.29</v>
      </c>
      <c r="Z67" s="110">
        <v>0.5</v>
      </c>
      <c r="AA67" s="162" t="s">
        <v>221</v>
      </c>
      <c r="AB67" s="163"/>
      <c r="AC67" s="174">
        <v>2</v>
      </c>
      <c r="AD67" s="112" t="s">
        <v>224</v>
      </c>
      <c r="AE67" s="175">
        <v>1.73</v>
      </c>
      <c r="AF67" s="120">
        <v>1</v>
      </c>
      <c r="AG67" s="118">
        <v>0.1</v>
      </c>
      <c r="AH67" s="118">
        <v>0.56999999999999995</v>
      </c>
      <c r="AI67" s="119">
        <v>1.68</v>
      </c>
      <c r="AJ67" s="120">
        <v>0.28999999999999998</v>
      </c>
      <c r="AK67" s="118">
        <v>0.3</v>
      </c>
      <c r="AL67" s="118">
        <v>0</v>
      </c>
      <c r="AM67" s="119">
        <v>0.59</v>
      </c>
      <c r="AN67" s="120">
        <v>0.63</v>
      </c>
      <c r="AO67" s="118">
        <v>0.14000000000000001</v>
      </c>
      <c r="AP67" s="118">
        <v>1.51</v>
      </c>
      <c r="AQ67" s="119">
        <v>1.86</v>
      </c>
      <c r="AR67" s="120">
        <v>0.88</v>
      </c>
      <c r="AS67" s="118">
        <v>0.13</v>
      </c>
      <c r="AT67" s="118">
        <v>0.56999999999999995</v>
      </c>
      <c r="AU67" s="119">
        <v>1.32</v>
      </c>
      <c r="AV67" s="120">
        <v>0.62</v>
      </c>
      <c r="AW67" s="118">
        <v>0.22</v>
      </c>
      <c r="AX67" s="118">
        <v>0</v>
      </c>
      <c r="AY67" s="119">
        <v>0.84</v>
      </c>
      <c r="AZ67" s="120">
        <v>0.25</v>
      </c>
      <c r="BA67" s="118">
        <v>0.33</v>
      </c>
      <c r="BB67" s="118">
        <v>0.19</v>
      </c>
      <c r="BC67" s="119">
        <v>0.76</v>
      </c>
      <c r="BD67" s="121">
        <v>0.6</v>
      </c>
      <c r="BE67" s="120">
        <v>0.87</v>
      </c>
      <c r="BF67" s="118">
        <v>0</v>
      </c>
      <c r="BG67" s="118">
        <v>0.53</v>
      </c>
      <c r="BH67" s="119">
        <v>1.4</v>
      </c>
      <c r="BI67" s="120">
        <v>0.51</v>
      </c>
      <c r="BJ67" s="118">
        <v>0.13</v>
      </c>
      <c r="BK67" s="118">
        <v>0.69</v>
      </c>
      <c r="BL67" s="119">
        <v>1.33</v>
      </c>
      <c r="BM67" s="120">
        <v>1.03</v>
      </c>
      <c r="BN67" s="118">
        <v>2.93</v>
      </c>
      <c r="BO67" s="118">
        <v>0.93</v>
      </c>
      <c r="BP67" s="118">
        <v>1.31</v>
      </c>
      <c r="BQ67" s="118">
        <v>2.0499999999999998</v>
      </c>
      <c r="BR67" s="118">
        <v>2.2599999999999998</v>
      </c>
      <c r="BS67" s="118">
        <v>2.88</v>
      </c>
      <c r="BT67" s="118">
        <v>1.24</v>
      </c>
      <c r="BU67" s="119">
        <v>1.3</v>
      </c>
      <c r="BV67" s="74">
        <v>1733418</v>
      </c>
      <c r="BW67" s="105">
        <v>254</v>
      </c>
      <c r="BX67" s="105">
        <v>1143</v>
      </c>
      <c r="BY67" s="157">
        <v>22</v>
      </c>
      <c r="BZ67" s="106">
        <v>17.100000000000001</v>
      </c>
      <c r="CA67" s="115">
        <v>1.2899999999999999E-3</v>
      </c>
      <c r="CB67" s="105">
        <v>465</v>
      </c>
      <c r="CC67" s="114">
        <v>5.5000000000000003E-4</v>
      </c>
      <c r="CD67" s="105">
        <v>407</v>
      </c>
      <c r="CE67" s="99">
        <f t="shared" ref="CE67:CE130" si="5">BT67/(G67*E67)*1000</f>
        <v>4.0048316355861587E-3</v>
      </c>
      <c r="CF67" s="100">
        <f t="shared" si="3"/>
        <v>1.73</v>
      </c>
    </row>
    <row r="68" spans="1:84" ht="14.25" hidden="1" customHeight="1" x14ac:dyDescent="0.25">
      <c r="A68" s="128">
        <v>67</v>
      </c>
      <c r="B68" s="129"/>
      <c r="C68" s="130" t="s">
        <v>276</v>
      </c>
      <c r="D68" s="131">
        <v>1422</v>
      </c>
      <c r="E68" s="132">
        <v>1219</v>
      </c>
      <c r="F68" s="133">
        <f t="shared" si="4"/>
        <v>1733418</v>
      </c>
      <c r="G68" s="132">
        <v>254</v>
      </c>
      <c r="H68" s="132">
        <v>1143</v>
      </c>
      <c r="I68" s="134">
        <v>1.17</v>
      </c>
      <c r="J68" s="164">
        <v>24</v>
      </c>
      <c r="K68" s="165">
        <v>19.2</v>
      </c>
      <c r="L68" s="157">
        <v>22</v>
      </c>
      <c r="M68" s="166">
        <v>1.02</v>
      </c>
      <c r="N68" s="133">
        <v>17.100000000000001</v>
      </c>
      <c r="O68" s="139" t="s">
        <v>210</v>
      </c>
      <c r="P68" s="140" t="s">
        <v>202</v>
      </c>
      <c r="Q68" s="141">
        <v>6.4999999999999997E-4</v>
      </c>
      <c r="R68" s="142">
        <v>0</v>
      </c>
      <c r="S68" s="142">
        <v>1.2899999999999999E-3</v>
      </c>
      <c r="T68" s="132">
        <v>465</v>
      </c>
      <c r="U68" s="140" t="s">
        <v>212</v>
      </c>
      <c r="V68" s="141">
        <v>5.9000000000000003E-4</v>
      </c>
      <c r="W68" s="132">
        <v>398</v>
      </c>
      <c r="X68" s="143">
        <v>356</v>
      </c>
      <c r="Y68" s="167">
        <v>2.29</v>
      </c>
      <c r="Z68" s="137">
        <v>0.5</v>
      </c>
      <c r="AA68" s="168" t="s">
        <v>221</v>
      </c>
      <c r="AB68" s="169"/>
      <c r="AC68" s="178">
        <v>2</v>
      </c>
      <c r="AD68" s="176" t="s">
        <v>224</v>
      </c>
      <c r="AE68" s="177">
        <v>1.88</v>
      </c>
      <c r="AF68" s="147">
        <v>1</v>
      </c>
      <c r="AG68" s="145">
        <v>0.11</v>
      </c>
      <c r="AH68" s="145">
        <v>0.56999999999999995</v>
      </c>
      <c r="AI68" s="146">
        <v>1.68</v>
      </c>
      <c r="AJ68" s="147">
        <v>0.28999999999999998</v>
      </c>
      <c r="AK68" s="145">
        <v>0.21</v>
      </c>
      <c r="AL68" s="145">
        <v>0</v>
      </c>
      <c r="AM68" s="146">
        <v>0.5</v>
      </c>
      <c r="AN68" s="147">
        <v>0.63</v>
      </c>
      <c r="AO68" s="145">
        <v>0.15</v>
      </c>
      <c r="AP68" s="145">
        <v>1.51</v>
      </c>
      <c r="AQ68" s="146">
        <v>1.86</v>
      </c>
      <c r="AR68" s="147">
        <v>0.88</v>
      </c>
      <c r="AS68" s="145">
        <v>0.13</v>
      </c>
      <c r="AT68" s="145">
        <v>0.56999999999999995</v>
      </c>
      <c r="AU68" s="146">
        <v>1.32</v>
      </c>
      <c r="AV68" s="147">
        <v>0.62</v>
      </c>
      <c r="AW68" s="145">
        <v>0.23</v>
      </c>
      <c r="AX68" s="145">
        <v>0</v>
      </c>
      <c r="AY68" s="146">
        <v>0.86</v>
      </c>
      <c r="AZ68" s="147">
        <v>0.25</v>
      </c>
      <c r="BA68" s="145">
        <v>0.34</v>
      </c>
      <c r="BB68" s="145">
        <v>0.19</v>
      </c>
      <c r="BC68" s="146">
        <v>0.77</v>
      </c>
      <c r="BD68" s="148">
        <v>0.6</v>
      </c>
      <c r="BE68" s="147">
        <v>0.87</v>
      </c>
      <c r="BF68" s="145">
        <v>0</v>
      </c>
      <c r="BG68" s="145">
        <v>0.53</v>
      </c>
      <c r="BH68" s="146">
        <v>1.4</v>
      </c>
      <c r="BI68" s="147">
        <v>0.51</v>
      </c>
      <c r="BJ68" s="145">
        <v>0.14000000000000001</v>
      </c>
      <c r="BK68" s="145">
        <v>0.69</v>
      </c>
      <c r="BL68" s="146">
        <v>1.34</v>
      </c>
      <c r="BM68" s="147">
        <v>1.1200000000000001</v>
      </c>
      <c r="BN68" s="145">
        <v>3.75</v>
      </c>
      <c r="BO68" s="145">
        <v>1.01</v>
      </c>
      <c r="BP68" s="145">
        <v>1.42</v>
      </c>
      <c r="BQ68" s="145">
        <v>2.2000000000000002</v>
      </c>
      <c r="BR68" s="145">
        <v>2.4300000000000002</v>
      </c>
      <c r="BS68" s="145">
        <v>3.13</v>
      </c>
      <c r="BT68" s="145">
        <v>1.34</v>
      </c>
      <c r="BU68" s="146">
        <v>1.41</v>
      </c>
      <c r="BV68" s="74">
        <v>1733418</v>
      </c>
      <c r="BW68" s="132">
        <v>254</v>
      </c>
      <c r="BX68" s="132">
        <v>1143</v>
      </c>
      <c r="BY68" s="157">
        <v>22</v>
      </c>
      <c r="BZ68" s="133">
        <v>17.100000000000001</v>
      </c>
      <c r="CA68" s="142">
        <v>1.2899999999999999E-3</v>
      </c>
      <c r="CB68" s="132">
        <v>465</v>
      </c>
      <c r="CC68" s="141">
        <v>5.9000000000000003E-4</v>
      </c>
      <c r="CD68" s="132">
        <v>398</v>
      </c>
      <c r="CE68" s="99">
        <f t="shared" si="5"/>
        <v>4.3278019287785914E-3</v>
      </c>
      <c r="CF68" s="100">
        <f t="shared" si="3"/>
        <v>1.88</v>
      </c>
    </row>
    <row r="69" spans="1:84" ht="14.25" hidden="1" customHeight="1" x14ac:dyDescent="0.25">
      <c r="A69" s="78">
        <v>68</v>
      </c>
      <c r="B69" s="79" t="s">
        <v>277</v>
      </c>
      <c r="C69" s="80" t="s">
        <v>278</v>
      </c>
      <c r="D69" s="81">
        <v>1800</v>
      </c>
      <c r="E69" s="82">
        <v>1800</v>
      </c>
      <c r="F69" s="83">
        <f t="shared" si="4"/>
        <v>3240000</v>
      </c>
      <c r="G69" s="82">
        <v>140</v>
      </c>
      <c r="H69" s="82">
        <v>1700</v>
      </c>
      <c r="I69" s="84">
        <v>1</v>
      </c>
      <c r="J69" s="149">
        <v>24</v>
      </c>
      <c r="K69" s="150">
        <v>16.899999999999999</v>
      </c>
      <c r="L69" s="151">
        <v>24.5</v>
      </c>
      <c r="M69" s="152">
        <v>1.03</v>
      </c>
      <c r="N69" s="83">
        <v>17.600000000000001</v>
      </c>
      <c r="O69" s="89" t="s">
        <v>210</v>
      </c>
      <c r="P69" s="90" t="s">
        <v>211</v>
      </c>
      <c r="Q69" s="91">
        <v>1.25E-3</v>
      </c>
      <c r="R69" s="92">
        <v>5.6100000000000004E-3</v>
      </c>
      <c r="S69" s="92">
        <v>6.2300000000000003E-3</v>
      </c>
      <c r="T69" s="82">
        <v>318</v>
      </c>
      <c r="U69" s="93">
        <v>400</v>
      </c>
      <c r="V69" s="91">
        <v>0</v>
      </c>
      <c r="W69" s="82">
        <v>325</v>
      </c>
      <c r="X69" s="93">
        <v>1800</v>
      </c>
      <c r="Y69" s="94">
        <v>0</v>
      </c>
      <c r="Z69" s="94">
        <v>1</v>
      </c>
      <c r="AA69" s="85">
        <v>2.2999999999999998</v>
      </c>
      <c r="AB69" s="83">
        <v>8</v>
      </c>
      <c r="AC69" s="86">
        <v>2.6</v>
      </c>
      <c r="AD69" s="112" t="s">
        <v>224</v>
      </c>
      <c r="AE69" s="173">
        <v>0.74</v>
      </c>
      <c r="AF69" s="97">
        <v>0.78</v>
      </c>
      <c r="AG69" s="95">
        <v>0</v>
      </c>
      <c r="AH69" s="95">
        <v>0</v>
      </c>
      <c r="AI69" s="96">
        <v>0.78</v>
      </c>
      <c r="AJ69" s="97">
        <v>0.21</v>
      </c>
      <c r="AK69" s="95">
        <v>0</v>
      </c>
      <c r="AL69" s="95">
        <v>0</v>
      </c>
      <c r="AM69" s="96">
        <v>0.21</v>
      </c>
      <c r="AN69" s="97">
        <v>0.42</v>
      </c>
      <c r="AO69" s="95">
        <v>0</v>
      </c>
      <c r="AP69" s="95">
        <v>0</v>
      </c>
      <c r="AQ69" s="96">
        <v>0.39</v>
      </c>
      <c r="AR69" s="97">
        <v>0.63</v>
      </c>
      <c r="AS69" s="95">
        <v>0</v>
      </c>
      <c r="AT69" s="95">
        <v>0</v>
      </c>
      <c r="AU69" s="96">
        <v>0.63</v>
      </c>
      <c r="AV69" s="97">
        <v>0.42</v>
      </c>
      <c r="AW69" s="95">
        <v>0</v>
      </c>
      <c r="AX69" s="95">
        <v>0</v>
      </c>
      <c r="AY69" s="96">
        <v>0.42</v>
      </c>
      <c r="AZ69" s="97">
        <v>0.3</v>
      </c>
      <c r="BA69" s="95">
        <v>0.93</v>
      </c>
      <c r="BB69" s="95">
        <v>0</v>
      </c>
      <c r="BC69" s="96">
        <v>1.23</v>
      </c>
      <c r="BD69" s="98">
        <v>0.19</v>
      </c>
      <c r="BE69" s="97">
        <v>0.52</v>
      </c>
      <c r="BF69" s="95">
        <v>0</v>
      </c>
      <c r="BG69" s="95">
        <v>0</v>
      </c>
      <c r="BH69" s="96">
        <v>0.52</v>
      </c>
      <c r="BI69" s="97">
        <v>0.52</v>
      </c>
      <c r="BJ69" s="95">
        <v>0</v>
      </c>
      <c r="BK69" s="95">
        <v>0</v>
      </c>
      <c r="BL69" s="96">
        <v>0.52</v>
      </c>
      <c r="BM69" s="97">
        <v>0.94</v>
      </c>
      <c r="BN69" s="95">
        <v>3.51</v>
      </c>
      <c r="BO69" s="95">
        <v>1.87</v>
      </c>
      <c r="BP69" s="95">
        <v>1.1599999999999999</v>
      </c>
      <c r="BQ69" s="95">
        <v>1.77</v>
      </c>
      <c r="BR69" s="95">
        <v>0.6</v>
      </c>
      <c r="BS69" s="95">
        <v>3.88</v>
      </c>
      <c r="BT69" s="95">
        <v>1.43</v>
      </c>
      <c r="BU69" s="96">
        <v>1.43</v>
      </c>
      <c r="BV69" s="74">
        <v>3240000</v>
      </c>
      <c r="BW69" s="82">
        <v>140</v>
      </c>
      <c r="BX69" s="82">
        <v>1700</v>
      </c>
      <c r="BY69" s="151">
        <v>24.5</v>
      </c>
      <c r="BZ69" s="83">
        <v>17.600000000000001</v>
      </c>
      <c r="CA69" s="92">
        <v>6.2300000000000003E-3</v>
      </c>
      <c r="CB69" s="82">
        <v>318</v>
      </c>
      <c r="CC69" s="91">
        <v>0</v>
      </c>
      <c r="CD69" s="82">
        <v>325</v>
      </c>
      <c r="CE69" s="99">
        <f t="shared" si="5"/>
        <v>5.6746031746031742E-3</v>
      </c>
      <c r="CF69" s="100">
        <f t="shared" si="3"/>
        <v>0.74</v>
      </c>
    </row>
    <row r="70" spans="1:84" hidden="1" x14ac:dyDescent="0.25">
      <c r="A70" s="101">
        <v>69</v>
      </c>
      <c r="B70" s="102"/>
      <c r="C70" s="103" t="s">
        <v>279</v>
      </c>
      <c r="D70" s="104">
        <v>1800</v>
      </c>
      <c r="E70" s="105">
        <v>1800</v>
      </c>
      <c r="F70" s="106">
        <f t="shared" si="4"/>
        <v>3240000</v>
      </c>
      <c r="G70" s="105">
        <v>140</v>
      </c>
      <c r="H70" s="105">
        <v>1700</v>
      </c>
      <c r="I70" s="107">
        <v>1</v>
      </c>
      <c r="J70" s="155">
        <v>24</v>
      </c>
      <c r="K70" s="156">
        <v>16.899999999999999</v>
      </c>
      <c r="L70" s="157">
        <v>24.5</v>
      </c>
      <c r="M70" s="158">
        <v>1.01</v>
      </c>
      <c r="N70" s="106">
        <v>17</v>
      </c>
      <c r="O70" s="112" t="s">
        <v>210</v>
      </c>
      <c r="P70" s="113" t="s">
        <v>211</v>
      </c>
      <c r="Q70" s="114">
        <v>1.25E-3</v>
      </c>
      <c r="R70" s="115">
        <v>5.6100000000000004E-3</v>
      </c>
      <c r="S70" s="115">
        <v>6.2300000000000003E-3</v>
      </c>
      <c r="T70" s="105">
        <v>318</v>
      </c>
      <c r="U70" s="116">
        <v>400</v>
      </c>
      <c r="V70" s="114">
        <v>6.2E-4</v>
      </c>
      <c r="W70" s="105">
        <v>310</v>
      </c>
      <c r="X70" s="116">
        <v>800</v>
      </c>
      <c r="Y70" s="117">
        <v>0</v>
      </c>
      <c r="Z70" s="117">
        <v>1</v>
      </c>
      <c r="AA70" s="108">
        <v>2.7</v>
      </c>
      <c r="AB70" s="106">
        <v>10</v>
      </c>
      <c r="AC70" s="109">
        <v>2.6</v>
      </c>
      <c r="AD70" s="112" t="s">
        <v>224</v>
      </c>
      <c r="AE70" s="175">
        <v>0.84</v>
      </c>
      <c r="AF70" s="120">
        <v>0.77</v>
      </c>
      <c r="AG70" s="118">
        <v>0.09</v>
      </c>
      <c r="AH70" s="118">
        <v>0</v>
      </c>
      <c r="AI70" s="119">
        <v>0.86</v>
      </c>
      <c r="AJ70" s="120">
        <v>0.21</v>
      </c>
      <c r="AK70" s="118">
        <v>0.23</v>
      </c>
      <c r="AL70" s="118">
        <v>0</v>
      </c>
      <c r="AM70" s="119">
        <v>0.44</v>
      </c>
      <c r="AN70" s="120">
        <v>0.41</v>
      </c>
      <c r="AO70" s="118">
        <v>0.12</v>
      </c>
      <c r="AP70" s="118">
        <v>0</v>
      </c>
      <c r="AQ70" s="119">
        <v>0.51</v>
      </c>
      <c r="AR70" s="120">
        <v>0.62</v>
      </c>
      <c r="AS70" s="118">
        <v>0.11</v>
      </c>
      <c r="AT70" s="118">
        <v>0</v>
      </c>
      <c r="AU70" s="119">
        <v>0.73</v>
      </c>
      <c r="AV70" s="120">
        <v>0.41</v>
      </c>
      <c r="AW70" s="118">
        <v>0.19</v>
      </c>
      <c r="AX70" s="118">
        <v>0</v>
      </c>
      <c r="AY70" s="119">
        <v>0.6</v>
      </c>
      <c r="AZ70" s="120">
        <v>0.28999999999999998</v>
      </c>
      <c r="BA70" s="118">
        <v>1.24</v>
      </c>
      <c r="BB70" s="118">
        <v>0</v>
      </c>
      <c r="BC70" s="119">
        <v>1.53</v>
      </c>
      <c r="BD70" s="121">
        <v>0.52</v>
      </c>
      <c r="BE70" s="120">
        <v>0.51</v>
      </c>
      <c r="BF70" s="118">
        <v>0</v>
      </c>
      <c r="BG70" s="118">
        <v>0</v>
      </c>
      <c r="BH70" s="119">
        <v>0.51</v>
      </c>
      <c r="BI70" s="120">
        <v>0.51</v>
      </c>
      <c r="BJ70" s="118">
        <v>0.12</v>
      </c>
      <c r="BK70" s="118">
        <v>0</v>
      </c>
      <c r="BL70" s="119">
        <v>0.62</v>
      </c>
      <c r="BM70" s="120">
        <v>0.98</v>
      </c>
      <c r="BN70" s="118">
        <v>1.91</v>
      </c>
      <c r="BO70" s="118">
        <v>1.64</v>
      </c>
      <c r="BP70" s="118">
        <v>1.1499999999999999</v>
      </c>
      <c r="BQ70" s="118">
        <v>1.4</v>
      </c>
      <c r="BR70" s="118">
        <v>0.55000000000000004</v>
      </c>
      <c r="BS70" s="118">
        <v>1.62</v>
      </c>
      <c r="BT70" s="118">
        <v>1.66</v>
      </c>
      <c r="BU70" s="119">
        <v>1.35</v>
      </c>
      <c r="BV70" s="74">
        <v>3240000</v>
      </c>
      <c r="BW70" s="105">
        <v>140</v>
      </c>
      <c r="BX70" s="105">
        <v>1700</v>
      </c>
      <c r="BY70" s="157">
        <v>24.5</v>
      </c>
      <c r="BZ70" s="106">
        <v>17</v>
      </c>
      <c r="CA70" s="115">
        <v>6.2300000000000003E-3</v>
      </c>
      <c r="CB70" s="105">
        <v>318</v>
      </c>
      <c r="CC70" s="114">
        <v>6.2E-4</v>
      </c>
      <c r="CD70" s="105">
        <v>310</v>
      </c>
      <c r="CE70" s="99">
        <f t="shared" si="5"/>
        <v>6.587301587301587E-3</v>
      </c>
      <c r="CF70" s="100">
        <f t="shared" si="3"/>
        <v>0.84</v>
      </c>
    </row>
    <row r="71" spans="1:84" x14ac:dyDescent="0.25">
      <c r="A71" s="101">
        <v>70</v>
      </c>
      <c r="B71" s="102"/>
      <c r="C71" s="103" t="s">
        <v>280</v>
      </c>
      <c r="D71" s="104">
        <v>1800</v>
      </c>
      <c r="E71" s="105">
        <v>1800</v>
      </c>
      <c r="F71" s="106">
        <f t="shared" si="4"/>
        <v>3240000</v>
      </c>
      <c r="G71" s="105">
        <v>60</v>
      </c>
      <c r="H71" s="105">
        <v>1700</v>
      </c>
      <c r="I71" s="107">
        <v>1</v>
      </c>
      <c r="J71" s="155">
        <v>24</v>
      </c>
      <c r="K71" s="156">
        <v>16.899999999999999</v>
      </c>
      <c r="L71" s="157">
        <v>24.5</v>
      </c>
      <c r="M71" s="158">
        <v>1.06</v>
      </c>
      <c r="N71" s="106">
        <v>18.5</v>
      </c>
      <c r="O71" s="112" t="s">
        <v>201</v>
      </c>
      <c r="P71" s="113" t="s">
        <v>211</v>
      </c>
      <c r="Q71" s="114">
        <v>2.9099999999999998E-3</v>
      </c>
      <c r="R71" s="115">
        <v>1.3089999999999999E-2</v>
      </c>
      <c r="S71" s="115">
        <v>1.4540000000000001E-2</v>
      </c>
      <c r="T71" s="105">
        <v>318</v>
      </c>
      <c r="U71" s="116">
        <v>400</v>
      </c>
      <c r="V71" s="114">
        <v>0</v>
      </c>
      <c r="W71" s="105">
        <v>0</v>
      </c>
      <c r="X71" s="116">
        <v>400</v>
      </c>
      <c r="Y71" s="117">
        <v>0</v>
      </c>
      <c r="Z71" s="117">
        <v>1</v>
      </c>
      <c r="AA71" s="108">
        <v>4.7</v>
      </c>
      <c r="AB71" s="106">
        <v>10</v>
      </c>
      <c r="AC71" s="109">
        <v>2.1</v>
      </c>
      <c r="AD71" s="112" t="s">
        <v>224</v>
      </c>
      <c r="AE71" s="175">
        <v>1.29</v>
      </c>
      <c r="AF71" s="120">
        <v>0.4</v>
      </c>
      <c r="AG71" s="118">
        <v>0</v>
      </c>
      <c r="AH71" s="118">
        <v>0</v>
      </c>
      <c r="AI71" s="119">
        <v>0.4</v>
      </c>
      <c r="AJ71" s="120">
        <v>0.21</v>
      </c>
      <c r="AK71" s="118">
        <v>0</v>
      </c>
      <c r="AL71" s="118">
        <v>0</v>
      </c>
      <c r="AM71" s="119">
        <v>0.21</v>
      </c>
      <c r="AN71" s="120">
        <v>0.68</v>
      </c>
      <c r="AO71" s="118">
        <v>0</v>
      </c>
      <c r="AP71" s="118">
        <v>0</v>
      </c>
      <c r="AQ71" s="119">
        <v>0.68</v>
      </c>
      <c r="AR71" s="120">
        <v>0.65</v>
      </c>
      <c r="AS71" s="118">
        <v>0</v>
      </c>
      <c r="AT71" s="118">
        <v>0</v>
      </c>
      <c r="AU71" s="119">
        <v>0.65</v>
      </c>
      <c r="AV71" s="120">
        <v>0.21</v>
      </c>
      <c r="AW71" s="118">
        <v>0</v>
      </c>
      <c r="AX71" s="118">
        <v>0</v>
      </c>
      <c r="AY71" s="119">
        <v>0.21</v>
      </c>
      <c r="AZ71" s="120">
        <v>0.37</v>
      </c>
      <c r="BA71" s="118">
        <v>1.42</v>
      </c>
      <c r="BB71" s="118">
        <v>0</v>
      </c>
      <c r="BC71" s="119">
        <v>1.79</v>
      </c>
      <c r="BD71" s="121">
        <v>0.19</v>
      </c>
      <c r="BE71" s="120">
        <v>0.53</v>
      </c>
      <c r="BF71" s="118">
        <v>0</v>
      </c>
      <c r="BG71" s="118">
        <v>0</v>
      </c>
      <c r="BH71" s="119">
        <v>0.53</v>
      </c>
      <c r="BI71" s="120">
        <v>0.53</v>
      </c>
      <c r="BJ71" s="118">
        <v>0</v>
      </c>
      <c r="BK71" s="118">
        <v>0</v>
      </c>
      <c r="BL71" s="119">
        <v>0.53</v>
      </c>
      <c r="BM71" s="120">
        <v>3.2</v>
      </c>
      <c r="BN71" s="118">
        <v>6.13</v>
      </c>
      <c r="BO71" s="118">
        <v>1.89</v>
      </c>
      <c r="BP71" s="118">
        <v>1.98</v>
      </c>
      <c r="BQ71" s="118">
        <v>6.01</v>
      </c>
      <c r="BR71" s="118">
        <v>0.72</v>
      </c>
      <c r="BS71" s="118">
        <v>6.77</v>
      </c>
      <c r="BT71" s="118">
        <v>2.4300000000000002</v>
      </c>
      <c r="BU71" s="119">
        <v>2.4300000000000002</v>
      </c>
      <c r="BV71" s="74">
        <v>3240000</v>
      </c>
      <c r="BW71" s="105">
        <v>60</v>
      </c>
      <c r="BX71" s="105">
        <v>1700</v>
      </c>
      <c r="BY71" s="157">
        <v>24.5</v>
      </c>
      <c r="BZ71" s="106">
        <v>18.5</v>
      </c>
      <c r="CA71" s="115">
        <v>1.4540000000000001E-2</v>
      </c>
      <c r="CB71" s="105">
        <v>318</v>
      </c>
      <c r="CC71" s="114">
        <v>0</v>
      </c>
      <c r="CD71" s="105">
        <v>0</v>
      </c>
      <c r="CE71" s="99">
        <f t="shared" si="5"/>
        <v>2.2500000000000003E-2</v>
      </c>
      <c r="CF71" s="100">
        <f t="shared" si="3"/>
        <v>1.29</v>
      </c>
    </row>
    <row r="72" spans="1:84" x14ac:dyDescent="0.25">
      <c r="A72" s="101">
        <v>71</v>
      </c>
      <c r="B72" s="102"/>
      <c r="C72" s="103" t="s">
        <v>281</v>
      </c>
      <c r="D72" s="104">
        <v>1800</v>
      </c>
      <c r="E72" s="105">
        <v>1800</v>
      </c>
      <c r="F72" s="106">
        <f t="shared" si="4"/>
        <v>3240000</v>
      </c>
      <c r="G72" s="105">
        <v>60</v>
      </c>
      <c r="H72" s="105">
        <v>1700</v>
      </c>
      <c r="I72" s="107">
        <v>1</v>
      </c>
      <c r="J72" s="155">
        <v>24</v>
      </c>
      <c r="K72" s="156">
        <v>16.899999999999999</v>
      </c>
      <c r="L72" s="157">
        <v>24.5</v>
      </c>
      <c r="M72" s="158">
        <v>1.06</v>
      </c>
      <c r="N72" s="106">
        <v>18.5</v>
      </c>
      <c r="O72" s="112" t="s">
        <v>201</v>
      </c>
      <c r="P72" s="113" t="s">
        <v>211</v>
      </c>
      <c r="Q72" s="114">
        <v>2.9099999999999998E-3</v>
      </c>
      <c r="R72" s="115">
        <v>6.5399999999999998E-3</v>
      </c>
      <c r="S72" s="115">
        <v>8.7299999999999999E-3</v>
      </c>
      <c r="T72" s="105">
        <v>318</v>
      </c>
      <c r="U72" s="116">
        <v>800</v>
      </c>
      <c r="V72" s="114">
        <v>0</v>
      </c>
      <c r="W72" s="105">
        <v>0</v>
      </c>
      <c r="X72" s="116">
        <v>400</v>
      </c>
      <c r="Y72" s="117">
        <v>0</v>
      </c>
      <c r="Z72" s="117">
        <v>1</v>
      </c>
      <c r="AA72" s="108">
        <v>5.0999999999999996</v>
      </c>
      <c r="AB72" s="106">
        <v>14</v>
      </c>
      <c r="AC72" s="109">
        <v>2.7</v>
      </c>
      <c r="AD72" s="112" t="s">
        <v>224</v>
      </c>
      <c r="AE72" s="175">
        <v>0.86</v>
      </c>
      <c r="AF72" s="120">
        <v>0.4</v>
      </c>
      <c r="AG72" s="118">
        <v>0</v>
      </c>
      <c r="AH72" s="118">
        <v>0</v>
      </c>
      <c r="AI72" s="119">
        <v>0.4</v>
      </c>
      <c r="AJ72" s="120">
        <v>0.21</v>
      </c>
      <c r="AK72" s="118">
        <v>0</v>
      </c>
      <c r="AL72" s="118">
        <v>0</v>
      </c>
      <c r="AM72" s="119">
        <v>0.21</v>
      </c>
      <c r="AN72" s="120">
        <v>0.39</v>
      </c>
      <c r="AO72" s="118">
        <v>0</v>
      </c>
      <c r="AP72" s="118">
        <v>0</v>
      </c>
      <c r="AQ72" s="119">
        <v>0.39</v>
      </c>
      <c r="AR72" s="120">
        <v>0.65</v>
      </c>
      <c r="AS72" s="118">
        <v>0</v>
      </c>
      <c r="AT72" s="118">
        <v>0</v>
      </c>
      <c r="AU72" s="119">
        <v>0.65</v>
      </c>
      <c r="AV72" s="120">
        <v>0.21</v>
      </c>
      <c r="AW72" s="118">
        <v>0</v>
      </c>
      <c r="AX72" s="118">
        <v>0</v>
      </c>
      <c r="AY72" s="119">
        <v>0.21</v>
      </c>
      <c r="AZ72" s="120">
        <v>0.37</v>
      </c>
      <c r="BA72" s="118">
        <v>1.01</v>
      </c>
      <c r="BB72" s="118">
        <v>0</v>
      </c>
      <c r="BC72" s="119">
        <v>1.38</v>
      </c>
      <c r="BD72" s="121">
        <v>0.19</v>
      </c>
      <c r="BE72" s="120">
        <v>0.53</v>
      </c>
      <c r="BF72" s="118">
        <v>0</v>
      </c>
      <c r="BG72" s="118">
        <v>0</v>
      </c>
      <c r="BH72" s="119">
        <v>0.53</v>
      </c>
      <c r="BI72" s="120">
        <v>0.53</v>
      </c>
      <c r="BJ72" s="118">
        <v>0</v>
      </c>
      <c r="BK72" s="118">
        <v>0</v>
      </c>
      <c r="BL72" s="119">
        <v>0.53</v>
      </c>
      <c r="BM72" s="120">
        <v>2.14</v>
      </c>
      <c r="BN72" s="118">
        <v>4.0999999999999996</v>
      </c>
      <c r="BO72" s="118">
        <v>2.19</v>
      </c>
      <c r="BP72" s="118">
        <v>1.32</v>
      </c>
      <c r="BQ72" s="118">
        <v>4.0199999999999996</v>
      </c>
      <c r="BR72" s="118">
        <v>0.63</v>
      </c>
      <c r="BS72" s="118">
        <v>4.53</v>
      </c>
      <c r="BT72" s="118">
        <v>1.62</v>
      </c>
      <c r="BU72" s="119">
        <v>1.62</v>
      </c>
      <c r="BV72" s="74">
        <v>3240000</v>
      </c>
      <c r="BW72" s="105">
        <v>60</v>
      </c>
      <c r="BX72" s="105">
        <v>1700</v>
      </c>
      <c r="BY72" s="157">
        <v>24.5</v>
      </c>
      <c r="BZ72" s="106">
        <v>18.5</v>
      </c>
      <c r="CA72" s="115">
        <v>8.7299999999999999E-3</v>
      </c>
      <c r="CB72" s="105">
        <v>318</v>
      </c>
      <c r="CC72" s="114">
        <v>0</v>
      </c>
      <c r="CD72" s="105">
        <v>0</v>
      </c>
      <c r="CE72" s="179">
        <f t="shared" si="5"/>
        <v>1.5000000000000001E-2</v>
      </c>
      <c r="CF72" s="180">
        <f t="shared" si="3"/>
        <v>0.86</v>
      </c>
    </row>
    <row r="73" spans="1:84" hidden="1" x14ac:dyDescent="0.25">
      <c r="A73" s="101">
        <v>72</v>
      </c>
      <c r="B73" s="102"/>
      <c r="C73" s="103" t="s">
        <v>282</v>
      </c>
      <c r="D73" s="104">
        <v>1800</v>
      </c>
      <c r="E73" s="105">
        <v>1800</v>
      </c>
      <c r="F73" s="106">
        <f t="shared" si="4"/>
        <v>3240000</v>
      </c>
      <c r="G73" s="105">
        <v>140</v>
      </c>
      <c r="H73" s="105">
        <v>1700</v>
      </c>
      <c r="I73" s="107">
        <v>1</v>
      </c>
      <c r="J73" s="155">
        <v>24</v>
      </c>
      <c r="K73" s="156">
        <v>16.899999999999999</v>
      </c>
      <c r="L73" s="157">
        <v>21.1</v>
      </c>
      <c r="M73" s="158">
        <v>1.06</v>
      </c>
      <c r="N73" s="106">
        <v>18.5</v>
      </c>
      <c r="O73" s="112" t="s">
        <v>210</v>
      </c>
      <c r="P73" s="113" t="s">
        <v>211</v>
      </c>
      <c r="Q73" s="114">
        <v>1.25E-3</v>
      </c>
      <c r="R73" s="115">
        <v>5.6100000000000004E-3</v>
      </c>
      <c r="S73" s="115">
        <v>6.2300000000000003E-3</v>
      </c>
      <c r="T73" s="105">
        <v>318</v>
      </c>
      <c r="U73" s="116">
        <v>400</v>
      </c>
      <c r="V73" s="114">
        <v>5.0000000000000001E-4</v>
      </c>
      <c r="W73" s="105">
        <v>325</v>
      </c>
      <c r="X73" s="116">
        <v>400</v>
      </c>
      <c r="Y73" s="160">
        <v>0.5</v>
      </c>
      <c r="Z73" s="117">
        <v>1</v>
      </c>
      <c r="AA73" s="108">
        <v>2.2000000000000002</v>
      </c>
      <c r="AB73" s="106">
        <v>8</v>
      </c>
      <c r="AC73" s="109">
        <v>2.7</v>
      </c>
      <c r="AD73" s="112" t="s">
        <v>224</v>
      </c>
      <c r="AE73" s="175">
        <v>1.04</v>
      </c>
      <c r="AF73" s="120">
        <v>0.8</v>
      </c>
      <c r="AG73" s="118">
        <v>0.08</v>
      </c>
      <c r="AH73" s="118">
        <v>0.13</v>
      </c>
      <c r="AI73" s="119">
        <v>1</v>
      </c>
      <c r="AJ73" s="120">
        <v>0.28000000000000003</v>
      </c>
      <c r="AK73" s="118">
        <v>0.16</v>
      </c>
      <c r="AL73" s="118">
        <v>0</v>
      </c>
      <c r="AM73" s="119">
        <v>0.44</v>
      </c>
      <c r="AN73" s="120">
        <v>0.39</v>
      </c>
      <c r="AO73" s="118">
        <v>0.1</v>
      </c>
      <c r="AP73" s="118">
        <v>0.19</v>
      </c>
      <c r="AQ73" s="119">
        <v>0.66</v>
      </c>
      <c r="AR73" s="120">
        <v>0.65</v>
      </c>
      <c r="AS73" s="118">
        <v>0.09</v>
      </c>
      <c r="AT73" s="118">
        <v>0.13</v>
      </c>
      <c r="AU73" s="119">
        <v>0.87</v>
      </c>
      <c r="AV73" s="120">
        <v>0.43</v>
      </c>
      <c r="AW73" s="118">
        <v>0.16</v>
      </c>
      <c r="AX73" s="118">
        <v>0</v>
      </c>
      <c r="AY73" s="119">
        <v>0.59</v>
      </c>
      <c r="AZ73" s="120">
        <v>0.3</v>
      </c>
      <c r="BA73" s="118">
        <v>1.21</v>
      </c>
      <c r="BB73" s="118">
        <v>0.04</v>
      </c>
      <c r="BC73" s="119">
        <v>1.56</v>
      </c>
      <c r="BD73" s="121">
        <v>0.52</v>
      </c>
      <c r="BE73" s="120">
        <v>0.53</v>
      </c>
      <c r="BF73" s="118">
        <v>0</v>
      </c>
      <c r="BG73" s="118">
        <v>0.12</v>
      </c>
      <c r="BH73" s="119">
        <v>0.65</v>
      </c>
      <c r="BI73" s="120">
        <v>0.53</v>
      </c>
      <c r="BJ73" s="118">
        <v>0.1</v>
      </c>
      <c r="BK73" s="118">
        <v>0.15</v>
      </c>
      <c r="BL73" s="119">
        <v>0.78</v>
      </c>
      <c r="BM73" s="120">
        <v>1.03</v>
      </c>
      <c r="BN73" s="118">
        <v>2.35</v>
      </c>
      <c r="BO73" s="118">
        <v>1.57</v>
      </c>
      <c r="BP73" s="118">
        <v>1.2</v>
      </c>
      <c r="BQ73" s="118">
        <v>1.76</v>
      </c>
      <c r="BR73" s="118">
        <v>0.67</v>
      </c>
      <c r="BS73" s="118">
        <v>2</v>
      </c>
      <c r="BT73" s="118">
        <v>1.61</v>
      </c>
      <c r="BU73" s="119">
        <v>1.34</v>
      </c>
      <c r="BV73" s="74">
        <v>3240000</v>
      </c>
      <c r="BW73" s="105">
        <v>140</v>
      </c>
      <c r="BX73" s="105">
        <v>1700</v>
      </c>
      <c r="BY73" s="157">
        <v>21.1</v>
      </c>
      <c r="BZ73" s="106">
        <v>18.5</v>
      </c>
      <c r="CA73" s="115">
        <v>6.2300000000000003E-3</v>
      </c>
      <c r="CB73" s="105">
        <v>318</v>
      </c>
      <c r="CC73" s="114">
        <v>5.0000000000000001E-4</v>
      </c>
      <c r="CD73" s="105">
        <v>325</v>
      </c>
      <c r="CE73" s="99">
        <f t="shared" si="5"/>
        <v>6.3888888888888893E-3</v>
      </c>
      <c r="CF73" s="100">
        <f t="shared" si="3"/>
        <v>1.04</v>
      </c>
    </row>
    <row r="74" spans="1:84" hidden="1" x14ac:dyDescent="0.25">
      <c r="A74" s="101">
        <v>73</v>
      </c>
      <c r="B74" s="102"/>
      <c r="C74" s="103" t="s">
        <v>283</v>
      </c>
      <c r="D74" s="104">
        <v>1800</v>
      </c>
      <c r="E74" s="105">
        <v>1800</v>
      </c>
      <c r="F74" s="106">
        <f t="shared" si="4"/>
        <v>3240000</v>
      </c>
      <c r="G74" s="105">
        <v>140</v>
      </c>
      <c r="H74" s="105">
        <v>1700</v>
      </c>
      <c r="I74" s="107">
        <v>1</v>
      </c>
      <c r="J74" s="155">
        <v>24</v>
      </c>
      <c r="K74" s="156">
        <v>16.899999999999999</v>
      </c>
      <c r="L74" s="157">
        <v>24.5</v>
      </c>
      <c r="M74" s="158">
        <v>1.06</v>
      </c>
      <c r="N74" s="106">
        <v>18.5</v>
      </c>
      <c r="O74" s="112" t="s">
        <v>210</v>
      </c>
      <c r="P74" s="113" t="s">
        <v>211</v>
      </c>
      <c r="Q74" s="114">
        <v>1.25E-3</v>
      </c>
      <c r="R74" s="115">
        <v>5.6100000000000004E-3</v>
      </c>
      <c r="S74" s="115">
        <v>6.2300000000000003E-3</v>
      </c>
      <c r="T74" s="105">
        <v>318</v>
      </c>
      <c r="U74" s="116">
        <v>400</v>
      </c>
      <c r="V74" s="114">
        <v>5.0000000000000001E-4</v>
      </c>
      <c r="W74" s="105">
        <v>325</v>
      </c>
      <c r="X74" s="116">
        <v>400</v>
      </c>
      <c r="Y74" s="160">
        <v>0.25</v>
      </c>
      <c r="Z74" s="117">
        <v>1</v>
      </c>
      <c r="AA74" s="108">
        <v>2.2000000000000002</v>
      </c>
      <c r="AB74" s="106">
        <v>6</v>
      </c>
      <c r="AC74" s="109">
        <v>2.7</v>
      </c>
      <c r="AD74" s="112" t="s">
        <v>224</v>
      </c>
      <c r="AE74" s="175">
        <v>0.98</v>
      </c>
      <c r="AF74" s="120">
        <v>0.8</v>
      </c>
      <c r="AG74" s="118">
        <v>0.08</v>
      </c>
      <c r="AH74" s="118">
        <v>0.06</v>
      </c>
      <c r="AI74" s="119">
        <v>0.94</v>
      </c>
      <c r="AJ74" s="120">
        <v>0.28000000000000003</v>
      </c>
      <c r="AK74" s="118">
        <v>0.16</v>
      </c>
      <c r="AL74" s="118">
        <v>0</v>
      </c>
      <c r="AM74" s="119">
        <v>0.44</v>
      </c>
      <c r="AN74" s="120">
        <v>0.39</v>
      </c>
      <c r="AO74" s="118">
        <v>0.1</v>
      </c>
      <c r="AP74" s="118">
        <v>0.09</v>
      </c>
      <c r="AQ74" s="119">
        <v>0.56999999999999995</v>
      </c>
      <c r="AR74" s="120">
        <v>0.65</v>
      </c>
      <c r="AS74" s="118">
        <v>0.09</v>
      </c>
      <c r="AT74" s="118">
        <v>0.06</v>
      </c>
      <c r="AU74" s="119">
        <v>0.8</v>
      </c>
      <c r="AV74" s="120">
        <v>0.43</v>
      </c>
      <c r="AW74" s="118">
        <v>0.16</v>
      </c>
      <c r="AX74" s="118">
        <v>0</v>
      </c>
      <c r="AY74" s="119">
        <v>0.59</v>
      </c>
      <c r="AZ74" s="120">
        <v>0.3</v>
      </c>
      <c r="BA74" s="118">
        <v>1.21</v>
      </c>
      <c r="BB74" s="118">
        <v>0.02</v>
      </c>
      <c r="BC74" s="119">
        <v>1.54</v>
      </c>
      <c r="BD74" s="121">
        <v>0.52</v>
      </c>
      <c r="BE74" s="120">
        <v>0.53</v>
      </c>
      <c r="BF74" s="118">
        <v>0</v>
      </c>
      <c r="BG74" s="118">
        <v>0.06</v>
      </c>
      <c r="BH74" s="119">
        <v>0.59</v>
      </c>
      <c r="BI74" s="120">
        <v>0.53</v>
      </c>
      <c r="BJ74" s="118">
        <v>0.1</v>
      </c>
      <c r="BK74" s="118">
        <v>0.08</v>
      </c>
      <c r="BL74" s="119">
        <v>0.7</v>
      </c>
      <c r="BM74" s="120">
        <v>1.04</v>
      </c>
      <c r="BN74" s="118">
        <v>2.2200000000000002</v>
      </c>
      <c r="BO74" s="118">
        <v>1.72</v>
      </c>
      <c r="BP74" s="118">
        <v>1.22</v>
      </c>
      <c r="BQ74" s="118">
        <v>1.66</v>
      </c>
      <c r="BR74" s="118">
        <v>0.64</v>
      </c>
      <c r="BS74" s="118">
        <v>1.88</v>
      </c>
      <c r="BT74" s="118">
        <v>1.67</v>
      </c>
      <c r="BU74" s="119">
        <v>1.39</v>
      </c>
      <c r="BV74" s="74">
        <v>3240000</v>
      </c>
      <c r="BW74" s="105">
        <v>140</v>
      </c>
      <c r="BX74" s="105">
        <v>1700</v>
      </c>
      <c r="BY74" s="157">
        <v>24.5</v>
      </c>
      <c r="BZ74" s="106">
        <v>18.5</v>
      </c>
      <c r="CA74" s="115">
        <v>6.2300000000000003E-3</v>
      </c>
      <c r="CB74" s="105">
        <v>318</v>
      </c>
      <c r="CC74" s="114">
        <v>5.0000000000000001E-4</v>
      </c>
      <c r="CD74" s="105">
        <v>325</v>
      </c>
      <c r="CE74" s="99">
        <f t="shared" si="5"/>
        <v>6.6269841269841262E-3</v>
      </c>
      <c r="CF74" s="100">
        <f t="shared" si="3"/>
        <v>0.98</v>
      </c>
    </row>
    <row r="75" spans="1:84" hidden="1" x14ac:dyDescent="0.25">
      <c r="A75" s="101">
        <v>74</v>
      </c>
      <c r="B75" s="102"/>
      <c r="C75" s="103" t="s">
        <v>284</v>
      </c>
      <c r="D75" s="104">
        <v>3600</v>
      </c>
      <c r="E75" s="105">
        <v>1800</v>
      </c>
      <c r="F75" s="106">
        <f t="shared" si="4"/>
        <v>6480000</v>
      </c>
      <c r="G75" s="105">
        <v>140</v>
      </c>
      <c r="H75" s="105">
        <v>1700</v>
      </c>
      <c r="I75" s="107">
        <v>2</v>
      </c>
      <c r="J75" s="155">
        <v>24</v>
      </c>
      <c r="K75" s="156">
        <v>16.899999999999999</v>
      </c>
      <c r="L75" s="157">
        <v>24.5</v>
      </c>
      <c r="M75" s="158">
        <v>1.22</v>
      </c>
      <c r="N75" s="106">
        <v>24.3</v>
      </c>
      <c r="O75" s="112" t="s">
        <v>210</v>
      </c>
      <c r="P75" s="113" t="s">
        <v>211</v>
      </c>
      <c r="Q75" s="114">
        <v>1.9E-3</v>
      </c>
      <c r="R75" s="115">
        <v>8.77E-3</v>
      </c>
      <c r="S75" s="115">
        <v>9.7000000000000003E-3</v>
      </c>
      <c r="T75" s="105">
        <v>550</v>
      </c>
      <c r="U75" s="116">
        <v>400</v>
      </c>
      <c r="V75" s="114">
        <v>5.1000000000000004E-4</v>
      </c>
      <c r="W75" s="105">
        <v>325</v>
      </c>
      <c r="X75" s="116">
        <v>400</v>
      </c>
      <c r="Y75" s="160">
        <v>0.25</v>
      </c>
      <c r="Z75" s="117">
        <v>1</v>
      </c>
      <c r="AA75" s="108">
        <v>7</v>
      </c>
      <c r="AB75" s="106">
        <v>24</v>
      </c>
      <c r="AC75" s="109">
        <v>2.9</v>
      </c>
      <c r="AD75" s="112" t="s">
        <v>224</v>
      </c>
      <c r="AE75" s="175">
        <v>0.82</v>
      </c>
      <c r="AF75" s="120">
        <v>0.92</v>
      </c>
      <c r="AG75" s="118">
        <v>0.08</v>
      </c>
      <c r="AH75" s="118">
        <v>0.06</v>
      </c>
      <c r="AI75" s="119">
        <v>1.06</v>
      </c>
      <c r="AJ75" s="120">
        <v>0.28000000000000003</v>
      </c>
      <c r="AK75" s="118">
        <v>0.17</v>
      </c>
      <c r="AL75" s="118">
        <v>0</v>
      </c>
      <c r="AM75" s="119">
        <v>0.45</v>
      </c>
      <c r="AN75" s="120">
        <v>0.55000000000000004</v>
      </c>
      <c r="AO75" s="118">
        <v>0.11</v>
      </c>
      <c r="AP75" s="118">
        <v>0.04</v>
      </c>
      <c r="AQ75" s="119">
        <v>0.67</v>
      </c>
      <c r="AR75" s="120">
        <v>0.74</v>
      </c>
      <c r="AS75" s="118">
        <v>0.09</v>
      </c>
      <c r="AT75" s="118">
        <v>0.06</v>
      </c>
      <c r="AU75" s="119">
        <v>0.9</v>
      </c>
      <c r="AV75" s="120">
        <v>0.49</v>
      </c>
      <c r="AW75" s="118">
        <v>0.17</v>
      </c>
      <c r="AX75" s="118">
        <v>0</v>
      </c>
      <c r="AY75" s="119">
        <v>0.66</v>
      </c>
      <c r="AZ75" s="120">
        <v>0.2</v>
      </c>
      <c r="BA75" s="118">
        <v>1.82</v>
      </c>
      <c r="BB75" s="118">
        <v>0.02</v>
      </c>
      <c r="BC75" s="119">
        <v>2.04</v>
      </c>
      <c r="BD75" s="121">
        <v>0.52</v>
      </c>
      <c r="BE75" s="120">
        <v>0.3</v>
      </c>
      <c r="BF75" s="118">
        <v>0</v>
      </c>
      <c r="BG75" s="118">
        <v>0.06</v>
      </c>
      <c r="BH75" s="119">
        <v>0.36</v>
      </c>
      <c r="BI75" s="120">
        <v>0.61</v>
      </c>
      <c r="BJ75" s="118">
        <v>0.1</v>
      </c>
      <c r="BK75" s="118">
        <v>0.08</v>
      </c>
      <c r="BL75" s="119">
        <v>0.78</v>
      </c>
      <c r="BM75" s="120">
        <v>0.77</v>
      </c>
      <c r="BN75" s="118">
        <v>1.83</v>
      </c>
      <c r="BO75" s="118">
        <v>1.21</v>
      </c>
      <c r="BP75" s="118">
        <v>0.91</v>
      </c>
      <c r="BQ75" s="118">
        <v>1.24</v>
      </c>
      <c r="BR75" s="118">
        <v>0.4</v>
      </c>
      <c r="BS75" s="118">
        <v>1.57</v>
      </c>
      <c r="BT75" s="118">
        <v>2.2599999999999998</v>
      </c>
      <c r="BU75" s="119">
        <v>1.05</v>
      </c>
      <c r="BV75" s="74">
        <v>6480000</v>
      </c>
      <c r="BW75" s="105">
        <v>140</v>
      </c>
      <c r="BX75" s="105">
        <v>1700</v>
      </c>
      <c r="BY75" s="157">
        <v>24.5</v>
      </c>
      <c r="BZ75" s="106">
        <v>24.3</v>
      </c>
      <c r="CA75" s="115">
        <v>9.7000000000000003E-3</v>
      </c>
      <c r="CB75" s="105">
        <v>550</v>
      </c>
      <c r="CC75" s="114">
        <v>5.1000000000000004E-4</v>
      </c>
      <c r="CD75" s="105">
        <v>325</v>
      </c>
      <c r="CE75" s="99">
        <f t="shared" si="5"/>
        <v>8.9682539682539673E-3</v>
      </c>
      <c r="CF75" s="100">
        <f t="shared" si="3"/>
        <v>0.82</v>
      </c>
    </row>
    <row r="76" spans="1:84" hidden="1" x14ac:dyDescent="0.25">
      <c r="A76" s="101">
        <v>75</v>
      </c>
      <c r="B76" s="102"/>
      <c r="C76" s="103" t="s">
        <v>285</v>
      </c>
      <c r="D76" s="104">
        <v>1800</v>
      </c>
      <c r="E76" s="105">
        <v>3000</v>
      </c>
      <c r="F76" s="106">
        <f t="shared" si="4"/>
        <v>5400000</v>
      </c>
      <c r="G76" s="105">
        <v>140</v>
      </c>
      <c r="H76" s="105">
        <v>2900</v>
      </c>
      <c r="I76" s="107">
        <v>0.6</v>
      </c>
      <c r="J76" s="155">
        <v>24</v>
      </c>
      <c r="K76" s="156">
        <v>16.899999999999999</v>
      </c>
      <c r="L76" s="157">
        <v>24.5</v>
      </c>
      <c r="M76" s="158">
        <v>1.22</v>
      </c>
      <c r="N76" s="106">
        <v>24.3</v>
      </c>
      <c r="O76" s="112" t="s">
        <v>210</v>
      </c>
      <c r="P76" s="113" t="s">
        <v>211</v>
      </c>
      <c r="Q76" s="114">
        <v>7.5000000000000002E-4</v>
      </c>
      <c r="R76" s="115">
        <v>5.6100000000000004E-3</v>
      </c>
      <c r="S76" s="115">
        <v>5.8999999999999999E-3</v>
      </c>
      <c r="T76" s="105">
        <v>318</v>
      </c>
      <c r="U76" s="116">
        <v>400</v>
      </c>
      <c r="V76" s="114">
        <v>5.1000000000000004E-4</v>
      </c>
      <c r="W76" s="105">
        <v>325</v>
      </c>
      <c r="X76" s="116">
        <v>400</v>
      </c>
      <c r="Y76" s="160">
        <v>0.25</v>
      </c>
      <c r="Z76" s="117">
        <v>1</v>
      </c>
      <c r="AA76" s="108">
        <v>3</v>
      </c>
      <c r="AB76" s="106">
        <v>4</v>
      </c>
      <c r="AC76" s="109">
        <v>1.3</v>
      </c>
      <c r="AD76" s="112" t="s">
        <v>224</v>
      </c>
      <c r="AE76" s="175">
        <v>1.39</v>
      </c>
      <c r="AF76" s="120">
        <v>1.19</v>
      </c>
      <c r="AG76" s="118">
        <v>0.08</v>
      </c>
      <c r="AH76" s="118">
        <v>0.06</v>
      </c>
      <c r="AI76" s="119">
        <v>1.33</v>
      </c>
      <c r="AJ76" s="120">
        <v>0.28000000000000003</v>
      </c>
      <c r="AK76" s="118">
        <v>0.17</v>
      </c>
      <c r="AL76" s="118">
        <v>0</v>
      </c>
      <c r="AM76" s="119">
        <v>0.45</v>
      </c>
      <c r="AN76" s="120">
        <v>1.1499999999999999</v>
      </c>
      <c r="AO76" s="118">
        <v>0.11</v>
      </c>
      <c r="AP76" s="118">
        <v>0.17</v>
      </c>
      <c r="AQ76" s="119">
        <v>1.38</v>
      </c>
      <c r="AR76" s="120">
        <v>1.07</v>
      </c>
      <c r="AS76" s="118">
        <v>0.1</v>
      </c>
      <c r="AT76" s="118">
        <v>0.06</v>
      </c>
      <c r="AU76" s="119">
        <v>1.23</v>
      </c>
      <c r="AV76" s="120">
        <v>0.74</v>
      </c>
      <c r="AW76" s="118">
        <v>0.17</v>
      </c>
      <c r="AX76" s="118">
        <v>0</v>
      </c>
      <c r="AY76" s="119">
        <v>0.91</v>
      </c>
      <c r="AZ76" s="120">
        <v>0.32</v>
      </c>
      <c r="BA76" s="118">
        <v>1.24</v>
      </c>
      <c r="BB76" s="118">
        <v>0.02</v>
      </c>
      <c r="BC76" s="119">
        <v>1.59</v>
      </c>
      <c r="BD76" s="121">
        <v>0.64</v>
      </c>
      <c r="BE76" s="120">
        <v>1.01</v>
      </c>
      <c r="BF76" s="118">
        <v>0</v>
      </c>
      <c r="BG76" s="118">
        <v>0.06</v>
      </c>
      <c r="BH76" s="119">
        <v>1.07</v>
      </c>
      <c r="BI76" s="120">
        <v>0.61</v>
      </c>
      <c r="BJ76" s="118">
        <v>0.1</v>
      </c>
      <c r="BK76" s="118">
        <v>0.08</v>
      </c>
      <c r="BL76" s="119">
        <v>0.78</v>
      </c>
      <c r="BM76" s="120">
        <v>1.04</v>
      </c>
      <c r="BN76" s="118">
        <v>3.12</v>
      </c>
      <c r="BO76" s="118">
        <v>1.01</v>
      </c>
      <c r="BP76" s="118">
        <v>1.1399999999999999</v>
      </c>
      <c r="BQ76" s="118">
        <v>1.54</v>
      </c>
      <c r="BR76" s="118">
        <v>0.88</v>
      </c>
      <c r="BS76" s="118">
        <v>2.17</v>
      </c>
      <c r="BT76" s="118">
        <v>1.3</v>
      </c>
      <c r="BU76" s="119">
        <v>1.78</v>
      </c>
      <c r="BV76" s="74">
        <v>5400000</v>
      </c>
      <c r="BW76" s="105">
        <v>140</v>
      </c>
      <c r="BX76" s="105">
        <v>2900</v>
      </c>
      <c r="BY76" s="157">
        <v>24.5</v>
      </c>
      <c r="BZ76" s="106">
        <v>24.3</v>
      </c>
      <c r="CA76" s="115">
        <v>5.8999999999999999E-3</v>
      </c>
      <c r="CB76" s="105">
        <v>318</v>
      </c>
      <c r="CC76" s="114">
        <v>5.1000000000000004E-4</v>
      </c>
      <c r="CD76" s="105">
        <v>325</v>
      </c>
      <c r="CE76" s="99">
        <f t="shared" si="5"/>
        <v>3.0952380952380953E-3</v>
      </c>
      <c r="CF76" s="100">
        <f t="shared" si="3"/>
        <v>1.39</v>
      </c>
    </row>
    <row r="77" spans="1:84" ht="14.25" hidden="1" customHeight="1" x14ac:dyDescent="0.25">
      <c r="A77" s="128">
        <v>76</v>
      </c>
      <c r="B77" s="129"/>
      <c r="C77" s="130" t="s">
        <v>286</v>
      </c>
      <c r="D77" s="131">
        <v>1800</v>
      </c>
      <c r="E77" s="132">
        <v>1800</v>
      </c>
      <c r="F77" s="133">
        <f t="shared" si="4"/>
        <v>3240000</v>
      </c>
      <c r="G77" s="132">
        <v>140</v>
      </c>
      <c r="H77" s="132">
        <v>1700</v>
      </c>
      <c r="I77" s="134">
        <v>1</v>
      </c>
      <c r="J77" s="164">
        <v>24</v>
      </c>
      <c r="K77" s="156">
        <v>16.899999999999999</v>
      </c>
      <c r="L77" s="181">
        <v>24.5</v>
      </c>
      <c r="M77" s="166">
        <v>1.03</v>
      </c>
      <c r="N77" s="133">
        <v>17.600000000000001</v>
      </c>
      <c r="O77" s="139" t="s">
        <v>210</v>
      </c>
      <c r="P77" s="140" t="s">
        <v>211</v>
      </c>
      <c r="Q77" s="141">
        <v>1.25E-3</v>
      </c>
      <c r="R77" s="142">
        <v>5.6100000000000004E-3</v>
      </c>
      <c r="S77" s="142">
        <v>6.2300000000000003E-3</v>
      </c>
      <c r="T77" s="132">
        <v>318</v>
      </c>
      <c r="U77" s="140" t="s">
        <v>212</v>
      </c>
      <c r="V77" s="141">
        <v>5.0000000000000001E-4</v>
      </c>
      <c r="W77" s="132">
        <v>325</v>
      </c>
      <c r="X77" s="143">
        <v>400</v>
      </c>
      <c r="Y77" s="144">
        <v>0</v>
      </c>
      <c r="Z77" s="144">
        <v>1</v>
      </c>
      <c r="AA77" s="168" t="s">
        <v>287</v>
      </c>
      <c r="AB77" s="169"/>
      <c r="AC77" s="136">
        <v>2.7</v>
      </c>
      <c r="AD77" s="176" t="s">
        <v>224</v>
      </c>
      <c r="AE77" s="177">
        <v>0.83</v>
      </c>
      <c r="AF77" s="147">
        <v>0.78</v>
      </c>
      <c r="AG77" s="145">
        <v>0.08</v>
      </c>
      <c r="AH77" s="145">
        <v>0</v>
      </c>
      <c r="AI77" s="146">
        <v>0.86</v>
      </c>
      <c r="AJ77" s="147">
        <v>0.21</v>
      </c>
      <c r="AK77" s="145">
        <v>0.16</v>
      </c>
      <c r="AL77" s="145">
        <v>0</v>
      </c>
      <c r="AM77" s="146">
        <v>0.37</v>
      </c>
      <c r="AN77" s="147">
        <v>0.4</v>
      </c>
      <c r="AO77" s="145">
        <v>0.1</v>
      </c>
      <c r="AP77" s="145">
        <v>0</v>
      </c>
      <c r="AQ77" s="146">
        <v>0.48</v>
      </c>
      <c r="AR77" s="147">
        <v>0.63</v>
      </c>
      <c r="AS77" s="145">
        <v>0.09</v>
      </c>
      <c r="AT77" s="145">
        <v>0</v>
      </c>
      <c r="AU77" s="146">
        <v>0.73</v>
      </c>
      <c r="AV77" s="147">
        <v>0.42</v>
      </c>
      <c r="AW77" s="145">
        <v>0.16</v>
      </c>
      <c r="AX77" s="145">
        <v>0</v>
      </c>
      <c r="AY77" s="146">
        <v>0.57999999999999996</v>
      </c>
      <c r="AZ77" s="147">
        <v>0.3</v>
      </c>
      <c r="BA77" s="145">
        <v>1.21</v>
      </c>
      <c r="BB77" s="145">
        <v>0</v>
      </c>
      <c r="BC77" s="146">
        <v>1.51</v>
      </c>
      <c r="BD77" s="148">
        <v>0.52</v>
      </c>
      <c r="BE77" s="147">
        <v>0.52</v>
      </c>
      <c r="BF77" s="145">
        <v>0</v>
      </c>
      <c r="BG77" s="145">
        <v>0</v>
      </c>
      <c r="BH77" s="146">
        <v>0.52</v>
      </c>
      <c r="BI77" s="147">
        <v>0.52</v>
      </c>
      <c r="BJ77" s="145">
        <v>0.1</v>
      </c>
      <c r="BK77" s="145">
        <v>0</v>
      </c>
      <c r="BL77" s="146">
        <v>0.61</v>
      </c>
      <c r="BM77" s="147">
        <v>0.96</v>
      </c>
      <c r="BN77" s="145">
        <v>2.23</v>
      </c>
      <c r="BO77" s="145">
        <v>1.72</v>
      </c>
      <c r="BP77" s="145">
        <v>1.1399999999999999</v>
      </c>
      <c r="BQ77" s="145">
        <v>1.43</v>
      </c>
      <c r="BR77" s="145">
        <v>0.55000000000000004</v>
      </c>
      <c r="BS77" s="145">
        <v>1.6</v>
      </c>
      <c r="BT77" s="145">
        <v>1.61</v>
      </c>
      <c r="BU77" s="146">
        <v>1.35</v>
      </c>
      <c r="BV77" s="74">
        <v>3240000</v>
      </c>
      <c r="BW77" s="132">
        <v>140</v>
      </c>
      <c r="BX77" s="132">
        <v>1700</v>
      </c>
      <c r="BY77" s="181">
        <v>24.5</v>
      </c>
      <c r="BZ77" s="133">
        <v>17.600000000000001</v>
      </c>
      <c r="CA77" s="142">
        <v>6.2300000000000003E-3</v>
      </c>
      <c r="CB77" s="132">
        <v>318</v>
      </c>
      <c r="CC77" s="141">
        <v>5.0000000000000001E-4</v>
      </c>
      <c r="CD77" s="132">
        <v>325</v>
      </c>
      <c r="CE77" s="99">
        <f t="shared" si="5"/>
        <v>6.3888888888888893E-3</v>
      </c>
      <c r="CF77" s="100">
        <f t="shared" si="3"/>
        <v>0.83</v>
      </c>
    </row>
    <row r="78" spans="1:84" ht="14.25" customHeight="1" x14ac:dyDescent="0.25">
      <c r="A78" s="78">
        <v>77</v>
      </c>
      <c r="B78" s="79" t="s">
        <v>288</v>
      </c>
      <c r="C78" s="80" t="s">
        <v>289</v>
      </c>
      <c r="D78" s="81">
        <v>2640</v>
      </c>
      <c r="E78" s="82">
        <v>3860</v>
      </c>
      <c r="F78" s="182">
        <f t="shared" si="4"/>
        <v>10190400</v>
      </c>
      <c r="G78" s="82">
        <v>200</v>
      </c>
      <c r="H78" s="82">
        <v>3088</v>
      </c>
      <c r="I78" s="84">
        <v>0.68</v>
      </c>
      <c r="J78" s="85">
        <v>13.8</v>
      </c>
      <c r="K78" s="86">
        <v>25.8</v>
      </c>
      <c r="L78" s="87">
        <v>22</v>
      </c>
      <c r="M78" s="152">
        <v>0.44</v>
      </c>
      <c r="N78" s="182">
        <v>6.2</v>
      </c>
      <c r="O78" s="89" t="s">
        <v>201</v>
      </c>
      <c r="P78" s="90" t="s">
        <v>211</v>
      </c>
      <c r="Q78" s="91">
        <v>3.6999999999999999E-4</v>
      </c>
      <c r="R78" s="92">
        <v>4.6699999999999997E-3</v>
      </c>
      <c r="S78" s="92">
        <v>5.9100000000000003E-3</v>
      </c>
      <c r="T78" s="183">
        <v>414</v>
      </c>
      <c r="U78" s="93">
        <v>1220</v>
      </c>
      <c r="V78" s="91">
        <v>1.17E-3</v>
      </c>
      <c r="W78" s="183">
        <v>321</v>
      </c>
      <c r="X78" s="93">
        <v>1220</v>
      </c>
      <c r="Y78" s="153">
        <v>0.7</v>
      </c>
      <c r="Z78" s="94">
        <v>1</v>
      </c>
      <c r="AA78" s="85">
        <v>2.7</v>
      </c>
      <c r="AB78" s="83">
        <v>23.2</v>
      </c>
      <c r="AC78" s="86">
        <v>8.6</v>
      </c>
      <c r="AD78" s="112" t="s">
        <v>224</v>
      </c>
      <c r="AE78" s="173">
        <v>0.41</v>
      </c>
      <c r="AF78" s="97">
        <v>0.26</v>
      </c>
      <c r="AG78" s="95">
        <v>0.15</v>
      </c>
      <c r="AH78" s="95">
        <v>0.18</v>
      </c>
      <c r="AI78" s="96">
        <v>0.57999999999999996</v>
      </c>
      <c r="AJ78" s="97">
        <v>0.41</v>
      </c>
      <c r="AK78" s="95">
        <v>0.47</v>
      </c>
      <c r="AL78" s="95">
        <v>0</v>
      </c>
      <c r="AM78" s="96">
        <v>0.87</v>
      </c>
      <c r="AN78" s="97">
        <v>0</v>
      </c>
      <c r="AO78" s="95">
        <v>0.24</v>
      </c>
      <c r="AP78" s="95">
        <v>0.26</v>
      </c>
      <c r="AQ78" s="96">
        <v>0.5</v>
      </c>
      <c r="AR78" s="97">
        <v>0.42</v>
      </c>
      <c r="AS78" s="95">
        <v>0.18</v>
      </c>
      <c r="AT78" s="95">
        <v>0.18</v>
      </c>
      <c r="AU78" s="96">
        <v>0.4</v>
      </c>
      <c r="AV78" s="97">
        <v>0.15</v>
      </c>
      <c r="AW78" s="95">
        <v>0.37</v>
      </c>
      <c r="AX78" s="95">
        <v>0</v>
      </c>
      <c r="AY78" s="96">
        <v>0.52</v>
      </c>
      <c r="AZ78" s="97">
        <v>0.13</v>
      </c>
      <c r="BA78" s="95">
        <v>1.18</v>
      </c>
      <c r="BB78" s="95">
        <v>0.05</v>
      </c>
      <c r="BC78" s="96">
        <v>1.36</v>
      </c>
      <c r="BD78" s="98">
        <v>0.34</v>
      </c>
      <c r="BE78" s="97">
        <v>0.32</v>
      </c>
      <c r="BF78" s="95">
        <v>0</v>
      </c>
      <c r="BG78" s="95">
        <v>0.16</v>
      </c>
      <c r="BH78" s="96">
        <v>0.48</v>
      </c>
      <c r="BI78" s="97">
        <v>0.22</v>
      </c>
      <c r="BJ78" s="95">
        <v>0.22</v>
      </c>
      <c r="BK78" s="95">
        <v>0.21</v>
      </c>
      <c r="BL78" s="96">
        <v>0.66</v>
      </c>
      <c r="BM78" s="97">
        <v>0.71</v>
      </c>
      <c r="BN78" s="95">
        <v>0.47</v>
      </c>
      <c r="BO78" s="95">
        <v>0.82</v>
      </c>
      <c r="BP78" s="95">
        <v>1.03</v>
      </c>
      <c r="BQ78" s="95">
        <v>0.79</v>
      </c>
      <c r="BR78" s="95">
        <v>0.3</v>
      </c>
      <c r="BS78" s="95">
        <v>1.22</v>
      </c>
      <c r="BT78" s="95">
        <v>0.85</v>
      </c>
      <c r="BU78" s="96">
        <v>0.63</v>
      </c>
      <c r="BV78" s="74">
        <v>10190400</v>
      </c>
      <c r="BW78" s="82">
        <v>200</v>
      </c>
      <c r="BX78" s="82">
        <v>3088</v>
      </c>
      <c r="BY78" s="87">
        <v>22</v>
      </c>
      <c r="BZ78" s="182">
        <v>6.2</v>
      </c>
      <c r="CA78" s="92">
        <v>5.9100000000000003E-3</v>
      </c>
      <c r="CB78" s="183">
        <v>414</v>
      </c>
      <c r="CC78" s="91">
        <v>1.17E-3</v>
      </c>
      <c r="CD78" s="183">
        <v>321</v>
      </c>
      <c r="CE78" s="99">
        <f t="shared" si="5"/>
        <v>1.101036269430052E-3</v>
      </c>
      <c r="CF78" s="100">
        <f t="shared" si="3"/>
        <v>0.41</v>
      </c>
    </row>
    <row r="79" spans="1:84" x14ac:dyDescent="0.25">
      <c r="A79" s="122">
        <v>78</v>
      </c>
      <c r="B79" s="102"/>
      <c r="C79" s="103" t="s">
        <v>290</v>
      </c>
      <c r="D79" s="127">
        <v>2640</v>
      </c>
      <c r="E79" s="124">
        <v>3860</v>
      </c>
      <c r="F79" s="184">
        <f t="shared" si="4"/>
        <v>10190400</v>
      </c>
      <c r="G79" s="124">
        <v>200</v>
      </c>
      <c r="H79" s="124">
        <v>3088</v>
      </c>
      <c r="I79" s="125">
        <v>0.68</v>
      </c>
      <c r="J79" s="127">
        <v>13.8</v>
      </c>
      <c r="K79" s="125">
        <v>12.6</v>
      </c>
      <c r="L79" s="110">
        <v>22</v>
      </c>
      <c r="M79" s="158">
        <v>0.34</v>
      </c>
      <c r="N79" s="184">
        <v>5.2</v>
      </c>
      <c r="O79" s="112" t="s">
        <v>201</v>
      </c>
      <c r="P79" s="113" t="s">
        <v>211</v>
      </c>
      <c r="Q79" s="114">
        <v>3.6999999999999999E-4</v>
      </c>
      <c r="R79" s="115">
        <v>4.6699999999999997E-3</v>
      </c>
      <c r="S79" s="115">
        <v>5.9100000000000003E-3</v>
      </c>
      <c r="T79" s="185">
        <v>414</v>
      </c>
      <c r="U79" s="116">
        <v>1220</v>
      </c>
      <c r="V79" s="114">
        <v>1.17E-3</v>
      </c>
      <c r="W79" s="185">
        <v>321</v>
      </c>
      <c r="X79" s="116">
        <v>1220</v>
      </c>
      <c r="Y79" s="160">
        <v>0.7</v>
      </c>
      <c r="Z79" s="117">
        <v>1</v>
      </c>
      <c r="AA79" s="108">
        <v>9.3000000000000007</v>
      </c>
      <c r="AB79" s="106">
        <v>29</v>
      </c>
      <c r="AC79" s="109">
        <v>3.1</v>
      </c>
      <c r="AD79" s="112" t="s">
        <v>224</v>
      </c>
      <c r="AE79" s="175">
        <v>0.25</v>
      </c>
      <c r="AF79" s="120">
        <v>0.24</v>
      </c>
      <c r="AG79" s="118">
        <v>0.15</v>
      </c>
      <c r="AH79" s="118">
        <v>0.18</v>
      </c>
      <c r="AI79" s="119">
        <v>0.56000000000000005</v>
      </c>
      <c r="AJ79" s="120">
        <v>0.41</v>
      </c>
      <c r="AK79" s="118">
        <v>0.47</v>
      </c>
      <c r="AL79" s="118">
        <v>0</v>
      </c>
      <c r="AM79" s="119">
        <v>0.87</v>
      </c>
      <c r="AN79" s="120">
        <v>0.17</v>
      </c>
      <c r="AO79" s="118">
        <v>0.24</v>
      </c>
      <c r="AP79" s="118">
        <v>0.25</v>
      </c>
      <c r="AQ79" s="119">
        <v>0.67</v>
      </c>
      <c r="AR79" s="120">
        <v>0.38</v>
      </c>
      <c r="AS79" s="118">
        <v>0.18</v>
      </c>
      <c r="AT79" s="118">
        <v>0.18</v>
      </c>
      <c r="AU79" s="119">
        <v>0.36</v>
      </c>
      <c r="AV79" s="120">
        <v>0.14000000000000001</v>
      </c>
      <c r="AW79" s="118">
        <v>0.37</v>
      </c>
      <c r="AX79" s="118">
        <v>0</v>
      </c>
      <c r="AY79" s="119">
        <v>0.51</v>
      </c>
      <c r="AZ79" s="120">
        <v>0.12</v>
      </c>
      <c r="BA79" s="118">
        <v>1.18</v>
      </c>
      <c r="BB79" s="118">
        <v>0.05</v>
      </c>
      <c r="BC79" s="119">
        <v>1.36</v>
      </c>
      <c r="BD79" s="121">
        <v>0.31</v>
      </c>
      <c r="BE79" s="120">
        <v>0.25</v>
      </c>
      <c r="BF79" s="118">
        <v>0</v>
      </c>
      <c r="BG79" s="118">
        <v>0.16</v>
      </c>
      <c r="BH79" s="119">
        <v>0.41</v>
      </c>
      <c r="BI79" s="120">
        <v>0.17</v>
      </c>
      <c r="BJ79" s="118">
        <v>0.22</v>
      </c>
      <c r="BK79" s="118">
        <v>0.21</v>
      </c>
      <c r="BL79" s="119">
        <v>0.6</v>
      </c>
      <c r="BM79" s="120">
        <v>0.44</v>
      </c>
      <c r="BN79" s="118">
        <v>0.28000000000000003</v>
      </c>
      <c r="BO79" s="118">
        <v>0.37</v>
      </c>
      <c r="BP79" s="118">
        <v>0.68</v>
      </c>
      <c r="BQ79" s="118">
        <v>0.48</v>
      </c>
      <c r="BR79" s="118">
        <v>0.18</v>
      </c>
      <c r="BS79" s="118">
        <v>0.8</v>
      </c>
      <c r="BT79" s="118">
        <v>0.6</v>
      </c>
      <c r="BU79" s="119">
        <v>0.41</v>
      </c>
      <c r="BV79" s="74">
        <v>10190400</v>
      </c>
      <c r="BW79" s="124">
        <v>200</v>
      </c>
      <c r="BX79" s="124">
        <v>3088</v>
      </c>
      <c r="BY79" s="110">
        <v>22</v>
      </c>
      <c r="BZ79" s="184">
        <v>5.2</v>
      </c>
      <c r="CA79" s="115">
        <v>5.9100000000000003E-3</v>
      </c>
      <c r="CB79" s="185">
        <v>414</v>
      </c>
      <c r="CC79" s="114">
        <v>1.17E-3</v>
      </c>
      <c r="CD79" s="185">
        <v>321</v>
      </c>
      <c r="CE79" s="99">
        <f t="shared" si="5"/>
        <v>7.7720207253886007E-4</v>
      </c>
      <c r="CF79" s="100">
        <f t="shared" si="3"/>
        <v>0.25</v>
      </c>
    </row>
    <row r="80" spans="1:84" x14ac:dyDescent="0.25">
      <c r="A80" s="122">
        <v>79</v>
      </c>
      <c r="B80" s="102"/>
      <c r="C80" s="103" t="s">
        <v>291</v>
      </c>
      <c r="D80" s="127">
        <v>2640</v>
      </c>
      <c r="E80" s="124">
        <v>3860</v>
      </c>
      <c r="F80" s="184">
        <f t="shared" si="4"/>
        <v>10190400</v>
      </c>
      <c r="G80" s="124">
        <v>200</v>
      </c>
      <c r="H80" s="124">
        <v>3088</v>
      </c>
      <c r="I80" s="125">
        <v>0.68</v>
      </c>
      <c r="J80" s="127">
        <v>13.8</v>
      </c>
      <c r="K80" s="125">
        <v>25.8</v>
      </c>
      <c r="L80" s="110">
        <v>22</v>
      </c>
      <c r="M80" s="158">
        <v>0.44</v>
      </c>
      <c r="N80" s="184">
        <v>6.2</v>
      </c>
      <c r="O80" s="112" t="s">
        <v>201</v>
      </c>
      <c r="P80" s="113" t="s">
        <v>211</v>
      </c>
      <c r="Q80" s="114">
        <v>3.6999999999999999E-4</v>
      </c>
      <c r="R80" s="115">
        <v>4.6699999999999997E-3</v>
      </c>
      <c r="S80" s="115">
        <v>5.9100000000000003E-3</v>
      </c>
      <c r="T80" s="185">
        <v>414</v>
      </c>
      <c r="U80" s="116">
        <v>1220</v>
      </c>
      <c r="V80" s="114">
        <v>1.17E-3</v>
      </c>
      <c r="W80" s="185">
        <v>321</v>
      </c>
      <c r="X80" s="116">
        <v>1220</v>
      </c>
      <c r="Y80" s="117">
        <v>0</v>
      </c>
      <c r="Z80" s="110">
        <v>0.5</v>
      </c>
      <c r="AA80" s="108">
        <v>9.3000000000000007</v>
      </c>
      <c r="AB80" s="106">
        <v>29</v>
      </c>
      <c r="AC80" s="109">
        <v>3.1</v>
      </c>
      <c r="AD80" s="112" t="s">
        <v>224</v>
      </c>
      <c r="AE80" s="175">
        <v>0.31</v>
      </c>
      <c r="AF80" s="120">
        <v>0.34</v>
      </c>
      <c r="AG80" s="118">
        <v>0.15</v>
      </c>
      <c r="AH80" s="118">
        <v>0</v>
      </c>
      <c r="AI80" s="119">
        <v>0.49</v>
      </c>
      <c r="AJ80" s="120">
        <v>0.21</v>
      </c>
      <c r="AK80" s="118">
        <v>0.47</v>
      </c>
      <c r="AL80" s="118">
        <v>0</v>
      </c>
      <c r="AM80" s="119">
        <v>0.68</v>
      </c>
      <c r="AN80" s="120">
        <v>0.22</v>
      </c>
      <c r="AO80" s="118">
        <v>0.24</v>
      </c>
      <c r="AP80" s="118">
        <v>0</v>
      </c>
      <c r="AQ80" s="119">
        <v>0.46</v>
      </c>
      <c r="AR80" s="120">
        <v>0.53</v>
      </c>
      <c r="AS80" s="118">
        <v>0.18</v>
      </c>
      <c r="AT80" s="118">
        <v>0</v>
      </c>
      <c r="AU80" s="119">
        <v>0.4</v>
      </c>
      <c r="AV80" s="120">
        <v>0.22</v>
      </c>
      <c r="AW80" s="118">
        <v>0.37</v>
      </c>
      <c r="AX80" s="118">
        <v>0</v>
      </c>
      <c r="AY80" s="119">
        <v>0.59</v>
      </c>
      <c r="AZ80" s="120">
        <v>0.13</v>
      </c>
      <c r="BA80" s="118">
        <v>1.18</v>
      </c>
      <c r="BB80" s="118">
        <v>0</v>
      </c>
      <c r="BC80" s="119">
        <v>1.31</v>
      </c>
      <c r="BD80" s="121">
        <v>0.38</v>
      </c>
      <c r="BE80" s="120">
        <v>0.64</v>
      </c>
      <c r="BF80" s="118">
        <v>0</v>
      </c>
      <c r="BG80" s="118">
        <v>0</v>
      </c>
      <c r="BH80" s="119">
        <v>0.64</v>
      </c>
      <c r="BI80" s="120">
        <v>0.22</v>
      </c>
      <c r="BJ80" s="118">
        <v>0.22</v>
      </c>
      <c r="BK80" s="118">
        <v>0</v>
      </c>
      <c r="BL80" s="119">
        <v>0.45</v>
      </c>
      <c r="BM80" s="120">
        <v>0.64</v>
      </c>
      <c r="BN80" s="118">
        <v>0.46</v>
      </c>
      <c r="BO80" s="118">
        <v>0.68</v>
      </c>
      <c r="BP80" s="118">
        <v>0.78</v>
      </c>
      <c r="BQ80" s="118">
        <v>0.53</v>
      </c>
      <c r="BR80" s="118">
        <v>0.24</v>
      </c>
      <c r="BS80" s="118">
        <v>0.82</v>
      </c>
      <c r="BT80" s="118">
        <v>0.48</v>
      </c>
      <c r="BU80" s="119">
        <v>0.7</v>
      </c>
      <c r="BV80" s="74">
        <v>10190400</v>
      </c>
      <c r="BW80" s="124">
        <v>200</v>
      </c>
      <c r="BX80" s="124">
        <v>3088</v>
      </c>
      <c r="BY80" s="110">
        <v>22</v>
      </c>
      <c r="BZ80" s="184">
        <v>6.2</v>
      </c>
      <c r="CA80" s="115">
        <v>5.9100000000000003E-3</v>
      </c>
      <c r="CB80" s="185">
        <v>414</v>
      </c>
      <c r="CC80" s="114">
        <v>1.17E-3</v>
      </c>
      <c r="CD80" s="185">
        <v>321</v>
      </c>
      <c r="CE80" s="99">
        <f t="shared" si="5"/>
        <v>6.2176165803108803E-4</v>
      </c>
      <c r="CF80" s="100">
        <f t="shared" si="3"/>
        <v>0.31</v>
      </c>
    </row>
    <row r="81" spans="1:84" x14ac:dyDescent="0.25">
      <c r="A81" s="128">
        <v>80</v>
      </c>
      <c r="B81" s="129"/>
      <c r="C81" s="130" t="s">
        <v>292</v>
      </c>
      <c r="D81" s="131">
        <v>2640</v>
      </c>
      <c r="E81" s="132">
        <v>3860</v>
      </c>
      <c r="F81" s="186">
        <f t="shared" si="4"/>
        <v>10190400</v>
      </c>
      <c r="G81" s="132">
        <v>200</v>
      </c>
      <c r="H81" s="132">
        <v>3088</v>
      </c>
      <c r="I81" s="134">
        <v>0.68</v>
      </c>
      <c r="J81" s="135">
        <v>13.8</v>
      </c>
      <c r="K81" s="136">
        <v>12.6</v>
      </c>
      <c r="L81" s="137">
        <v>22</v>
      </c>
      <c r="M81" s="166">
        <v>0.34</v>
      </c>
      <c r="N81" s="186">
        <v>5.2</v>
      </c>
      <c r="O81" s="139" t="s">
        <v>201</v>
      </c>
      <c r="P81" s="140" t="s">
        <v>211</v>
      </c>
      <c r="Q81" s="141">
        <v>3.6999999999999999E-4</v>
      </c>
      <c r="R81" s="142">
        <v>4.6699999999999997E-3</v>
      </c>
      <c r="S81" s="142">
        <v>5.9100000000000003E-3</v>
      </c>
      <c r="T81" s="187">
        <v>414</v>
      </c>
      <c r="U81" s="143">
        <v>1220</v>
      </c>
      <c r="V81" s="141">
        <v>1.17E-3</v>
      </c>
      <c r="W81" s="187">
        <v>321</v>
      </c>
      <c r="X81" s="143">
        <v>1220</v>
      </c>
      <c r="Y81" s="144">
        <v>0</v>
      </c>
      <c r="Z81" s="137">
        <v>0.5</v>
      </c>
      <c r="AA81" s="135">
        <v>8.9</v>
      </c>
      <c r="AB81" s="133">
        <v>29</v>
      </c>
      <c r="AC81" s="136">
        <v>3.3</v>
      </c>
      <c r="AD81" s="112" t="s">
        <v>224</v>
      </c>
      <c r="AE81" s="177">
        <v>0.3</v>
      </c>
      <c r="AF81" s="147">
        <v>0.31</v>
      </c>
      <c r="AG81" s="145">
        <v>0.15</v>
      </c>
      <c r="AH81" s="145">
        <v>0</v>
      </c>
      <c r="AI81" s="146">
        <v>0.46</v>
      </c>
      <c r="AJ81" s="147">
        <v>0.21</v>
      </c>
      <c r="AK81" s="145">
        <v>0.47</v>
      </c>
      <c r="AL81" s="145">
        <v>0</v>
      </c>
      <c r="AM81" s="146">
        <v>0.68</v>
      </c>
      <c r="AN81" s="147">
        <v>0.16</v>
      </c>
      <c r="AO81" s="145">
        <v>0.24</v>
      </c>
      <c r="AP81" s="145">
        <v>0</v>
      </c>
      <c r="AQ81" s="146">
        <v>0.4</v>
      </c>
      <c r="AR81" s="147">
        <v>0.48</v>
      </c>
      <c r="AS81" s="145">
        <v>0.18</v>
      </c>
      <c r="AT81" s="145">
        <v>0</v>
      </c>
      <c r="AU81" s="146">
        <v>0.36</v>
      </c>
      <c r="AV81" s="147">
        <v>0.2</v>
      </c>
      <c r="AW81" s="145">
        <v>0.37</v>
      </c>
      <c r="AX81" s="145">
        <v>0</v>
      </c>
      <c r="AY81" s="146">
        <v>0.57999999999999996</v>
      </c>
      <c r="AZ81" s="147">
        <v>0.12</v>
      </c>
      <c r="BA81" s="145">
        <v>1.18</v>
      </c>
      <c r="BB81" s="145">
        <v>0</v>
      </c>
      <c r="BC81" s="146">
        <v>1.31</v>
      </c>
      <c r="BD81" s="148">
        <v>0.35</v>
      </c>
      <c r="BE81" s="147">
        <v>0.5</v>
      </c>
      <c r="BF81" s="145">
        <v>0</v>
      </c>
      <c r="BG81" s="145">
        <v>0</v>
      </c>
      <c r="BH81" s="146">
        <v>0.5</v>
      </c>
      <c r="BI81" s="147">
        <v>0.17</v>
      </c>
      <c r="BJ81" s="145">
        <v>0.22</v>
      </c>
      <c r="BK81" s="145">
        <v>0</v>
      </c>
      <c r="BL81" s="146">
        <v>0.39</v>
      </c>
      <c r="BM81" s="147">
        <v>0.65</v>
      </c>
      <c r="BN81" s="145">
        <v>0.44</v>
      </c>
      <c r="BO81" s="145">
        <v>0.75</v>
      </c>
      <c r="BP81" s="145">
        <v>0.82</v>
      </c>
      <c r="BQ81" s="145">
        <v>0.52</v>
      </c>
      <c r="BR81" s="145">
        <v>0.23</v>
      </c>
      <c r="BS81" s="145">
        <v>0.86</v>
      </c>
      <c r="BT81" s="145">
        <v>0.6</v>
      </c>
      <c r="BU81" s="146">
        <v>0.76</v>
      </c>
      <c r="BV81" s="74">
        <v>10190400</v>
      </c>
      <c r="BW81" s="132">
        <v>200</v>
      </c>
      <c r="BX81" s="132">
        <v>3088</v>
      </c>
      <c r="BY81" s="137">
        <v>22</v>
      </c>
      <c r="BZ81" s="186">
        <v>5.2</v>
      </c>
      <c r="CA81" s="142">
        <v>5.9100000000000003E-3</v>
      </c>
      <c r="CB81" s="187">
        <v>414</v>
      </c>
      <c r="CC81" s="141">
        <v>1.17E-3</v>
      </c>
      <c r="CD81" s="187">
        <v>321</v>
      </c>
      <c r="CE81" s="179">
        <f t="shared" si="5"/>
        <v>7.7720207253886007E-4</v>
      </c>
      <c r="CF81" s="180">
        <f t="shared" si="3"/>
        <v>0.3</v>
      </c>
    </row>
    <row r="82" spans="1:84" ht="14.25" hidden="1" customHeight="1" x14ac:dyDescent="0.25">
      <c r="A82" s="78">
        <v>81</v>
      </c>
      <c r="B82" s="79" t="s">
        <v>293</v>
      </c>
      <c r="C82" s="80" t="s">
        <v>294</v>
      </c>
      <c r="D82" s="81">
        <v>800</v>
      </c>
      <c r="E82" s="82">
        <v>1206</v>
      </c>
      <c r="F82" s="83">
        <f t="shared" si="4"/>
        <v>964800</v>
      </c>
      <c r="G82" s="82">
        <v>93</v>
      </c>
      <c r="H82" s="83">
        <v>964.8</v>
      </c>
      <c r="I82" s="84">
        <v>0.66</v>
      </c>
      <c r="J82" s="85">
        <v>12.1</v>
      </c>
      <c r="K82" s="86">
        <v>3.8</v>
      </c>
      <c r="L82" s="87">
        <v>3.8</v>
      </c>
      <c r="M82" s="88">
        <v>0.19</v>
      </c>
      <c r="N82" s="83">
        <v>6</v>
      </c>
      <c r="O82" s="89" t="s">
        <v>210</v>
      </c>
      <c r="P82" s="90" t="s">
        <v>211</v>
      </c>
      <c r="Q82" s="91">
        <v>3.3E-4</v>
      </c>
      <c r="R82" s="92">
        <v>6.4999999999999997E-4</v>
      </c>
      <c r="S82" s="92">
        <v>9.7999999999999997E-4</v>
      </c>
      <c r="T82" s="82">
        <v>580</v>
      </c>
      <c r="U82" s="93">
        <v>603</v>
      </c>
      <c r="V82" s="91">
        <v>9.3999999999999997E-4</v>
      </c>
      <c r="W82" s="82">
        <v>580</v>
      </c>
      <c r="X82" s="90" t="s">
        <v>295</v>
      </c>
      <c r="Y82" s="153">
        <v>1.3</v>
      </c>
      <c r="Z82" s="87">
        <v>0.5</v>
      </c>
      <c r="AA82" s="85">
        <v>0.8</v>
      </c>
      <c r="AB82" s="83">
        <v>4.7</v>
      </c>
      <c r="AC82" s="86">
        <v>6</v>
      </c>
      <c r="AD82" s="95">
        <v>0.37</v>
      </c>
      <c r="AE82" s="96">
        <v>0.47</v>
      </c>
      <c r="AF82" s="97">
        <v>0.66</v>
      </c>
      <c r="AG82" s="95">
        <v>0.22</v>
      </c>
      <c r="AH82" s="95">
        <v>0.33</v>
      </c>
      <c r="AI82" s="96">
        <v>1.1299999999999999</v>
      </c>
      <c r="AJ82" s="97">
        <v>0.08</v>
      </c>
      <c r="AK82" s="95">
        <v>0.49</v>
      </c>
      <c r="AL82" s="95">
        <v>0</v>
      </c>
      <c r="AM82" s="96">
        <v>0.57999999999999996</v>
      </c>
      <c r="AN82" s="97">
        <v>0</v>
      </c>
      <c r="AO82" s="95">
        <v>0.35</v>
      </c>
      <c r="AP82" s="95">
        <v>1.2</v>
      </c>
      <c r="AQ82" s="96">
        <v>1.1000000000000001</v>
      </c>
      <c r="AR82" s="97">
        <v>0.52</v>
      </c>
      <c r="AS82" s="95">
        <v>0.26</v>
      </c>
      <c r="AT82" s="95">
        <v>0.33</v>
      </c>
      <c r="AU82" s="96">
        <v>0.78</v>
      </c>
      <c r="AV82" s="97">
        <v>0.43</v>
      </c>
      <c r="AW82" s="95">
        <v>0.55000000000000004</v>
      </c>
      <c r="AX82" s="95">
        <v>0</v>
      </c>
      <c r="AY82" s="96">
        <v>0.98</v>
      </c>
      <c r="AZ82" s="97">
        <v>0.12</v>
      </c>
      <c r="BA82" s="95">
        <v>0.8</v>
      </c>
      <c r="BB82" s="95">
        <v>0.09</v>
      </c>
      <c r="BC82" s="96">
        <v>1.01</v>
      </c>
      <c r="BD82" s="98">
        <v>0.37</v>
      </c>
      <c r="BE82" s="97">
        <v>0.28999999999999998</v>
      </c>
      <c r="BF82" s="95">
        <v>0</v>
      </c>
      <c r="BG82" s="95">
        <v>0.3</v>
      </c>
      <c r="BH82" s="96">
        <v>0.59</v>
      </c>
      <c r="BI82" s="97">
        <v>0.1</v>
      </c>
      <c r="BJ82" s="95">
        <v>0.33</v>
      </c>
      <c r="BK82" s="95">
        <v>0.39</v>
      </c>
      <c r="BL82" s="96">
        <v>0.81</v>
      </c>
      <c r="BM82" s="97">
        <v>0.42</v>
      </c>
      <c r="BN82" s="95">
        <v>0.82</v>
      </c>
      <c r="BO82" s="95">
        <v>0.43</v>
      </c>
      <c r="BP82" s="95">
        <v>0.6</v>
      </c>
      <c r="BQ82" s="95">
        <v>0.48</v>
      </c>
      <c r="BR82" s="95">
        <v>0.46</v>
      </c>
      <c r="BS82" s="95">
        <v>1.26</v>
      </c>
      <c r="BT82" s="95">
        <v>0.8</v>
      </c>
      <c r="BU82" s="96">
        <v>0.57999999999999996</v>
      </c>
      <c r="BV82" s="74">
        <v>964800</v>
      </c>
      <c r="BW82" s="82">
        <v>93</v>
      </c>
      <c r="BX82" s="83">
        <v>964.8</v>
      </c>
      <c r="BY82" s="87">
        <v>3.8</v>
      </c>
      <c r="BZ82" s="83">
        <v>6</v>
      </c>
      <c r="CA82" s="92">
        <v>9.7999999999999997E-4</v>
      </c>
      <c r="CB82" s="82">
        <v>580</v>
      </c>
      <c r="CC82" s="91">
        <v>9.3999999999999997E-4</v>
      </c>
      <c r="CD82" s="82">
        <v>580</v>
      </c>
      <c r="CE82" s="99">
        <f t="shared" si="5"/>
        <v>7.1327948073253806E-3</v>
      </c>
      <c r="CF82" s="100">
        <f t="shared" si="3"/>
        <v>0.47</v>
      </c>
    </row>
    <row r="83" spans="1:84" hidden="1" x14ac:dyDescent="0.25">
      <c r="A83" s="101">
        <v>82</v>
      </c>
      <c r="B83" s="102"/>
      <c r="C83" s="103" t="s">
        <v>296</v>
      </c>
      <c r="D83" s="104">
        <v>800</v>
      </c>
      <c r="E83" s="105">
        <v>1208</v>
      </c>
      <c r="F83" s="106">
        <f t="shared" si="4"/>
        <v>966400</v>
      </c>
      <c r="G83" s="105">
        <v>93</v>
      </c>
      <c r="H83" s="106">
        <v>966.4</v>
      </c>
      <c r="I83" s="107">
        <v>0.66</v>
      </c>
      <c r="J83" s="108">
        <v>12.1</v>
      </c>
      <c r="K83" s="109">
        <v>7.1</v>
      </c>
      <c r="L83" s="110">
        <v>7.1</v>
      </c>
      <c r="M83" s="111">
        <v>0.19</v>
      </c>
      <c r="N83" s="106">
        <v>6</v>
      </c>
      <c r="O83" s="112" t="s">
        <v>210</v>
      </c>
      <c r="P83" s="113" t="s">
        <v>211</v>
      </c>
      <c r="Q83" s="114">
        <v>3.3E-4</v>
      </c>
      <c r="R83" s="115">
        <v>6.4999999999999997E-4</v>
      </c>
      <c r="S83" s="115">
        <v>9.7999999999999997E-4</v>
      </c>
      <c r="T83" s="105">
        <v>580</v>
      </c>
      <c r="U83" s="116">
        <v>604</v>
      </c>
      <c r="V83" s="114">
        <v>9.3999999999999997E-4</v>
      </c>
      <c r="W83" s="105">
        <v>580</v>
      </c>
      <c r="X83" s="113" t="s">
        <v>295</v>
      </c>
      <c r="Y83" s="160">
        <v>1.3</v>
      </c>
      <c r="Z83" s="110">
        <v>0.5</v>
      </c>
      <c r="AA83" s="108">
        <v>0.7</v>
      </c>
      <c r="AB83" s="106">
        <v>4.8</v>
      </c>
      <c r="AC83" s="109">
        <v>6.9</v>
      </c>
      <c r="AD83" s="118">
        <v>0.33</v>
      </c>
      <c r="AE83" s="119">
        <v>0.56999999999999995</v>
      </c>
      <c r="AF83" s="120">
        <v>0.66</v>
      </c>
      <c r="AG83" s="118">
        <v>0.22</v>
      </c>
      <c r="AH83" s="118">
        <v>0.33</v>
      </c>
      <c r="AI83" s="119">
        <v>1.1299999999999999</v>
      </c>
      <c r="AJ83" s="120">
        <v>0.13</v>
      </c>
      <c r="AK83" s="118">
        <v>0.49</v>
      </c>
      <c r="AL83" s="118">
        <v>0</v>
      </c>
      <c r="AM83" s="119">
        <v>0.62</v>
      </c>
      <c r="AN83" s="120">
        <v>0</v>
      </c>
      <c r="AO83" s="118">
        <v>0.35</v>
      </c>
      <c r="AP83" s="118">
        <v>1.21</v>
      </c>
      <c r="AQ83" s="119">
        <v>1.1000000000000001</v>
      </c>
      <c r="AR83" s="120">
        <v>0.52</v>
      </c>
      <c r="AS83" s="118">
        <v>0.26</v>
      </c>
      <c r="AT83" s="118">
        <v>0.33</v>
      </c>
      <c r="AU83" s="119">
        <v>0.78</v>
      </c>
      <c r="AV83" s="120">
        <v>0.43</v>
      </c>
      <c r="AW83" s="118">
        <v>0.55000000000000004</v>
      </c>
      <c r="AX83" s="118">
        <v>0</v>
      </c>
      <c r="AY83" s="119">
        <v>0.98</v>
      </c>
      <c r="AZ83" s="120">
        <v>0.12</v>
      </c>
      <c r="BA83" s="118">
        <v>0.8</v>
      </c>
      <c r="BB83" s="118">
        <v>0.09</v>
      </c>
      <c r="BC83" s="119">
        <v>1.01</v>
      </c>
      <c r="BD83" s="121">
        <v>0.37</v>
      </c>
      <c r="BE83" s="120">
        <v>0.28999999999999998</v>
      </c>
      <c r="BF83" s="118">
        <v>0</v>
      </c>
      <c r="BG83" s="118">
        <v>0.3</v>
      </c>
      <c r="BH83" s="119">
        <v>0.59</v>
      </c>
      <c r="BI83" s="120">
        <v>0.1</v>
      </c>
      <c r="BJ83" s="118">
        <v>0.33</v>
      </c>
      <c r="BK83" s="118">
        <v>0.39</v>
      </c>
      <c r="BL83" s="119">
        <v>0.81</v>
      </c>
      <c r="BM83" s="120">
        <v>0.5</v>
      </c>
      <c r="BN83" s="118">
        <v>0.91</v>
      </c>
      <c r="BO83" s="118">
        <v>0.52</v>
      </c>
      <c r="BP83" s="118">
        <v>0.73</v>
      </c>
      <c r="BQ83" s="118">
        <v>0.57999999999999996</v>
      </c>
      <c r="BR83" s="118">
        <v>0.56000000000000005</v>
      </c>
      <c r="BS83" s="118">
        <v>1.51</v>
      </c>
      <c r="BT83" s="118">
        <v>0.97</v>
      </c>
      <c r="BU83" s="119">
        <v>0.7</v>
      </c>
      <c r="BV83" s="74">
        <v>966400</v>
      </c>
      <c r="BW83" s="105">
        <v>93</v>
      </c>
      <c r="BX83" s="106">
        <v>966.4</v>
      </c>
      <c r="BY83" s="110">
        <v>7.1</v>
      </c>
      <c r="BZ83" s="106">
        <v>6</v>
      </c>
      <c r="CA83" s="115">
        <v>9.7999999999999997E-4</v>
      </c>
      <c r="CB83" s="105">
        <v>580</v>
      </c>
      <c r="CC83" s="114">
        <v>9.3999999999999997E-4</v>
      </c>
      <c r="CD83" s="105">
        <v>580</v>
      </c>
      <c r="CE83" s="99">
        <f t="shared" si="5"/>
        <v>8.6341949725842054E-3</v>
      </c>
      <c r="CF83" s="100">
        <f t="shared" si="3"/>
        <v>0.56999999999999995</v>
      </c>
    </row>
    <row r="84" spans="1:84" hidden="1" x14ac:dyDescent="0.25">
      <c r="A84" s="122">
        <v>83</v>
      </c>
      <c r="B84" s="102"/>
      <c r="C84" s="103" t="s">
        <v>297</v>
      </c>
      <c r="D84" s="127">
        <v>800</v>
      </c>
      <c r="E84" s="124">
        <v>1206</v>
      </c>
      <c r="F84" s="106">
        <f t="shared" si="4"/>
        <v>964800</v>
      </c>
      <c r="G84" s="124">
        <v>93</v>
      </c>
      <c r="H84" s="124">
        <v>964.8</v>
      </c>
      <c r="I84" s="125">
        <v>0.66</v>
      </c>
      <c r="J84" s="127">
        <v>12.1</v>
      </c>
      <c r="K84" s="125">
        <v>8.6</v>
      </c>
      <c r="L84" s="110">
        <v>8.6</v>
      </c>
      <c r="M84" s="111">
        <v>0.19</v>
      </c>
      <c r="N84" s="106">
        <v>6</v>
      </c>
      <c r="O84" s="112" t="s">
        <v>210</v>
      </c>
      <c r="P84" s="113" t="s">
        <v>211</v>
      </c>
      <c r="Q84" s="114">
        <v>3.3E-4</v>
      </c>
      <c r="R84" s="115">
        <v>6.4999999999999997E-4</v>
      </c>
      <c r="S84" s="115">
        <v>9.7999999999999997E-4</v>
      </c>
      <c r="T84" s="105">
        <v>580</v>
      </c>
      <c r="U84" s="116">
        <v>603</v>
      </c>
      <c r="V84" s="114">
        <v>9.3999999999999997E-4</v>
      </c>
      <c r="W84" s="105">
        <v>580</v>
      </c>
      <c r="X84" s="113" t="s">
        <v>295</v>
      </c>
      <c r="Y84" s="160">
        <v>0.56000000000000005</v>
      </c>
      <c r="Z84" s="110">
        <v>0.5</v>
      </c>
      <c r="AA84" s="108">
        <v>1.3</v>
      </c>
      <c r="AB84" s="106">
        <v>4.8</v>
      </c>
      <c r="AC84" s="109">
        <v>3.7</v>
      </c>
      <c r="AD84" s="118">
        <v>0.66</v>
      </c>
      <c r="AE84" s="119">
        <v>0.83</v>
      </c>
      <c r="AF84" s="120">
        <v>0.66</v>
      </c>
      <c r="AG84" s="118">
        <v>0.22</v>
      </c>
      <c r="AH84" s="118">
        <v>0.14000000000000001</v>
      </c>
      <c r="AI84" s="119">
        <v>1.02</v>
      </c>
      <c r="AJ84" s="120">
        <v>0.15</v>
      </c>
      <c r="AK84" s="118">
        <v>0.49</v>
      </c>
      <c r="AL84" s="118">
        <v>0</v>
      </c>
      <c r="AM84" s="119">
        <v>0.64</v>
      </c>
      <c r="AN84" s="120">
        <v>0.06</v>
      </c>
      <c r="AO84" s="118">
        <v>0.35</v>
      </c>
      <c r="AP84" s="118">
        <v>0.55000000000000004</v>
      </c>
      <c r="AQ84" s="119">
        <v>0.97</v>
      </c>
      <c r="AR84" s="120">
        <v>0.52</v>
      </c>
      <c r="AS84" s="118">
        <v>0.26</v>
      </c>
      <c r="AT84" s="118">
        <v>0.14000000000000001</v>
      </c>
      <c r="AU84" s="119">
        <v>0.78</v>
      </c>
      <c r="AV84" s="120">
        <v>0.43</v>
      </c>
      <c r="AW84" s="118">
        <v>0.55000000000000004</v>
      </c>
      <c r="AX84" s="118">
        <v>0</v>
      </c>
      <c r="AY84" s="119">
        <v>0.98</v>
      </c>
      <c r="AZ84" s="120">
        <v>0.12</v>
      </c>
      <c r="BA84" s="118">
        <v>0.8</v>
      </c>
      <c r="BB84" s="118">
        <v>0.04</v>
      </c>
      <c r="BC84" s="119">
        <v>0.96</v>
      </c>
      <c r="BD84" s="121">
        <v>0.37</v>
      </c>
      <c r="BE84" s="120">
        <v>0.28999999999999998</v>
      </c>
      <c r="BF84" s="118">
        <v>0</v>
      </c>
      <c r="BG84" s="118">
        <v>0.13</v>
      </c>
      <c r="BH84" s="119">
        <v>0.42</v>
      </c>
      <c r="BI84" s="120">
        <v>0.1</v>
      </c>
      <c r="BJ84" s="118">
        <v>0.33</v>
      </c>
      <c r="BK84" s="118">
        <v>0.17</v>
      </c>
      <c r="BL84" s="119">
        <v>0.59</v>
      </c>
      <c r="BM84" s="120">
        <v>0.81</v>
      </c>
      <c r="BN84" s="118">
        <v>1.3</v>
      </c>
      <c r="BO84" s="118">
        <v>0.86</v>
      </c>
      <c r="BP84" s="118">
        <v>1.06</v>
      </c>
      <c r="BQ84" s="118">
        <v>0.85</v>
      </c>
      <c r="BR84" s="118">
        <v>0.86</v>
      </c>
      <c r="BS84" s="118">
        <v>2.2200000000000002</v>
      </c>
      <c r="BT84" s="118">
        <v>2</v>
      </c>
      <c r="BU84" s="119">
        <v>1.41</v>
      </c>
      <c r="BV84" s="74">
        <v>964800</v>
      </c>
      <c r="BW84" s="124">
        <v>93</v>
      </c>
      <c r="BX84" s="124">
        <v>964.8</v>
      </c>
      <c r="BY84" s="110">
        <v>8.6</v>
      </c>
      <c r="BZ84" s="106">
        <v>6</v>
      </c>
      <c r="CA84" s="115">
        <v>9.7999999999999997E-4</v>
      </c>
      <c r="CB84" s="105">
        <v>580</v>
      </c>
      <c r="CC84" s="114">
        <v>9.3999999999999997E-4</v>
      </c>
      <c r="CD84" s="105">
        <v>580</v>
      </c>
      <c r="CE84" s="99">
        <f t="shared" si="5"/>
        <v>1.7831987018313452E-2</v>
      </c>
      <c r="CF84" s="100">
        <f t="shared" si="3"/>
        <v>0.83</v>
      </c>
    </row>
    <row r="85" spans="1:84" hidden="1" x14ac:dyDescent="0.25">
      <c r="A85" s="122">
        <v>84</v>
      </c>
      <c r="B85" s="102"/>
      <c r="C85" s="103" t="s">
        <v>298</v>
      </c>
      <c r="D85" s="127">
        <v>800</v>
      </c>
      <c r="E85" s="124">
        <v>1208</v>
      </c>
      <c r="F85" s="106">
        <f t="shared" si="4"/>
        <v>966400</v>
      </c>
      <c r="G85" s="124">
        <v>93</v>
      </c>
      <c r="H85" s="124">
        <v>966.4</v>
      </c>
      <c r="I85" s="125">
        <v>0.66</v>
      </c>
      <c r="J85" s="127">
        <v>12.1</v>
      </c>
      <c r="K85" s="125">
        <v>7.7</v>
      </c>
      <c r="L85" s="110">
        <v>7.7</v>
      </c>
      <c r="M85" s="111">
        <v>0.19</v>
      </c>
      <c r="N85" s="106">
        <v>6</v>
      </c>
      <c r="O85" s="112" t="s">
        <v>210</v>
      </c>
      <c r="P85" s="113" t="s">
        <v>211</v>
      </c>
      <c r="Q85" s="114">
        <v>3.3E-4</v>
      </c>
      <c r="R85" s="115">
        <v>6.4999999999999997E-4</v>
      </c>
      <c r="S85" s="115">
        <v>9.7999999999999997E-4</v>
      </c>
      <c r="T85" s="105">
        <v>580</v>
      </c>
      <c r="U85" s="116">
        <v>604</v>
      </c>
      <c r="V85" s="114">
        <v>9.3999999999999997E-4</v>
      </c>
      <c r="W85" s="105">
        <v>580</v>
      </c>
      <c r="X85" s="113" t="s">
        <v>295</v>
      </c>
      <c r="Y85" s="160">
        <v>0.56000000000000005</v>
      </c>
      <c r="Z85" s="110">
        <v>0.5</v>
      </c>
      <c r="AA85" s="108">
        <v>0.9</v>
      </c>
      <c r="AB85" s="106">
        <v>4.7</v>
      </c>
      <c r="AC85" s="109">
        <v>5.0999999999999996</v>
      </c>
      <c r="AD85" s="118">
        <v>0.78</v>
      </c>
      <c r="AE85" s="119">
        <v>0.83</v>
      </c>
      <c r="AF85" s="120">
        <v>0.66</v>
      </c>
      <c r="AG85" s="118">
        <v>0.22</v>
      </c>
      <c r="AH85" s="118">
        <v>0.14000000000000001</v>
      </c>
      <c r="AI85" s="119">
        <v>1.02</v>
      </c>
      <c r="AJ85" s="120">
        <v>0.14000000000000001</v>
      </c>
      <c r="AK85" s="118">
        <v>0.49</v>
      </c>
      <c r="AL85" s="118">
        <v>0</v>
      </c>
      <c r="AM85" s="119">
        <v>0.63</v>
      </c>
      <c r="AN85" s="120">
        <v>0</v>
      </c>
      <c r="AO85" s="118">
        <v>0.35</v>
      </c>
      <c r="AP85" s="118">
        <v>0.56000000000000005</v>
      </c>
      <c r="AQ85" s="119">
        <v>0.9</v>
      </c>
      <c r="AR85" s="120">
        <v>0.52</v>
      </c>
      <c r="AS85" s="118">
        <v>0.26</v>
      </c>
      <c r="AT85" s="118">
        <v>0.14000000000000001</v>
      </c>
      <c r="AU85" s="119">
        <v>0.78</v>
      </c>
      <c r="AV85" s="120">
        <v>0.43</v>
      </c>
      <c r="AW85" s="118">
        <v>0.55000000000000004</v>
      </c>
      <c r="AX85" s="118">
        <v>0</v>
      </c>
      <c r="AY85" s="119">
        <v>0.98</v>
      </c>
      <c r="AZ85" s="120">
        <v>0.12</v>
      </c>
      <c r="BA85" s="118">
        <v>0.8</v>
      </c>
      <c r="BB85" s="118">
        <v>0.04</v>
      </c>
      <c r="BC85" s="119">
        <v>0.96</v>
      </c>
      <c r="BD85" s="121">
        <v>0.37</v>
      </c>
      <c r="BE85" s="120">
        <v>0.28999999999999998</v>
      </c>
      <c r="BF85" s="118">
        <v>0</v>
      </c>
      <c r="BG85" s="118">
        <v>0.13</v>
      </c>
      <c r="BH85" s="119">
        <v>0.42</v>
      </c>
      <c r="BI85" s="120">
        <v>0.1</v>
      </c>
      <c r="BJ85" s="118">
        <v>0.33</v>
      </c>
      <c r="BK85" s="118">
        <v>0.17</v>
      </c>
      <c r="BL85" s="119">
        <v>0.59</v>
      </c>
      <c r="BM85" s="120">
        <v>0.82</v>
      </c>
      <c r="BN85" s="118">
        <v>1.32</v>
      </c>
      <c r="BO85" s="118">
        <v>0.92</v>
      </c>
      <c r="BP85" s="118">
        <v>1.07</v>
      </c>
      <c r="BQ85" s="118">
        <v>0.85</v>
      </c>
      <c r="BR85" s="118">
        <v>0.87</v>
      </c>
      <c r="BS85" s="118">
        <v>2.2200000000000002</v>
      </c>
      <c r="BT85" s="118">
        <v>2</v>
      </c>
      <c r="BU85" s="119">
        <v>1.41</v>
      </c>
      <c r="BV85" s="74">
        <v>966400</v>
      </c>
      <c r="BW85" s="124">
        <v>93</v>
      </c>
      <c r="BX85" s="124">
        <v>966.4</v>
      </c>
      <c r="BY85" s="110">
        <v>7.7</v>
      </c>
      <c r="BZ85" s="106">
        <v>6</v>
      </c>
      <c r="CA85" s="115">
        <v>9.7999999999999997E-4</v>
      </c>
      <c r="CB85" s="105">
        <v>580</v>
      </c>
      <c r="CC85" s="114">
        <v>9.3999999999999997E-4</v>
      </c>
      <c r="CD85" s="105">
        <v>580</v>
      </c>
      <c r="CE85" s="99">
        <f t="shared" si="5"/>
        <v>1.780246386099836E-2</v>
      </c>
      <c r="CF85" s="100">
        <f t="shared" si="3"/>
        <v>0.83</v>
      </c>
    </row>
    <row r="86" spans="1:84" ht="24" hidden="1" x14ac:dyDescent="0.25">
      <c r="A86" s="101">
        <v>85</v>
      </c>
      <c r="B86" s="102"/>
      <c r="C86" s="103" t="s">
        <v>299</v>
      </c>
      <c r="D86" s="104">
        <v>800</v>
      </c>
      <c r="E86" s="105">
        <v>1206</v>
      </c>
      <c r="F86" s="106">
        <f t="shared" si="4"/>
        <v>964800</v>
      </c>
      <c r="G86" s="105">
        <v>93</v>
      </c>
      <c r="H86" s="106">
        <v>964.8</v>
      </c>
      <c r="I86" s="107">
        <v>0.66</v>
      </c>
      <c r="J86" s="108">
        <v>12.1</v>
      </c>
      <c r="K86" s="109">
        <v>4.8</v>
      </c>
      <c r="L86" s="110">
        <v>4.8</v>
      </c>
      <c r="M86" s="111">
        <v>0.19</v>
      </c>
      <c r="N86" s="106">
        <v>6</v>
      </c>
      <c r="O86" s="112" t="s">
        <v>210</v>
      </c>
      <c r="P86" s="113" t="s">
        <v>211</v>
      </c>
      <c r="Q86" s="114">
        <v>3.3E-4</v>
      </c>
      <c r="R86" s="115">
        <v>6.4999999999999997E-4</v>
      </c>
      <c r="S86" s="115">
        <v>9.7999999999999997E-4</v>
      </c>
      <c r="T86" s="105">
        <v>580</v>
      </c>
      <c r="U86" s="116">
        <v>603</v>
      </c>
      <c r="V86" s="114">
        <v>5.2999999999999998E-4</v>
      </c>
      <c r="W86" s="105">
        <v>580</v>
      </c>
      <c r="X86" s="113" t="s">
        <v>295</v>
      </c>
      <c r="Y86" s="160">
        <v>0.56000000000000005</v>
      </c>
      <c r="Z86" s="110">
        <v>0.5</v>
      </c>
      <c r="AA86" s="108">
        <v>0.7</v>
      </c>
      <c r="AB86" s="106">
        <v>7.7</v>
      </c>
      <c r="AC86" s="109">
        <v>10.7</v>
      </c>
      <c r="AD86" s="118">
        <v>0.44</v>
      </c>
      <c r="AE86" s="119">
        <v>0.61</v>
      </c>
      <c r="AF86" s="120">
        <v>0.66</v>
      </c>
      <c r="AG86" s="118">
        <v>0.12</v>
      </c>
      <c r="AH86" s="118">
        <v>0.14000000000000001</v>
      </c>
      <c r="AI86" s="119">
        <v>0.93</v>
      </c>
      <c r="AJ86" s="120">
        <v>0.1</v>
      </c>
      <c r="AK86" s="118">
        <v>0.28000000000000003</v>
      </c>
      <c r="AL86" s="118">
        <v>0</v>
      </c>
      <c r="AM86" s="119">
        <v>0.38</v>
      </c>
      <c r="AN86" s="120">
        <v>0</v>
      </c>
      <c r="AO86" s="118">
        <v>0.2</v>
      </c>
      <c r="AP86" s="118">
        <v>0.55000000000000004</v>
      </c>
      <c r="AQ86" s="119">
        <v>0.75</v>
      </c>
      <c r="AR86" s="120">
        <v>0.52</v>
      </c>
      <c r="AS86" s="118">
        <v>0.15</v>
      </c>
      <c r="AT86" s="118">
        <v>0.14000000000000001</v>
      </c>
      <c r="AU86" s="119">
        <v>0.78</v>
      </c>
      <c r="AV86" s="120">
        <v>0.43</v>
      </c>
      <c r="AW86" s="118">
        <v>0.31</v>
      </c>
      <c r="AX86" s="118">
        <v>0</v>
      </c>
      <c r="AY86" s="119">
        <v>0.74</v>
      </c>
      <c r="AZ86" s="120">
        <v>0.12</v>
      </c>
      <c r="BA86" s="118">
        <v>0.69</v>
      </c>
      <c r="BB86" s="118">
        <v>0.04</v>
      </c>
      <c r="BC86" s="119">
        <v>0.85</v>
      </c>
      <c r="BD86" s="121">
        <v>0.37</v>
      </c>
      <c r="BE86" s="120">
        <v>0.28999999999999998</v>
      </c>
      <c r="BF86" s="118">
        <v>0</v>
      </c>
      <c r="BG86" s="118">
        <v>0.13</v>
      </c>
      <c r="BH86" s="119">
        <v>0.42</v>
      </c>
      <c r="BI86" s="120">
        <v>0.1</v>
      </c>
      <c r="BJ86" s="118">
        <v>0.18</v>
      </c>
      <c r="BK86" s="118">
        <v>0.17</v>
      </c>
      <c r="BL86" s="119">
        <v>0.45</v>
      </c>
      <c r="BM86" s="120">
        <v>0.66</v>
      </c>
      <c r="BN86" s="118">
        <v>1.62</v>
      </c>
      <c r="BO86" s="118">
        <v>0.81</v>
      </c>
      <c r="BP86" s="118">
        <v>0.78</v>
      </c>
      <c r="BQ86" s="118">
        <v>0.83</v>
      </c>
      <c r="BR86" s="118">
        <v>0.72</v>
      </c>
      <c r="BS86" s="118">
        <v>1.63</v>
      </c>
      <c r="BT86" s="118">
        <v>1.47</v>
      </c>
      <c r="BU86" s="119">
        <v>1.37</v>
      </c>
      <c r="BV86" s="74">
        <v>964800</v>
      </c>
      <c r="BW86" s="105">
        <v>93</v>
      </c>
      <c r="BX86" s="106">
        <v>964.8</v>
      </c>
      <c r="BY86" s="110">
        <v>4.8</v>
      </c>
      <c r="BZ86" s="106">
        <v>6</v>
      </c>
      <c r="CA86" s="115">
        <v>9.7999999999999997E-4</v>
      </c>
      <c r="CB86" s="105">
        <v>580</v>
      </c>
      <c r="CC86" s="114">
        <v>5.2999999999999998E-4</v>
      </c>
      <c r="CD86" s="105">
        <v>580</v>
      </c>
      <c r="CE86" s="99">
        <f t="shared" si="5"/>
        <v>1.3106510458460386E-2</v>
      </c>
      <c r="CF86" s="100">
        <f t="shared" si="3"/>
        <v>0.61</v>
      </c>
    </row>
    <row r="87" spans="1:84" ht="24" hidden="1" x14ac:dyDescent="0.25">
      <c r="A87" s="128">
        <v>86</v>
      </c>
      <c r="B87" s="129"/>
      <c r="C87" s="130" t="s">
        <v>300</v>
      </c>
      <c r="D87" s="131">
        <v>800</v>
      </c>
      <c r="E87" s="132">
        <v>1206</v>
      </c>
      <c r="F87" s="133">
        <f t="shared" si="4"/>
        <v>964800</v>
      </c>
      <c r="G87" s="132">
        <v>93</v>
      </c>
      <c r="H87" s="133">
        <v>964.8</v>
      </c>
      <c r="I87" s="134">
        <v>0.66</v>
      </c>
      <c r="J87" s="135">
        <v>12.1</v>
      </c>
      <c r="K87" s="136">
        <v>5.2</v>
      </c>
      <c r="L87" s="137">
        <v>5.2</v>
      </c>
      <c r="M87" s="138">
        <v>0.19</v>
      </c>
      <c r="N87" s="133">
        <v>6</v>
      </c>
      <c r="O87" s="139" t="s">
        <v>210</v>
      </c>
      <c r="P87" s="140" t="s">
        <v>211</v>
      </c>
      <c r="Q87" s="141">
        <v>3.3E-4</v>
      </c>
      <c r="R87" s="142">
        <v>6.4999999999999997E-4</v>
      </c>
      <c r="S87" s="142">
        <v>9.7999999999999997E-4</v>
      </c>
      <c r="T87" s="132">
        <v>580</v>
      </c>
      <c r="U87" s="143">
        <v>603</v>
      </c>
      <c r="V87" s="141">
        <v>1.2600000000000001E-3</v>
      </c>
      <c r="W87" s="132">
        <v>580</v>
      </c>
      <c r="X87" s="140" t="s">
        <v>295</v>
      </c>
      <c r="Y87" s="167">
        <v>0.56000000000000005</v>
      </c>
      <c r="Z87" s="137">
        <v>0.5</v>
      </c>
      <c r="AA87" s="135">
        <v>1</v>
      </c>
      <c r="AB87" s="133">
        <v>7.2</v>
      </c>
      <c r="AC87" s="136">
        <v>7</v>
      </c>
      <c r="AD87" s="145">
        <v>0.45</v>
      </c>
      <c r="AE87" s="146">
        <v>0.68</v>
      </c>
      <c r="AF87" s="147">
        <v>0.66</v>
      </c>
      <c r="AG87" s="145">
        <v>0.28999999999999998</v>
      </c>
      <c r="AH87" s="145">
        <v>0.14000000000000001</v>
      </c>
      <c r="AI87" s="146">
        <v>1.1000000000000001</v>
      </c>
      <c r="AJ87" s="147">
        <v>0.1</v>
      </c>
      <c r="AK87" s="145">
        <v>0.66</v>
      </c>
      <c r="AL87" s="145">
        <v>0</v>
      </c>
      <c r="AM87" s="146">
        <v>0.76</v>
      </c>
      <c r="AN87" s="147">
        <v>0</v>
      </c>
      <c r="AO87" s="145">
        <v>0.47</v>
      </c>
      <c r="AP87" s="145">
        <v>0.55000000000000004</v>
      </c>
      <c r="AQ87" s="146">
        <v>1.02</v>
      </c>
      <c r="AR87" s="147">
        <v>0.52</v>
      </c>
      <c r="AS87" s="145">
        <v>0.35</v>
      </c>
      <c r="AT87" s="145">
        <v>0.14000000000000001</v>
      </c>
      <c r="AU87" s="146">
        <v>0.78</v>
      </c>
      <c r="AV87" s="147">
        <v>0.43</v>
      </c>
      <c r="AW87" s="145">
        <v>0.73</v>
      </c>
      <c r="AX87" s="145">
        <v>0</v>
      </c>
      <c r="AY87" s="146">
        <v>1.1599999999999999</v>
      </c>
      <c r="AZ87" s="147">
        <v>0.12</v>
      </c>
      <c r="BA87" s="145">
        <v>0.87</v>
      </c>
      <c r="BB87" s="145">
        <v>0.04</v>
      </c>
      <c r="BC87" s="146">
        <v>1.03</v>
      </c>
      <c r="BD87" s="148">
        <v>0.37</v>
      </c>
      <c r="BE87" s="147">
        <v>0.28999999999999998</v>
      </c>
      <c r="BF87" s="145">
        <v>0</v>
      </c>
      <c r="BG87" s="145">
        <v>0.13</v>
      </c>
      <c r="BH87" s="146">
        <v>0.42</v>
      </c>
      <c r="BI87" s="147">
        <v>0.1</v>
      </c>
      <c r="BJ87" s="145">
        <v>0.31</v>
      </c>
      <c r="BK87" s="145">
        <v>0.17</v>
      </c>
      <c r="BL87" s="146">
        <v>0.56999999999999995</v>
      </c>
      <c r="BM87" s="147">
        <v>0.62</v>
      </c>
      <c r="BN87" s="145">
        <v>0.89</v>
      </c>
      <c r="BO87" s="145">
        <v>0.67</v>
      </c>
      <c r="BP87" s="145">
        <v>0.87</v>
      </c>
      <c r="BQ87" s="145">
        <v>0.59</v>
      </c>
      <c r="BR87" s="145">
        <v>0.66</v>
      </c>
      <c r="BS87" s="145">
        <v>1.82</v>
      </c>
      <c r="BT87" s="145">
        <v>1.64</v>
      </c>
      <c r="BU87" s="146">
        <v>1.19</v>
      </c>
      <c r="BV87" s="74">
        <v>964800</v>
      </c>
      <c r="BW87" s="132">
        <v>93</v>
      </c>
      <c r="BX87" s="133">
        <v>964.8</v>
      </c>
      <c r="BY87" s="137">
        <v>5.2</v>
      </c>
      <c r="BZ87" s="133">
        <v>6</v>
      </c>
      <c r="CA87" s="142">
        <v>9.7999999999999997E-4</v>
      </c>
      <c r="CB87" s="132">
        <v>580</v>
      </c>
      <c r="CC87" s="141">
        <v>1.2600000000000001E-3</v>
      </c>
      <c r="CD87" s="132">
        <v>580</v>
      </c>
      <c r="CE87" s="99">
        <f t="shared" si="5"/>
        <v>1.4622229355017028E-2</v>
      </c>
      <c r="CF87" s="100">
        <f t="shared" si="3"/>
        <v>0.68</v>
      </c>
    </row>
    <row r="88" spans="1:84" ht="14.25" hidden="1" customHeight="1" x14ac:dyDescent="0.25">
      <c r="A88" s="78">
        <v>87</v>
      </c>
      <c r="B88" s="79" t="s">
        <v>301</v>
      </c>
      <c r="C88" s="80" t="s">
        <v>302</v>
      </c>
      <c r="D88" s="85">
        <v>1422.4</v>
      </c>
      <c r="E88" s="83">
        <v>1219.2</v>
      </c>
      <c r="F88" s="83">
        <f t="shared" si="4"/>
        <v>1734190.0800000001</v>
      </c>
      <c r="G88" s="83">
        <v>142.9</v>
      </c>
      <c r="H88" s="95">
        <v>975.36</v>
      </c>
      <c r="I88" s="84">
        <v>1.17</v>
      </c>
      <c r="J88" s="149">
        <v>24</v>
      </c>
      <c r="K88" s="150">
        <v>19.2</v>
      </c>
      <c r="L88" s="151">
        <v>22</v>
      </c>
      <c r="M88" s="152">
        <v>1</v>
      </c>
      <c r="N88" s="83">
        <v>16.5</v>
      </c>
      <c r="O88" s="89" t="s">
        <v>210</v>
      </c>
      <c r="P88" s="90" t="s">
        <v>211</v>
      </c>
      <c r="Q88" s="188" t="s">
        <v>212</v>
      </c>
      <c r="R88" s="92">
        <v>4.4999999999999997E-3</v>
      </c>
      <c r="S88" s="92">
        <v>4.4999999999999997E-3</v>
      </c>
      <c r="T88" s="82">
        <v>391</v>
      </c>
      <c r="U88" s="90" t="s">
        <v>212</v>
      </c>
      <c r="V88" s="91">
        <v>3.8999999999999998E-3</v>
      </c>
      <c r="W88" s="82">
        <v>438</v>
      </c>
      <c r="X88" s="90" t="s">
        <v>212</v>
      </c>
      <c r="Y88" s="153">
        <v>2.76</v>
      </c>
      <c r="Z88" s="87">
        <v>0.5</v>
      </c>
      <c r="AA88" s="85">
        <v>2.1</v>
      </c>
      <c r="AB88" s="83">
        <v>9.5</v>
      </c>
      <c r="AC88" s="86">
        <v>4.5</v>
      </c>
      <c r="AD88" s="95">
        <v>1.66</v>
      </c>
      <c r="AE88" s="96">
        <v>2.46</v>
      </c>
      <c r="AF88" s="97">
        <v>0.92</v>
      </c>
      <c r="AG88" s="95">
        <v>0.68</v>
      </c>
      <c r="AH88" s="95">
        <v>0.69</v>
      </c>
      <c r="AI88" s="96">
        <v>1.59</v>
      </c>
      <c r="AJ88" s="97">
        <v>0.28999999999999998</v>
      </c>
      <c r="AK88" s="95">
        <v>1.54</v>
      </c>
      <c r="AL88" s="95">
        <v>0</v>
      </c>
      <c r="AM88" s="96">
        <v>1.83</v>
      </c>
      <c r="AN88" s="97">
        <v>0</v>
      </c>
      <c r="AO88" s="95">
        <v>1.0900000000000001</v>
      </c>
      <c r="AP88" s="95">
        <v>1.49</v>
      </c>
      <c r="AQ88" s="96">
        <v>1.83</v>
      </c>
      <c r="AR88" s="97">
        <v>0.74</v>
      </c>
      <c r="AS88" s="95">
        <v>0.82</v>
      </c>
      <c r="AT88" s="95">
        <v>0.69</v>
      </c>
      <c r="AU88" s="96">
        <v>1.3</v>
      </c>
      <c r="AV88" s="97">
        <v>0.55000000000000004</v>
      </c>
      <c r="AW88" s="95">
        <v>1.71</v>
      </c>
      <c r="AX88" s="95">
        <v>0</v>
      </c>
      <c r="AY88" s="96">
        <v>2.2599999999999998</v>
      </c>
      <c r="AZ88" s="189"/>
      <c r="BA88" s="190"/>
      <c r="BB88" s="190"/>
      <c r="BC88" s="191"/>
      <c r="BD88" s="98">
        <v>0.56999999999999995</v>
      </c>
      <c r="BE88" s="97">
        <v>0.85</v>
      </c>
      <c r="BF88" s="95">
        <v>0</v>
      </c>
      <c r="BG88" s="95">
        <v>0.63</v>
      </c>
      <c r="BH88" s="96">
        <v>1.49</v>
      </c>
      <c r="BI88" s="97">
        <v>0.5</v>
      </c>
      <c r="BJ88" s="95">
        <v>0.34</v>
      </c>
      <c r="BK88" s="95">
        <v>0.83</v>
      </c>
      <c r="BL88" s="96">
        <v>1.67</v>
      </c>
      <c r="BM88" s="97">
        <v>1.54</v>
      </c>
      <c r="BN88" s="95">
        <v>1.35</v>
      </c>
      <c r="BO88" s="95">
        <v>1.34</v>
      </c>
      <c r="BP88" s="95">
        <v>1.89</v>
      </c>
      <c r="BQ88" s="95">
        <v>1.0900000000000001</v>
      </c>
      <c r="BR88" s="190"/>
      <c r="BS88" s="95">
        <v>4.29</v>
      </c>
      <c r="BT88" s="95">
        <v>1.65</v>
      </c>
      <c r="BU88" s="96">
        <v>1.48</v>
      </c>
      <c r="BV88" s="74">
        <v>1734190.0800000001</v>
      </c>
      <c r="BW88" s="83">
        <v>142.9</v>
      </c>
      <c r="BX88" s="95">
        <v>975.36</v>
      </c>
      <c r="BY88" s="151">
        <v>22</v>
      </c>
      <c r="BZ88" s="83">
        <v>16.5</v>
      </c>
      <c r="CA88" s="92">
        <v>4.4999999999999997E-3</v>
      </c>
      <c r="CB88" s="82">
        <v>391</v>
      </c>
      <c r="CC88" s="91">
        <v>3.8999999999999998E-3</v>
      </c>
      <c r="CD88" s="82">
        <v>438</v>
      </c>
      <c r="CE88" s="99">
        <f t="shared" si="5"/>
        <v>9.4705840216438991E-3</v>
      </c>
      <c r="CF88" s="100">
        <f t="shared" si="3"/>
        <v>2.46</v>
      </c>
    </row>
    <row r="89" spans="1:84" hidden="1" x14ac:dyDescent="0.25">
      <c r="A89" s="101">
        <v>88</v>
      </c>
      <c r="B89" s="102"/>
      <c r="C89" s="103" t="s">
        <v>303</v>
      </c>
      <c r="D89" s="108">
        <v>1422.4</v>
      </c>
      <c r="E89" s="106">
        <v>1219.2</v>
      </c>
      <c r="F89" s="106">
        <f t="shared" si="4"/>
        <v>1734190.0800000001</v>
      </c>
      <c r="G89" s="106">
        <v>142.9</v>
      </c>
      <c r="H89" s="118">
        <v>975.36</v>
      </c>
      <c r="I89" s="107">
        <v>1.17</v>
      </c>
      <c r="J89" s="155">
        <v>24</v>
      </c>
      <c r="K89" s="156">
        <v>19.2</v>
      </c>
      <c r="L89" s="157">
        <v>22</v>
      </c>
      <c r="M89" s="158">
        <v>1</v>
      </c>
      <c r="N89" s="106">
        <v>16.5</v>
      </c>
      <c r="O89" s="112" t="s">
        <v>210</v>
      </c>
      <c r="P89" s="113" t="s">
        <v>211</v>
      </c>
      <c r="Q89" s="123" t="s">
        <v>212</v>
      </c>
      <c r="R89" s="115">
        <v>4.4000000000000003E-3</v>
      </c>
      <c r="S89" s="115">
        <v>4.4000000000000003E-3</v>
      </c>
      <c r="T89" s="105">
        <v>391</v>
      </c>
      <c r="U89" s="113" t="s">
        <v>212</v>
      </c>
      <c r="V89" s="114">
        <v>3.8999999999999998E-3</v>
      </c>
      <c r="W89" s="105">
        <v>438</v>
      </c>
      <c r="X89" s="113" t="s">
        <v>212</v>
      </c>
      <c r="Y89" s="160">
        <v>2.76</v>
      </c>
      <c r="Z89" s="110">
        <v>0.5</v>
      </c>
      <c r="AA89" s="108">
        <v>2.4</v>
      </c>
      <c r="AB89" s="106">
        <v>5.3</v>
      </c>
      <c r="AC89" s="109">
        <v>2.2000000000000002</v>
      </c>
      <c r="AD89" s="118">
        <v>2.06</v>
      </c>
      <c r="AE89" s="119">
        <v>2.46</v>
      </c>
      <c r="AF89" s="120">
        <v>0.92</v>
      </c>
      <c r="AG89" s="118">
        <v>0.68</v>
      </c>
      <c r="AH89" s="118">
        <v>0.69</v>
      </c>
      <c r="AI89" s="119">
        <v>1.59</v>
      </c>
      <c r="AJ89" s="120">
        <v>0.28999999999999998</v>
      </c>
      <c r="AK89" s="118">
        <v>1.54</v>
      </c>
      <c r="AL89" s="118">
        <v>0</v>
      </c>
      <c r="AM89" s="119">
        <v>1.83</v>
      </c>
      <c r="AN89" s="120">
        <v>0.61</v>
      </c>
      <c r="AO89" s="118">
        <v>1.0900000000000001</v>
      </c>
      <c r="AP89" s="118">
        <v>1.49</v>
      </c>
      <c r="AQ89" s="119">
        <v>1.83</v>
      </c>
      <c r="AR89" s="120">
        <v>0.74</v>
      </c>
      <c r="AS89" s="118">
        <v>0.82</v>
      </c>
      <c r="AT89" s="118">
        <v>0.69</v>
      </c>
      <c r="AU89" s="119">
        <v>1.3</v>
      </c>
      <c r="AV89" s="120">
        <v>0.55000000000000004</v>
      </c>
      <c r="AW89" s="118">
        <v>1.71</v>
      </c>
      <c r="AX89" s="118">
        <v>0</v>
      </c>
      <c r="AY89" s="119">
        <v>2.2599999999999998</v>
      </c>
      <c r="AZ89" s="122"/>
      <c r="BA89" s="124"/>
      <c r="BB89" s="124"/>
      <c r="BC89" s="192"/>
      <c r="BD89" s="121">
        <v>0.56999999999999995</v>
      </c>
      <c r="BE89" s="120">
        <v>0.85</v>
      </c>
      <c r="BF89" s="118">
        <v>0</v>
      </c>
      <c r="BG89" s="118">
        <v>0.63</v>
      </c>
      <c r="BH89" s="119">
        <v>1.49</v>
      </c>
      <c r="BI89" s="120">
        <v>0.5</v>
      </c>
      <c r="BJ89" s="118">
        <v>0.34</v>
      </c>
      <c r="BK89" s="118">
        <v>0.83</v>
      </c>
      <c r="BL89" s="119">
        <v>1.67</v>
      </c>
      <c r="BM89" s="120">
        <v>1.54</v>
      </c>
      <c r="BN89" s="118">
        <v>1.35</v>
      </c>
      <c r="BO89" s="118">
        <v>1.34</v>
      </c>
      <c r="BP89" s="118">
        <v>1.89</v>
      </c>
      <c r="BQ89" s="118">
        <v>1.0900000000000001</v>
      </c>
      <c r="BR89" s="124"/>
      <c r="BS89" s="118">
        <v>4.29</v>
      </c>
      <c r="BT89" s="118">
        <v>1.65</v>
      </c>
      <c r="BU89" s="119">
        <v>1.48</v>
      </c>
      <c r="BV89" s="74">
        <v>1734190.0800000001</v>
      </c>
      <c r="BW89" s="106">
        <v>142.9</v>
      </c>
      <c r="BX89" s="118">
        <v>975.36</v>
      </c>
      <c r="BY89" s="157">
        <v>22</v>
      </c>
      <c r="BZ89" s="106">
        <v>16.5</v>
      </c>
      <c r="CA89" s="115">
        <v>4.4000000000000003E-3</v>
      </c>
      <c r="CB89" s="105">
        <v>391</v>
      </c>
      <c r="CC89" s="114">
        <v>3.8999999999999998E-3</v>
      </c>
      <c r="CD89" s="105">
        <v>438</v>
      </c>
      <c r="CE89" s="99">
        <f t="shared" si="5"/>
        <v>9.4705840216438991E-3</v>
      </c>
      <c r="CF89" s="100">
        <f t="shared" si="3"/>
        <v>2.46</v>
      </c>
    </row>
    <row r="90" spans="1:84" hidden="1" x14ac:dyDescent="0.25">
      <c r="A90" s="101">
        <v>89</v>
      </c>
      <c r="B90" s="102"/>
      <c r="C90" s="103" t="s">
        <v>304</v>
      </c>
      <c r="D90" s="108">
        <v>1422.4</v>
      </c>
      <c r="E90" s="106">
        <v>1219.2</v>
      </c>
      <c r="F90" s="106">
        <f t="shared" si="4"/>
        <v>1734190.0800000001</v>
      </c>
      <c r="G90" s="106">
        <v>142.9</v>
      </c>
      <c r="H90" s="118">
        <v>975.36</v>
      </c>
      <c r="I90" s="107">
        <v>1.17</v>
      </c>
      <c r="J90" s="155">
        <v>24</v>
      </c>
      <c r="K90" s="156">
        <v>19.2</v>
      </c>
      <c r="L90" s="157">
        <v>22</v>
      </c>
      <c r="M90" s="158">
        <v>1</v>
      </c>
      <c r="N90" s="106">
        <v>16.5</v>
      </c>
      <c r="O90" s="112" t="s">
        <v>210</v>
      </c>
      <c r="P90" s="113" t="s">
        <v>211</v>
      </c>
      <c r="Q90" s="123" t="s">
        <v>212</v>
      </c>
      <c r="R90" s="115">
        <v>4.4999999999999997E-3</v>
      </c>
      <c r="S90" s="115">
        <v>4.4999999999999997E-3</v>
      </c>
      <c r="T90" s="105">
        <v>391</v>
      </c>
      <c r="U90" s="113" t="s">
        <v>212</v>
      </c>
      <c r="V90" s="114">
        <v>2E-3</v>
      </c>
      <c r="W90" s="105">
        <v>438</v>
      </c>
      <c r="X90" s="113" t="s">
        <v>212</v>
      </c>
      <c r="Y90" s="160">
        <v>2.76</v>
      </c>
      <c r="Z90" s="110">
        <v>0.5</v>
      </c>
      <c r="AA90" s="108">
        <v>1.3</v>
      </c>
      <c r="AB90" s="106">
        <v>6.2</v>
      </c>
      <c r="AC90" s="109">
        <v>4.9000000000000004</v>
      </c>
      <c r="AD90" s="118">
        <v>1.69</v>
      </c>
      <c r="AE90" s="119">
        <v>2.36</v>
      </c>
      <c r="AF90" s="120">
        <v>0.92</v>
      </c>
      <c r="AG90" s="118">
        <v>0.35</v>
      </c>
      <c r="AH90" s="118">
        <v>0.69</v>
      </c>
      <c r="AI90" s="119">
        <v>1.59</v>
      </c>
      <c r="AJ90" s="120">
        <v>0.28999999999999998</v>
      </c>
      <c r="AK90" s="118">
        <v>0.79</v>
      </c>
      <c r="AL90" s="118">
        <v>0</v>
      </c>
      <c r="AM90" s="119">
        <v>1.08</v>
      </c>
      <c r="AN90" s="120">
        <v>0</v>
      </c>
      <c r="AO90" s="118">
        <v>0.56000000000000005</v>
      </c>
      <c r="AP90" s="118">
        <v>1.49</v>
      </c>
      <c r="AQ90" s="119">
        <v>1.83</v>
      </c>
      <c r="AR90" s="120">
        <v>0.74</v>
      </c>
      <c r="AS90" s="118">
        <v>0.42</v>
      </c>
      <c r="AT90" s="118">
        <v>0.69</v>
      </c>
      <c r="AU90" s="119">
        <v>1.3</v>
      </c>
      <c r="AV90" s="120">
        <v>0.55000000000000004</v>
      </c>
      <c r="AW90" s="118">
        <v>0.88</v>
      </c>
      <c r="AX90" s="118">
        <v>0</v>
      </c>
      <c r="AY90" s="119">
        <v>1.43</v>
      </c>
      <c r="AZ90" s="122"/>
      <c r="BA90" s="124"/>
      <c r="BB90" s="124"/>
      <c r="BC90" s="192"/>
      <c r="BD90" s="121">
        <v>0.56999999999999995</v>
      </c>
      <c r="BE90" s="120">
        <v>0.85</v>
      </c>
      <c r="BF90" s="118">
        <v>0</v>
      </c>
      <c r="BG90" s="118">
        <v>0.63</v>
      </c>
      <c r="BH90" s="119">
        <v>1.49</v>
      </c>
      <c r="BI90" s="120">
        <v>0.5</v>
      </c>
      <c r="BJ90" s="118">
        <v>0.2</v>
      </c>
      <c r="BK90" s="118">
        <v>0.83</v>
      </c>
      <c r="BL90" s="119">
        <v>1.53</v>
      </c>
      <c r="BM90" s="120">
        <v>1.48</v>
      </c>
      <c r="BN90" s="118">
        <v>2.19</v>
      </c>
      <c r="BO90" s="118">
        <v>1.29</v>
      </c>
      <c r="BP90" s="118">
        <v>1.81</v>
      </c>
      <c r="BQ90" s="118">
        <v>1.65</v>
      </c>
      <c r="BR90" s="124"/>
      <c r="BS90" s="118">
        <v>4.1100000000000003</v>
      </c>
      <c r="BT90" s="118">
        <v>1.58</v>
      </c>
      <c r="BU90" s="119">
        <v>1.54</v>
      </c>
      <c r="BV90" s="74">
        <v>1734190.0800000001</v>
      </c>
      <c r="BW90" s="106">
        <v>142.9</v>
      </c>
      <c r="BX90" s="118">
        <v>975.36</v>
      </c>
      <c r="BY90" s="157">
        <v>22</v>
      </c>
      <c r="BZ90" s="106">
        <v>16.5</v>
      </c>
      <c r="CA90" s="115">
        <v>4.4999999999999997E-3</v>
      </c>
      <c r="CB90" s="105">
        <v>391</v>
      </c>
      <c r="CC90" s="114">
        <v>2E-3</v>
      </c>
      <c r="CD90" s="105">
        <v>438</v>
      </c>
      <c r="CE90" s="99">
        <f t="shared" si="5"/>
        <v>9.0688016692105234E-3</v>
      </c>
      <c r="CF90" s="100">
        <f t="shared" si="3"/>
        <v>2.36</v>
      </c>
    </row>
    <row r="91" spans="1:84" hidden="1" x14ac:dyDescent="0.25">
      <c r="A91" s="101">
        <v>90</v>
      </c>
      <c r="B91" s="102"/>
      <c r="C91" s="103" t="s">
        <v>305</v>
      </c>
      <c r="D91" s="108">
        <v>1422.4</v>
      </c>
      <c r="E91" s="106">
        <v>1219.2</v>
      </c>
      <c r="F91" s="106">
        <f t="shared" si="4"/>
        <v>1734190.0800000001</v>
      </c>
      <c r="G91" s="106">
        <v>142.9</v>
      </c>
      <c r="H91" s="118">
        <v>975.36</v>
      </c>
      <c r="I91" s="107">
        <v>1.17</v>
      </c>
      <c r="J91" s="155">
        <v>24</v>
      </c>
      <c r="K91" s="156">
        <v>19.2</v>
      </c>
      <c r="L91" s="157">
        <v>22</v>
      </c>
      <c r="M91" s="158">
        <v>1</v>
      </c>
      <c r="N91" s="106">
        <v>16.5</v>
      </c>
      <c r="O91" s="112" t="s">
        <v>210</v>
      </c>
      <c r="P91" s="113" t="s">
        <v>211</v>
      </c>
      <c r="Q91" s="123" t="s">
        <v>212</v>
      </c>
      <c r="R91" s="115">
        <v>4.4000000000000003E-3</v>
      </c>
      <c r="S91" s="115">
        <v>4.4000000000000003E-3</v>
      </c>
      <c r="T91" s="105">
        <v>391</v>
      </c>
      <c r="U91" s="113" t="s">
        <v>212</v>
      </c>
      <c r="V91" s="114">
        <v>2E-3</v>
      </c>
      <c r="W91" s="105">
        <v>438</v>
      </c>
      <c r="X91" s="113" t="s">
        <v>212</v>
      </c>
      <c r="Y91" s="160">
        <v>2.76</v>
      </c>
      <c r="Z91" s="110">
        <v>0.5</v>
      </c>
      <c r="AA91" s="108">
        <v>1</v>
      </c>
      <c r="AB91" s="106">
        <v>6.4</v>
      </c>
      <c r="AC91" s="109">
        <v>6.5</v>
      </c>
      <c r="AD91" s="118">
        <v>1.52</v>
      </c>
      <c r="AE91" s="119">
        <v>2.23</v>
      </c>
      <c r="AF91" s="120">
        <v>0.92</v>
      </c>
      <c r="AG91" s="118">
        <v>0.35</v>
      </c>
      <c r="AH91" s="118">
        <v>0.69</v>
      </c>
      <c r="AI91" s="119">
        <v>1.59</v>
      </c>
      <c r="AJ91" s="120">
        <v>0.28999999999999998</v>
      </c>
      <c r="AK91" s="118">
        <v>0.79</v>
      </c>
      <c r="AL91" s="118">
        <v>0</v>
      </c>
      <c r="AM91" s="119">
        <v>1.08</v>
      </c>
      <c r="AN91" s="120">
        <v>0</v>
      </c>
      <c r="AO91" s="118">
        <v>0.56000000000000005</v>
      </c>
      <c r="AP91" s="118">
        <v>1.49</v>
      </c>
      <c r="AQ91" s="119">
        <v>1.83</v>
      </c>
      <c r="AR91" s="120">
        <v>0.74</v>
      </c>
      <c r="AS91" s="118">
        <v>0.42</v>
      </c>
      <c r="AT91" s="118">
        <v>0.69</v>
      </c>
      <c r="AU91" s="119">
        <v>1.3</v>
      </c>
      <c r="AV91" s="120">
        <v>0.55000000000000004</v>
      </c>
      <c r="AW91" s="118">
        <v>0.88</v>
      </c>
      <c r="AX91" s="118">
        <v>0</v>
      </c>
      <c r="AY91" s="119">
        <v>1.43</v>
      </c>
      <c r="AZ91" s="122"/>
      <c r="BA91" s="124"/>
      <c r="BB91" s="124"/>
      <c r="BC91" s="192"/>
      <c r="BD91" s="121">
        <v>0.56999999999999995</v>
      </c>
      <c r="BE91" s="120">
        <v>0.85</v>
      </c>
      <c r="BF91" s="118">
        <v>0</v>
      </c>
      <c r="BG91" s="118">
        <v>0.63</v>
      </c>
      <c r="BH91" s="119">
        <v>1.49</v>
      </c>
      <c r="BI91" s="120">
        <v>0.5</v>
      </c>
      <c r="BJ91" s="118">
        <v>0.2</v>
      </c>
      <c r="BK91" s="118">
        <v>0.83</v>
      </c>
      <c r="BL91" s="119">
        <v>1.53</v>
      </c>
      <c r="BM91" s="120">
        <v>1.4</v>
      </c>
      <c r="BN91" s="118">
        <v>2.0699999999999998</v>
      </c>
      <c r="BO91" s="118">
        <v>1.22</v>
      </c>
      <c r="BP91" s="118">
        <v>1.72</v>
      </c>
      <c r="BQ91" s="118">
        <v>1.56</v>
      </c>
      <c r="BR91" s="124"/>
      <c r="BS91" s="118">
        <v>3.9</v>
      </c>
      <c r="BT91" s="118">
        <v>1.5</v>
      </c>
      <c r="BU91" s="119">
        <v>1.46</v>
      </c>
      <c r="BV91" s="74">
        <v>1734190.0800000001</v>
      </c>
      <c r="BW91" s="106">
        <v>142.9</v>
      </c>
      <c r="BX91" s="118">
        <v>975.36</v>
      </c>
      <c r="BY91" s="157">
        <v>22</v>
      </c>
      <c r="BZ91" s="106">
        <v>16.5</v>
      </c>
      <c r="CA91" s="115">
        <v>4.4000000000000003E-3</v>
      </c>
      <c r="CB91" s="105">
        <v>391</v>
      </c>
      <c r="CC91" s="114">
        <v>2E-3</v>
      </c>
      <c r="CD91" s="105">
        <v>438</v>
      </c>
      <c r="CE91" s="99">
        <f t="shared" si="5"/>
        <v>8.6096218378580898E-3</v>
      </c>
      <c r="CF91" s="100">
        <f t="shared" si="3"/>
        <v>2.23</v>
      </c>
    </row>
    <row r="92" spans="1:84" hidden="1" x14ac:dyDescent="0.25">
      <c r="A92" s="101">
        <v>91</v>
      </c>
      <c r="B92" s="102"/>
      <c r="C92" s="103" t="s">
        <v>306</v>
      </c>
      <c r="D92" s="108">
        <v>1422.4</v>
      </c>
      <c r="E92" s="106">
        <v>1219.2</v>
      </c>
      <c r="F92" s="106">
        <f t="shared" si="4"/>
        <v>1734190.0800000001</v>
      </c>
      <c r="G92" s="106">
        <v>142.9</v>
      </c>
      <c r="H92" s="118">
        <v>975.36</v>
      </c>
      <c r="I92" s="107">
        <v>1.17</v>
      </c>
      <c r="J92" s="155">
        <v>24</v>
      </c>
      <c r="K92" s="156">
        <v>19.2</v>
      </c>
      <c r="L92" s="157">
        <v>22</v>
      </c>
      <c r="M92" s="158">
        <v>1</v>
      </c>
      <c r="N92" s="106">
        <v>16.5</v>
      </c>
      <c r="O92" s="112" t="s">
        <v>210</v>
      </c>
      <c r="P92" s="113" t="s">
        <v>211</v>
      </c>
      <c r="Q92" s="123" t="s">
        <v>212</v>
      </c>
      <c r="R92" s="115">
        <v>4.4999999999999997E-3</v>
      </c>
      <c r="S92" s="115">
        <v>4.4999999999999997E-3</v>
      </c>
      <c r="T92" s="105">
        <v>391</v>
      </c>
      <c r="U92" s="113" t="s">
        <v>212</v>
      </c>
      <c r="V92" s="114">
        <v>1E-3</v>
      </c>
      <c r="W92" s="105">
        <v>438</v>
      </c>
      <c r="X92" s="113" t="s">
        <v>212</v>
      </c>
      <c r="Y92" s="160">
        <v>2.76</v>
      </c>
      <c r="Z92" s="110">
        <v>0.5</v>
      </c>
      <c r="AA92" s="108">
        <v>1.2</v>
      </c>
      <c r="AB92" s="106">
        <v>6.7</v>
      </c>
      <c r="AC92" s="109">
        <v>5.4</v>
      </c>
      <c r="AD92" s="118">
        <v>1.53</v>
      </c>
      <c r="AE92" s="119">
        <v>1.92</v>
      </c>
      <c r="AF92" s="120">
        <v>0.92</v>
      </c>
      <c r="AG92" s="118">
        <v>0.18</v>
      </c>
      <c r="AH92" s="118">
        <v>0.69</v>
      </c>
      <c r="AI92" s="119">
        <v>1.59</v>
      </c>
      <c r="AJ92" s="120">
        <v>0.28999999999999998</v>
      </c>
      <c r="AK92" s="118">
        <v>0.39</v>
      </c>
      <c r="AL92" s="118">
        <v>0</v>
      </c>
      <c r="AM92" s="119">
        <v>0.68</v>
      </c>
      <c r="AN92" s="120">
        <v>0</v>
      </c>
      <c r="AO92" s="118">
        <v>0.28000000000000003</v>
      </c>
      <c r="AP92" s="118">
        <v>1.49</v>
      </c>
      <c r="AQ92" s="119">
        <v>1.77</v>
      </c>
      <c r="AR92" s="120">
        <v>0.74</v>
      </c>
      <c r="AS92" s="118">
        <v>0.21</v>
      </c>
      <c r="AT92" s="118">
        <v>0.69</v>
      </c>
      <c r="AU92" s="119">
        <v>1.3</v>
      </c>
      <c r="AV92" s="120">
        <v>0.55000000000000004</v>
      </c>
      <c r="AW92" s="118">
        <v>0.44</v>
      </c>
      <c r="AX92" s="118">
        <v>0</v>
      </c>
      <c r="AY92" s="119">
        <v>0.99</v>
      </c>
      <c r="AZ92" s="122"/>
      <c r="BA92" s="124"/>
      <c r="BB92" s="124"/>
      <c r="BC92" s="192"/>
      <c r="BD92" s="121">
        <v>0.56999999999999995</v>
      </c>
      <c r="BE92" s="120">
        <v>0.85</v>
      </c>
      <c r="BF92" s="118">
        <v>0</v>
      </c>
      <c r="BG92" s="118">
        <v>0.63</v>
      </c>
      <c r="BH92" s="119">
        <v>1.49</v>
      </c>
      <c r="BI92" s="120">
        <v>0.5</v>
      </c>
      <c r="BJ92" s="118">
        <v>0.26</v>
      </c>
      <c r="BK92" s="118">
        <v>0.83</v>
      </c>
      <c r="BL92" s="119">
        <v>1.59</v>
      </c>
      <c r="BM92" s="120">
        <v>1.2</v>
      </c>
      <c r="BN92" s="118">
        <v>2.8</v>
      </c>
      <c r="BO92" s="118">
        <v>1.08</v>
      </c>
      <c r="BP92" s="118">
        <v>1.47</v>
      </c>
      <c r="BQ92" s="118">
        <v>1.94</v>
      </c>
      <c r="BR92" s="124"/>
      <c r="BS92" s="118">
        <v>3.34</v>
      </c>
      <c r="BT92" s="118">
        <v>1.29</v>
      </c>
      <c r="BU92" s="119">
        <v>1.21</v>
      </c>
      <c r="BV92" s="74">
        <v>1734190.0800000001</v>
      </c>
      <c r="BW92" s="106">
        <v>142.9</v>
      </c>
      <c r="BX92" s="118">
        <v>975.36</v>
      </c>
      <c r="BY92" s="157">
        <v>22</v>
      </c>
      <c r="BZ92" s="106">
        <v>16.5</v>
      </c>
      <c r="CA92" s="115">
        <v>4.4999999999999997E-3</v>
      </c>
      <c r="CB92" s="105">
        <v>391</v>
      </c>
      <c r="CC92" s="114">
        <v>1E-3</v>
      </c>
      <c r="CD92" s="105">
        <v>438</v>
      </c>
      <c r="CE92" s="99">
        <f t="shared" si="5"/>
        <v>7.4042747805579574E-3</v>
      </c>
      <c r="CF92" s="100">
        <f t="shared" si="3"/>
        <v>1.92</v>
      </c>
    </row>
    <row r="93" spans="1:84" hidden="1" x14ac:dyDescent="0.25">
      <c r="A93" s="101">
        <v>92</v>
      </c>
      <c r="B93" s="102"/>
      <c r="C93" s="103" t="s">
        <v>307</v>
      </c>
      <c r="D93" s="108">
        <v>1422.4</v>
      </c>
      <c r="E93" s="106">
        <v>1219.2</v>
      </c>
      <c r="F93" s="106">
        <f t="shared" si="4"/>
        <v>1734190.0800000001</v>
      </c>
      <c r="G93" s="106">
        <v>142.9</v>
      </c>
      <c r="H93" s="118">
        <v>975.36</v>
      </c>
      <c r="I93" s="107">
        <v>1.17</v>
      </c>
      <c r="J93" s="155">
        <v>24</v>
      </c>
      <c r="K93" s="156">
        <v>19.2</v>
      </c>
      <c r="L93" s="157">
        <v>22</v>
      </c>
      <c r="M93" s="158">
        <v>1</v>
      </c>
      <c r="N93" s="106">
        <v>16.5</v>
      </c>
      <c r="O93" s="112" t="s">
        <v>210</v>
      </c>
      <c r="P93" s="113" t="s">
        <v>211</v>
      </c>
      <c r="Q93" s="123" t="s">
        <v>212</v>
      </c>
      <c r="R93" s="115">
        <v>4.4999999999999997E-3</v>
      </c>
      <c r="S93" s="115">
        <v>4.4999999999999997E-3</v>
      </c>
      <c r="T93" s="105">
        <v>391</v>
      </c>
      <c r="U93" s="113" t="s">
        <v>212</v>
      </c>
      <c r="V93" s="114">
        <v>3.0000000000000001E-3</v>
      </c>
      <c r="W93" s="105">
        <v>438</v>
      </c>
      <c r="X93" s="113" t="s">
        <v>212</v>
      </c>
      <c r="Y93" s="160">
        <v>2.76</v>
      </c>
      <c r="Z93" s="110">
        <v>0.5</v>
      </c>
      <c r="AA93" s="108">
        <v>1</v>
      </c>
      <c r="AB93" s="106">
        <v>9.6999999999999993</v>
      </c>
      <c r="AC93" s="109">
        <v>9.6999999999999993</v>
      </c>
      <c r="AD93" s="118">
        <v>1.53</v>
      </c>
      <c r="AE93" s="119">
        <v>2.4300000000000002</v>
      </c>
      <c r="AF93" s="120">
        <v>0.92</v>
      </c>
      <c r="AG93" s="118">
        <v>0.53</v>
      </c>
      <c r="AH93" s="118">
        <v>0.69</v>
      </c>
      <c r="AI93" s="119">
        <v>1.59</v>
      </c>
      <c r="AJ93" s="120">
        <v>0.28999999999999998</v>
      </c>
      <c r="AK93" s="118">
        <v>1.18</v>
      </c>
      <c r="AL93" s="118">
        <v>0</v>
      </c>
      <c r="AM93" s="119">
        <v>1.47</v>
      </c>
      <c r="AN93" s="120">
        <v>0</v>
      </c>
      <c r="AO93" s="118">
        <v>0.84</v>
      </c>
      <c r="AP93" s="118">
        <v>1.49</v>
      </c>
      <c r="AQ93" s="119">
        <v>1.83</v>
      </c>
      <c r="AR93" s="120">
        <v>0.74</v>
      </c>
      <c r="AS93" s="118">
        <v>0.63</v>
      </c>
      <c r="AT93" s="118">
        <v>0.69</v>
      </c>
      <c r="AU93" s="119">
        <v>1.3</v>
      </c>
      <c r="AV93" s="120">
        <v>0.55000000000000004</v>
      </c>
      <c r="AW93" s="118">
        <v>1.31</v>
      </c>
      <c r="AX93" s="118">
        <v>0</v>
      </c>
      <c r="AY93" s="119">
        <v>1.87</v>
      </c>
      <c r="AZ93" s="122"/>
      <c r="BA93" s="124"/>
      <c r="BB93" s="124"/>
      <c r="BC93" s="192"/>
      <c r="BD93" s="121">
        <v>0.56999999999999995</v>
      </c>
      <c r="BE93" s="120">
        <v>0.85</v>
      </c>
      <c r="BF93" s="118">
        <v>0</v>
      </c>
      <c r="BG93" s="118">
        <v>0.63</v>
      </c>
      <c r="BH93" s="119">
        <v>1.49</v>
      </c>
      <c r="BI93" s="120">
        <v>0.5</v>
      </c>
      <c r="BJ93" s="118">
        <v>0.26</v>
      </c>
      <c r="BK93" s="118">
        <v>0.83</v>
      </c>
      <c r="BL93" s="119">
        <v>1.59</v>
      </c>
      <c r="BM93" s="120">
        <v>1.53</v>
      </c>
      <c r="BN93" s="118">
        <v>1.65</v>
      </c>
      <c r="BO93" s="118">
        <v>1.33</v>
      </c>
      <c r="BP93" s="118">
        <v>1.87</v>
      </c>
      <c r="BQ93" s="118">
        <v>1.3</v>
      </c>
      <c r="BR93" s="124"/>
      <c r="BS93" s="118">
        <v>4.25</v>
      </c>
      <c r="BT93" s="118">
        <v>1.63</v>
      </c>
      <c r="BU93" s="119">
        <v>1.53</v>
      </c>
      <c r="BV93" s="74">
        <v>1734190.0800000001</v>
      </c>
      <c r="BW93" s="106">
        <v>142.9</v>
      </c>
      <c r="BX93" s="118">
        <v>975.36</v>
      </c>
      <c r="BY93" s="157">
        <v>22</v>
      </c>
      <c r="BZ93" s="106">
        <v>16.5</v>
      </c>
      <c r="CA93" s="115">
        <v>4.4999999999999997E-3</v>
      </c>
      <c r="CB93" s="105">
        <v>391</v>
      </c>
      <c r="CC93" s="114">
        <v>3.0000000000000001E-3</v>
      </c>
      <c r="CD93" s="105">
        <v>438</v>
      </c>
      <c r="CE93" s="99">
        <f t="shared" si="5"/>
        <v>9.3557890638057903E-3</v>
      </c>
      <c r="CF93" s="100">
        <f t="shared" si="3"/>
        <v>2.4300000000000002</v>
      </c>
    </row>
    <row r="94" spans="1:84" hidden="1" x14ac:dyDescent="0.25">
      <c r="A94" s="101">
        <v>93</v>
      </c>
      <c r="B94" s="102"/>
      <c r="C94" s="103" t="s">
        <v>308</v>
      </c>
      <c r="D94" s="108">
        <v>1422.4</v>
      </c>
      <c r="E94" s="106">
        <v>1219.2</v>
      </c>
      <c r="F94" s="106">
        <f t="shared" si="4"/>
        <v>1734190.0800000001</v>
      </c>
      <c r="G94" s="106">
        <v>142.9</v>
      </c>
      <c r="H94" s="118">
        <v>975.36</v>
      </c>
      <c r="I94" s="107">
        <v>1.17</v>
      </c>
      <c r="J94" s="155">
        <v>24</v>
      </c>
      <c r="K94" s="156">
        <v>19.2</v>
      </c>
      <c r="L94" s="157">
        <v>22</v>
      </c>
      <c r="M94" s="158">
        <v>1</v>
      </c>
      <c r="N94" s="106">
        <v>16.5</v>
      </c>
      <c r="O94" s="112" t="s">
        <v>210</v>
      </c>
      <c r="P94" s="113" t="s">
        <v>211</v>
      </c>
      <c r="Q94" s="123" t="s">
        <v>212</v>
      </c>
      <c r="R94" s="115">
        <v>4.4999999999999997E-3</v>
      </c>
      <c r="S94" s="115">
        <v>4.4999999999999997E-3</v>
      </c>
      <c r="T94" s="105">
        <v>391</v>
      </c>
      <c r="U94" s="113" t="s">
        <v>212</v>
      </c>
      <c r="V94" s="114">
        <v>2E-3</v>
      </c>
      <c r="W94" s="105">
        <v>438</v>
      </c>
      <c r="X94" s="113" t="s">
        <v>212</v>
      </c>
      <c r="Y94" s="160">
        <v>1.74</v>
      </c>
      <c r="Z94" s="110">
        <v>0.5</v>
      </c>
      <c r="AA94" s="108">
        <v>1.2</v>
      </c>
      <c r="AB94" s="106">
        <v>6.9</v>
      </c>
      <c r="AC94" s="109">
        <v>5.7</v>
      </c>
      <c r="AD94" s="118">
        <v>1.68</v>
      </c>
      <c r="AE94" s="119">
        <v>1.96</v>
      </c>
      <c r="AF94" s="120">
        <v>0.92</v>
      </c>
      <c r="AG94" s="118">
        <v>0.35</v>
      </c>
      <c r="AH94" s="118">
        <v>0.43</v>
      </c>
      <c r="AI94" s="119">
        <v>1.59</v>
      </c>
      <c r="AJ94" s="120">
        <v>0.28999999999999998</v>
      </c>
      <c r="AK94" s="118">
        <v>0.79</v>
      </c>
      <c r="AL94" s="118">
        <v>0</v>
      </c>
      <c r="AM94" s="119">
        <v>1.08</v>
      </c>
      <c r="AN94" s="120">
        <v>0</v>
      </c>
      <c r="AO94" s="118">
        <v>0.56000000000000005</v>
      </c>
      <c r="AP94" s="118">
        <v>0.97</v>
      </c>
      <c r="AQ94" s="119">
        <v>1.53</v>
      </c>
      <c r="AR94" s="120">
        <v>0.74</v>
      </c>
      <c r="AS94" s="118">
        <v>0.42</v>
      </c>
      <c r="AT94" s="118">
        <v>0.43</v>
      </c>
      <c r="AU94" s="119">
        <v>1.3</v>
      </c>
      <c r="AV94" s="120">
        <v>0.55000000000000004</v>
      </c>
      <c r="AW94" s="118">
        <v>0.88</v>
      </c>
      <c r="AX94" s="118">
        <v>0</v>
      </c>
      <c r="AY94" s="119">
        <v>1.43</v>
      </c>
      <c r="AZ94" s="122"/>
      <c r="BA94" s="124"/>
      <c r="BB94" s="124"/>
      <c r="BC94" s="192"/>
      <c r="BD94" s="121">
        <v>0.56999999999999995</v>
      </c>
      <c r="BE94" s="120">
        <v>0.85</v>
      </c>
      <c r="BF94" s="118">
        <v>0</v>
      </c>
      <c r="BG94" s="118">
        <v>0.4</v>
      </c>
      <c r="BH94" s="119">
        <v>1.25</v>
      </c>
      <c r="BI94" s="120">
        <v>0.5</v>
      </c>
      <c r="BJ94" s="118">
        <v>0.2</v>
      </c>
      <c r="BK94" s="118">
        <v>0.52</v>
      </c>
      <c r="BL94" s="119">
        <v>1.22</v>
      </c>
      <c r="BM94" s="120">
        <v>1.23</v>
      </c>
      <c r="BN94" s="118">
        <v>1.82</v>
      </c>
      <c r="BO94" s="118">
        <v>1.28</v>
      </c>
      <c r="BP94" s="118">
        <v>1.51</v>
      </c>
      <c r="BQ94" s="118">
        <v>1.38</v>
      </c>
      <c r="BR94" s="124"/>
      <c r="BS94" s="118">
        <v>3.43</v>
      </c>
      <c r="BT94" s="118">
        <v>1.57</v>
      </c>
      <c r="BU94" s="119">
        <v>1.61</v>
      </c>
      <c r="BV94" s="74">
        <v>1734190.0800000001</v>
      </c>
      <c r="BW94" s="106">
        <v>142.9</v>
      </c>
      <c r="BX94" s="118">
        <v>975.36</v>
      </c>
      <c r="BY94" s="157">
        <v>22</v>
      </c>
      <c r="BZ94" s="106">
        <v>16.5</v>
      </c>
      <c r="CA94" s="115">
        <v>4.4999999999999997E-3</v>
      </c>
      <c r="CB94" s="105">
        <v>391</v>
      </c>
      <c r="CC94" s="114">
        <v>2E-3</v>
      </c>
      <c r="CD94" s="105">
        <v>438</v>
      </c>
      <c r="CE94" s="99">
        <f t="shared" si="5"/>
        <v>9.011404190291469E-3</v>
      </c>
      <c r="CF94" s="100">
        <f t="shared" si="3"/>
        <v>1.96</v>
      </c>
    </row>
    <row r="95" spans="1:84" hidden="1" x14ac:dyDescent="0.25">
      <c r="A95" s="101">
        <v>94</v>
      </c>
      <c r="B95" s="102"/>
      <c r="C95" s="103" t="s">
        <v>309</v>
      </c>
      <c r="D95" s="108">
        <v>1422.4</v>
      </c>
      <c r="E95" s="106">
        <v>1219.2</v>
      </c>
      <c r="F95" s="106">
        <f t="shared" si="4"/>
        <v>1734190.0800000001</v>
      </c>
      <c r="G95" s="106">
        <v>142.9</v>
      </c>
      <c r="H95" s="118">
        <v>975.36</v>
      </c>
      <c r="I95" s="107">
        <v>1.17</v>
      </c>
      <c r="J95" s="155">
        <v>24</v>
      </c>
      <c r="K95" s="156">
        <v>19.2</v>
      </c>
      <c r="L95" s="157">
        <v>22</v>
      </c>
      <c r="M95" s="158">
        <v>1</v>
      </c>
      <c r="N95" s="106">
        <v>16.5</v>
      </c>
      <c r="O95" s="112" t="s">
        <v>210</v>
      </c>
      <c r="P95" s="113" t="s">
        <v>211</v>
      </c>
      <c r="Q95" s="123" t="s">
        <v>212</v>
      </c>
      <c r="R95" s="115">
        <v>4.4999999999999997E-3</v>
      </c>
      <c r="S95" s="115">
        <v>4.4999999999999997E-3</v>
      </c>
      <c r="T95" s="105">
        <v>391</v>
      </c>
      <c r="U95" s="113" t="s">
        <v>212</v>
      </c>
      <c r="V95" s="114">
        <v>2E-3</v>
      </c>
      <c r="W95" s="105">
        <v>438</v>
      </c>
      <c r="X95" s="113" t="s">
        <v>212</v>
      </c>
      <c r="Y95" s="160">
        <v>2.76</v>
      </c>
      <c r="Z95" s="110">
        <v>0.5</v>
      </c>
      <c r="AA95" s="108">
        <v>1.6</v>
      </c>
      <c r="AB95" s="106">
        <v>5.8</v>
      </c>
      <c r="AC95" s="109">
        <v>3.5</v>
      </c>
      <c r="AD95" s="118">
        <v>2.2000000000000002</v>
      </c>
      <c r="AE95" s="119">
        <v>2.4</v>
      </c>
      <c r="AF95" s="120">
        <v>0.92</v>
      </c>
      <c r="AG95" s="118">
        <v>0.35</v>
      </c>
      <c r="AH95" s="118">
        <v>0.69</v>
      </c>
      <c r="AI95" s="119">
        <v>1.59</v>
      </c>
      <c r="AJ95" s="120">
        <v>0.28999999999999998</v>
      </c>
      <c r="AK95" s="118">
        <v>0.79</v>
      </c>
      <c r="AL95" s="118">
        <v>0</v>
      </c>
      <c r="AM95" s="119">
        <v>1.08</v>
      </c>
      <c r="AN95" s="120">
        <v>0.16</v>
      </c>
      <c r="AO95" s="118">
        <v>0.56000000000000005</v>
      </c>
      <c r="AP95" s="118">
        <v>1.49</v>
      </c>
      <c r="AQ95" s="119">
        <v>1.83</v>
      </c>
      <c r="AR95" s="120">
        <v>0.74</v>
      </c>
      <c r="AS95" s="118">
        <v>0.42</v>
      </c>
      <c r="AT95" s="118">
        <v>0.69</v>
      </c>
      <c r="AU95" s="119">
        <v>1.3</v>
      </c>
      <c r="AV95" s="120">
        <v>0.55000000000000004</v>
      </c>
      <c r="AW95" s="118">
        <v>0.88</v>
      </c>
      <c r="AX95" s="118">
        <v>0</v>
      </c>
      <c r="AY95" s="119">
        <v>1.43</v>
      </c>
      <c r="AZ95" s="122"/>
      <c r="BA95" s="124"/>
      <c r="BB95" s="124"/>
      <c r="BC95" s="192"/>
      <c r="BD95" s="121">
        <v>0.56999999999999995</v>
      </c>
      <c r="BE95" s="120">
        <v>0.85</v>
      </c>
      <c r="BF95" s="118">
        <v>0</v>
      </c>
      <c r="BG95" s="118">
        <v>0.63</v>
      </c>
      <c r="BH95" s="119">
        <v>1.49</v>
      </c>
      <c r="BI95" s="120">
        <v>0.5</v>
      </c>
      <c r="BJ95" s="118">
        <v>0.2</v>
      </c>
      <c r="BK95" s="118">
        <v>0.83</v>
      </c>
      <c r="BL95" s="119">
        <v>1.53</v>
      </c>
      <c r="BM95" s="120">
        <v>1.51</v>
      </c>
      <c r="BN95" s="118">
        <v>2.23</v>
      </c>
      <c r="BO95" s="118">
        <v>1.31</v>
      </c>
      <c r="BP95" s="118">
        <v>1.85</v>
      </c>
      <c r="BQ95" s="118">
        <v>1.68</v>
      </c>
      <c r="BR95" s="124"/>
      <c r="BS95" s="118">
        <v>4.2</v>
      </c>
      <c r="BT95" s="118">
        <v>1.62</v>
      </c>
      <c r="BU95" s="119">
        <v>1.57</v>
      </c>
      <c r="BV95" s="74">
        <v>1734190.0800000001</v>
      </c>
      <c r="BW95" s="106">
        <v>142.9</v>
      </c>
      <c r="BX95" s="118">
        <v>975.36</v>
      </c>
      <c r="BY95" s="157">
        <v>22</v>
      </c>
      <c r="BZ95" s="106">
        <v>16.5</v>
      </c>
      <c r="CA95" s="115">
        <v>4.4999999999999997E-3</v>
      </c>
      <c r="CB95" s="105">
        <v>391</v>
      </c>
      <c r="CC95" s="114">
        <v>2E-3</v>
      </c>
      <c r="CD95" s="105">
        <v>438</v>
      </c>
      <c r="CE95" s="99">
        <f t="shared" si="5"/>
        <v>9.2983915848867376E-3</v>
      </c>
      <c r="CF95" s="100">
        <f t="shared" si="3"/>
        <v>2.4</v>
      </c>
    </row>
    <row r="96" spans="1:84" hidden="1" x14ac:dyDescent="0.25">
      <c r="A96" s="101">
        <v>95</v>
      </c>
      <c r="B96" s="102"/>
      <c r="C96" s="103" t="s">
        <v>310</v>
      </c>
      <c r="D96" s="108">
        <v>1422.4</v>
      </c>
      <c r="E96" s="106">
        <v>1219.2</v>
      </c>
      <c r="F96" s="106">
        <f t="shared" si="4"/>
        <v>1734190.0800000001</v>
      </c>
      <c r="G96" s="106">
        <v>142.9</v>
      </c>
      <c r="H96" s="118">
        <v>975.36</v>
      </c>
      <c r="I96" s="107">
        <v>1.17</v>
      </c>
      <c r="J96" s="155">
        <v>24</v>
      </c>
      <c r="K96" s="156">
        <v>19.2</v>
      </c>
      <c r="L96" s="157">
        <v>22</v>
      </c>
      <c r="M96" s="158">
        <v>1.1200000000000001</v>
      </c>
      <c r="N96" s="106">
        <v>20.399999999999999</v>
      </c>
      <c r="O96" s="112" t="s">
        <v>210</v>
      </c>
      <c r="P96" s="113" t="s">
        <v>202</v>
      </c>
      <c r="Q96" s="123" t="s">
        <v>212</v>
      </c>
      <c r="R96" s="115">
        <v>4.4999999999999997E-3</v>
      </c>
      <c r="S96" s="115">
        <v>4.4999999999999997E-3</v>
      </c>
      <c r="T96" s="105">
        <v>391</v>
      </c>
      <c r="U96" s="113" t="s">
        <v>212</v>
      </c>
      <c r="V96" s="114">
        <v>2E-3</v>
      </c>
      <c r="W96" s="105">
        <v>438</v>
      </c>
      <c r="X96" s="113" t="s">
        <v>212</v>
      </c>
      <c r="Y96" s="160">
        <v>2.76</v>
      </c>
      <c r="Z96" s="110">
        <v>0.5</v>
      </c>
      <c r="AA96" s="108">
        <v>1.9</v>
      </c>
      <c r="AB96" s="106">
        <v>8</v>
      </c>
      <c r="AC96" s="109">
        <v>4.2</v>
      </c>
      <c r="AD96" s="118">
        <v>1.49</v>
      </c>
      <c r="AE96" s="119">
        <v>1.84</v>
      </c>
      <c r="AF96" s="120">
        <v>1.02</v>
      </c>
      <c r="AG96" s="118">
        <v>0.35</v>
      </c>
      <c r="AH96" s="118">
        <v>0.69</v>
      </c>
      <c r="AI96" s="119">
        <v>1.77</v>
      </c>
      <c r="AJ96" s="120">
        <v>0.28999999999999998</v>
      </c>
      <c r="AK96" s="118">
        <v>0.79</v>
      </c>
      <c r="AL96" s="118">
        <v>0</v>
      </c>
      <c r="AM96" s="119">
        <v>1.08</v>
      </c>
      <c r="AN96" s="120">
        <v>0</v>
      </c>
      <c r="AO96" s="118">
        <v>0.56000000000000005</v>
      </c>
      <c r="AP96" s="118">
        <v>1.52</v>
      </c>
      <c r="AQ96" s="119">
        <v>2.0299999999999998</v>
      </c>
      <c r="AR96" s="120">
        <v>0.82</v>
      </c>
      <c r="AS96" s="118">
        <v>0.42</v>
      </c>
      <c r="AT96" s="118">
        <v>0.69</v>
      </c>
      <c r="AU96" s="119">
        <v>1.44</v>
      </c>
      <c r="AV96" s="120">
        <v>0.61</v>
      </c>
      <c r="AW96" s="118">
        <v>0.88</v>
      </c>
      <c r="AX96" s="118">
        <v>0</v>
      </c>
      <c r="AY96" s="119">
        <v>1.49</v>
      </c>
      <c r="AZ96" s="122"/>
      <c r="BA96" s="124"/>
      <c r="BB96" s="124"/>
      <c r="BC96" s="192"/>
      <c r="BD96" s="121">
        <v>0.61</v>
      </c>
      <c r="BE96" s="120">
        <v>0.96</v>
      </c>
      <c r="BF96" s="118">
        <v>0</v>
      </c>
      <c r="BG96" s="118">
        <v>0.63</v>
      </c>
      <c r="BH96" s="119">
        <v>1.59</v>
      </c>
      <c r="BI96" s="120">
        <v>0.56000000000000005</v>
      </c>
      <c r="BJ96" s="118">
        <v>0.2</v>
      </c>
      <c r="BK96" s="118">
        <v>0.83</v>
      </c>
      <c r="BL96" s="119">
        <v>1.59</v>
      </c>
      <c r="BM96" s="120">
        <v>1.04</v>
      </c>
      <c r="BN96" s="118">
        <v>1.71</v>
      </c>
      <c r="BO96" s="118">
        <v>0.91</v>
      </c>
      <c r="BP96" s="118">
        <v>1.27</v>
      </c>
      <c r="BQ96" s="118">
        <v>1.24</v>
      </c>
      <c r="BR96" s="124"/>
      <c r="BS96" s="118">
        <v>3.03</v>
      </c>
      <c r="BT96" s="118">
        <v>1.1599999999999999</v>
      </c>
      <c r="BU96" s="119">
        <v>1.1599999999999999</v>
      </c>
      <c r="BV96" s="74">
        <v>1734190.0800000001</v>
      </c>
      <c r="BW96" s="106">
        <v>142.9</v>
      </c>
      <c r="BX96" s="118">
        <v>975.36</v>
      </c>
      <c r="BY96" s="157">
        <v>22</v>
      </c>
      <c r="BZ96" s="106">
        <v>20.399999999999999</v>
      </c>
      <c r="CA96" s="115">
        <v>4.4999999999999997E-3</v>
      </c>
      <c r="CB96" s="105">
        <v>391</v>
      </c>
      <c r="CC96" s="114">
        <v>2E-3</v>
      </c>
      <c r="CD96" s="105">
        <v>438</v>
      </c>
      <c r="CE96" s="99">
        <f t="shared" si="5"/>
        <v>6.6581075546102561E-3</v>
      </c>
      <c r="CF96" s="100">
        <f t="shared" si="3"/>
        <v>1.84</v>
      </c>
    </row>
    <row r="97" spans="1:84" hidden="1" x14ac:dyDescent="0.25">
      <c r="A97" s="101">
        <v>96</v>
      </c>
      <c r="B97" s="102"/>
      <c r="C97" s="103" t="s">
        <v>311</v>
      </c>
      <c r="D97" s="108">
        <v>1422.4</v>
      </c>
      <c r="E97" s="106">
        <v>1219.2</v>
      </c>
      <c r="F97" s="106">
        <f t="shared" si="4"/>
        <v>1734190.0800000001</v>
      </c>
      <c r="G97" s="106">
        <v>142.9</v>
      </c>
      <c r="H97" s="118">
        <v>975.36</v>
      </c>
      <c r="I97" s="107">
        <v>1.17</v>
      </c>
      <c r="J97" s="155">
        <v>24</v>
      </c>
      <c r="K97" s="156">
        <v>19.2</v>
      </c>
      <c r="L97" s="157">
        <v>22</v>
      </c>
      <c r="M97" s="158">
        <v>1.1200000000000001</v>
      </c>
      <c r="N97" s="106">
        <v>20.399999999999999</v>
      </c>
      <c r="O97" s="112" t="s">
        <v>210</v>
      </c>
      <c r="P97" s="113" t="s">
        <v>202</v>
      </c>
      <c r="Q97" s="123" t="s">
        <v>212</v>
      </c>
      <c r="R97" s="115">
        <v>4.4999999999999997E-3</v>
      </c>
      <c r="S97" s="115">
        <v>4.4999999999999997E-3</v>
      </c>
      <c r="T97" s="105">
        <v>391</v>
      </c>
      <c r="U97" s="113" t="s">
        <v>212</v>
      </c>
      <c r="V97" s="114">
        <v>4.8999999999999998E-3</v>
      </c>
      <c r="W97" s="105">
        <v>438</v>
      </c>
      <c r="X97" s="113" t="s">
        <v>212</v>
      </c>
      <c r="Y97" s="160">
        <v>2.76</v>
      </c>
      <c r="Z97" s="110">
        <v>0.5</v>
      </c>
      <c r="AA97" s="108">
        <v>2.1</v>
      </c>
      <c r="AB97" s="106">
        <v>9.1</v>
      </c>
      <c r="AC97" s="109">
        <v>4.3</v>
      </c>
      <c r="AD97" s="118">
        <v>1.38</v>
      </c>
      <c r="AE97" s="119">
        <v>1.92</v>
      </c>
      <c r="AF97" s="120">
        <v>1.02</v>
      </c>
      <c r="AG97" s="118">
        <v>0.86</v>
      </c>
      <c r="AH97" s="118">
        <v>0.69</v>
      </c>
      <c r="AI97" s="119">
        <v>1.77</v>
      </c>
      <c r="AJ97" s="120">
        <v>0.28999999999999998</v>
      </c>
      <c r="AK97" s="118">
        <v>1.93</v>
      </c>
      <c r="AL97" s="118">
        <v>0</v>
      </c>
      <c r="AM97" s="119">
        <v>2</v>
      </c>
      <c r="AN97" s="120">
        <v>0</v>
      </c>
      <c r="AO97" s="118">
        <v>1.37</v>
      </c>
      <c r="AP97" s="118">
        <v>1.52</v>
      </c>
      <c r="AQ97" s="119">
        <v>2.0299999999999998</v>
      </c>
      <c r="AR97" s="120">
        <v>0.82</v>
      </c>
      <c r="AS97" s="118">
        <v>1.03</v>
      </c>
      <c r="AT97" s="118">
        <v>0.69</v>
      </c>
      <c r="AU97" s="119">
        <v>1.44</v>
      </c>
      <c r="AV97" s="120">
        <v>0.61</v>
      </c>
      <c r="AW97" s="118">
        <v>2.15</v>
      </c>
      <c r="AX97" s="118">
        <v>0</v>
      </c>
      <c r="AY97" s="119">
        <v>2.76</v>
      </c>
      <c r="AZ97" s="122"/>
      <c r="BA97" s="124"/>
      <c r="BB97" s="124"/>
      <c r="BC97" s="192"/>
      <c r="BD97" s="121">
        <v>0.61</v>
      </c>
      <c r="BE97" s="120">
        <v>0.96</v>
      </c>
      <c r="BF97" s="118">
        <v>0</v>
      </c>
      <c r="BG97" s="118">
        <v>0.63</v>
      </c>
      <c r="BH97" s="119">
        <v>1.59</v>
      </c>
      <c r="BI97" s="120">
        <v>0.56000000000000005</v>
      </c>
      <c r="BJ97" s="118">
        <v>0.43</v>
      </c>
      <c r="BK97" s="118">
        <v>0.83</v>
      </c>
      <c r="BL97" s="119">
        <v>1.81</v>
      </c>
      <c r="BM97" s="120">
        <v>1.08</v>
      </c>
      <c r="BN97" s="118">
        <v>0.96</v>
      </c>
      <c r="BO97" s="118">
        <v>0.94</v>
      </c>
      <c r="BP97" s="118">
        <v>1.33</v>
      </c>
      <c r="BQ97" s="118">
        <v>0.69</v>
      </c>
      <c r="BR97" s="124"/>
      <c r="BS97" s="118">
        <v>3.16</v>
      </c>
      <c r="BT97" s="118">
        <v>1.2</v>
      </c>
      <c r="BU97" s="119">
        <v>1.06</v>
      </c>
      <c r="BV97" s="74">
        <v>1734190.0800000001</v>
      </c>
      <c r="BW97" s="106">
        <v>142.9</v>
      </c>
      <c r="BX97" s="118">
        <v>975.36</v>
      </c>
      <c r="BY97" s="157">
        <v>22</v>
      </c>
      <c r="BZ97" s="106">
        <v>20.399999999999999</v>
      </c>
      <c r="CA97" s="115">
        <v>4.4999999999999997E-3</v>
      </c>
      <c r="CB97" s="105">
        <v>391</v>
      </c>
      <c r="CC97" s="114">
        <v>4.8999999999999998E-3</v>
      </c>
      <c r="CD97" s="105">
        <v>438</v>
      </c>
      <c r="CE97" s="99">
        <f t="shared" si="5"/>
        <v>6.887697470286472E-3</v>
      </c>
      <c r="CF97" s="100">
        <f t="shared" si="3"/>
        <v>1.92</v>
      </c>
    </row>
    <row r="98" spans="1:84" hidden="1" x14ac:dyDescent="0.25">
      <c r="A98" s="101">
        <v>97</v>
      </c>
      <c r="B98" s="102"/>
      <c r="C98" s="103" t="s">
        <v>312</v>
      </c>
      <c r="D98" s="108">
        <v>1422.4</v>
      </c>
      <c r="E98" s="106">
        <v>1219.2</v>
      </c>
      <c r="F98" s="106">
        <f t="shared" si="4"/>
        <v>1734190.0800000001</v>
      </c>
      <c r="G98" s="106">
        <v>142.9</v>
      </c>
      <c r="H98" s="118">
        <v>975.36</v>
      </c>
      <c r="I98" s="107">
        <v>1.17</v>
      </c>
      <c r="J98" s="155">
        <v>24</v>
      </c>
      <c r="K98" s="156">
        <v>19.2</v>
      </c>
      <c r="L98" s="157">
        <v>22</v>
      </c>
      <c r="M98" s="158">
        <v>1.1200000000000001</v>
      </c>
      <c r="N98" s="106">
        <v>20.399999999999999</v>
      </c>
      <c r="O98" s="112" t="s">
        <v>210</v>
      </c>
      <c r="P98" s="113" t="s">
        <v>202</v>
      </c>
      <c r="Q98" s="123" t="s">
        <v>212</v>
      </c>
      <c r="R98" s="115">
        <v>4.4999999999999997E-3</v>
      </c>
      <c r="S98" s="115">
        <v>4.4999999999999997E-3</v>
      </c>
      <c r="T98" s="105">
        <v>391</v>
      </c>
      <c r="U98" s="113" t="s">
        <v>212</v>
      </c>
      <c r="V98" s="114">
        <v>2E-3</v>
      </c>
      <c r="W98" s="105">
        <v>438</v>
      </c>
      <c r="X98" s="113" t="s">
        <v>212</v>
      </c>
      <c r="Y98" s="160">
        <v>2.76</v>
      </c>
      <c r="Z98" s="110">
        <v>0.5</v>
      </c>
      <c r="AA98" s="108">
        <v>2.1</v>
      </c>
      <c r="AB98" s="106">
        <v>10.9</v>
      </c>
      <c r="AC98" s="109">
        <v>5.0999999999999996</v>
      </c>
      <c r="AD98" s="118">
        <v>1.76</v>
      </c>
      <c r="AE98" s="119">
        <v>2.35</v>
      </c>
      <c r="AF98" s="120">
        <v>1.02</v>
      </c>
      <c r="AG98" s="118">
        <v>0.35</v>
      </c>
      <c r="AH98" s="118">
        <v>0.69</v>
      </c>
      <c r="AI98" s="119">
        <v>1.77</v>
      </c>
      <c r="AJ98" s="120">
        <v>0.28999999999999998</v>
      </c>
      <c r="AK98" s="118">
        <v>0.79</v>
      </c>
      <c r="AL98" s="118">
        <v>0</v>
      </c>
      <c r="AM98" s="119">
        <v>1.08</v>
      </c>
      <c r="AN98" s="120">
        <v>0</v>
      </c>
      <c r="AO98" s="118">
        <v>0.56000000000000005</v>
      </c>
      <c r="AP98" s="118">
        <v>1.52</v>
      </c>
      <c r="AQ98" s="119">
        <v>2.0299999999999998</v>
      </c>
      <c r="AR98" s="120">
        <v>0.82</v>
      </c>
      <c r="AS98" s="118">
        <v>0.42</v>
      </c>
      <c r="AT98" s="118">
        <v>0.69</v>
      </c>
      <c r="AU98" s="119">
        <v>1.44</v>
      </c>
      <c r="AV98" s="120">
        <v>0.61</v>
      </c>
      <c r="AW98" s="118">
        <v>0.88</v>
      </c>
      <c r="AX98" s="118">
        <v>0</v>
      </c>
      <c r="AY98" s="119">
        <v>1.49</v>
      </c>
      <c r="AZ98" s="122"/>
      <c r="BA98" s="124"/>
      <c r="BB98" s="124"/>
      <c r="BC98" s="192"/>
      <c r="BD98" s="121">
        <v>0.61</v>
      </c>
      <c r="BE98" s="120">
        <v>0.96</v>
      </c>
      <c r="BF98" s="118">
        <v>0</v>
      </c>
      <c r="BG98" s="118">
        <v>0.63</v>
      </c>
      <c r="BH98" s="119">
        <v>1.59</v>
      </c>
      <c r="BI98" s="120">
        <v>0.56000000000000005</v>
      </c>
      <c r="BJ98" s="118">
        <v>0.2</v>
      </c>
      <c r="BK98" s="118">
        <v>0.83</v>
      </c>
      <c r="BL98" s="119">
        <v>1.59</v>
      </c>
      <c r="BM98" s="120">
        <v>1.33</v>
      </c>
      <c r="BN98" s="118">
        <v>2.1800000000000002</v>
      </c>
      <c r="BO98" s="118">
        <v>1.1599999999999999</v>
      </c>
      <c r="BP98" s="118">
        <v>1.63</v>
      </c>
      <c r="BQ98" s="118">
        <v>1.58</v>
      </c>
      <c r="BR98" s="124"/>
      <c r="BS98" s="118">
        <v>3.87</v>
      </c>
      <c r="BT98" s="118">
        <v>1.48</v>
      </c>
      <c r="BU98" s="119">
        <v>1.48</v>
      </c>
      <c r="BV98" s="74">
        <v>1734190.0800000001</v>
      </c>
      <c r="BW98" s="106">
        <v>142.9</v>
      </c>
      <c r="BX98" s="118">
        <v>975.36</v>
      </c>
      <c r="BY98" s="157">
        <v>22</v>
      </c>
      <c r="BZ98" s="106">
        <v>20.399999999999999</v>
      </c>
      <c r="CA98" s="115">
        <v>4.4999999999999997E-3</v>
      </c>
      <c r="CB98" s="105">
        <v>391</v>
      </c>
      <c r="CC98" s="114">
        <v>2E-3</v>
      </c>
      <c r="CD98" s="105">
        <v>438</v>
      </c>
      <c r="CE98" s="99">
        <f t="shared" si="5"/>
        <v>8.4948268800199827E-3</v>
      </c>
      <c r="CF98" s="100">
        <f t="shared" si="3"/>
        <v>2.35</v>
      </c>
    </row>
    <row r="99" spans="1:84" hidden="1" x14ac:dyDescent="0.25">
      <c r="A99" s="101">
        <v>98</v>
      </c>
      <c r="B99" s="102"/>
      <c r="C99" s="103" t="s">
        <v>313</v>
      </c>
      <c r="D99" s="108">
        <v>1422.4</v>
      </c>
      <c r="E99" s="106">
        <v>1219.2</v>
      </c>
      <c r="F99" s="106">
        <f t="shared" si="4"/>
        <v>1734190.0800000001</v>
      </c>
      <c r="G99" s="106">
        <v>142.9</v>
      </c>
      <c r="H99" s="118">
        <v>975.36</v>
      </c>
      <c r="I99" s="107">
        <v>1.17</v>
      </c>
      <c r="J99" s="155">
        <v>24</v>
      </c>
      <c r="K99" s="156">
        <v>19.2</v>
      </c>
      <c r="L99" s="157">
        <v>22</v>
      </c>
      <c r="M99" s="158">
        <v>1.1200000000000001</v>
      </c>
      <c r="N99" s="106">
        <v>20.399999999999999</v>
      </c>
      <c r="O99" s="112" t="s">
        <v>210</v>
      </c>
      <c r="P99" s="113" t="s">
        <v>202</v>
      </c>
      <c r="Q99" s="123" t="s">
        <v>212</v>
      </c>
      <c r="R99" s="115">
        <v>4.4999999999999997E-3</v>
      </c>
      <c r="S99" s="115">
        <v>4.4999999999999997E-3</v>
      </c>
      <c r="T99" s="105">
        <v>391</v>
      </c>
      <c r="U99" s="113" t="s">
        <v>212</v>
      </c>
      <c r="V99" s="114">
        <v>4.8999999999999998E-3</v>
      </c>
      <c r="W99" s="105">
        <v>438</v>
      </c>
      <c r="X99" s="113" t="s">
        <v>212</v>
      </c>
      <c r="Y99" s="160">
        <v>2.76</v>
      </c>
      <c r="Z99" s="110">
        <v>0.5</v>
      </c>
      <c r="AA99" s="108">
        <v>2.4</v>
      </c>
      <c r="AB99" s="106">
        <v>8.8000000000000007</v>
      </c>
      <c r="AC99" s="109">
        <v>3.6</v>
      </c>
      <c r="AD99" s="118">
        <v>1.96</v>
      </c>
      <c r="AE99" s="119">
        <v>2.4</v>
      </c>
      <c r="AF99" s="120">
        <v>1.02</v>
      </c>
      <c r="AG99" s="118">
        <v>0.86</v>
      </c>
      <c r="AH99" s="118">
        <v>0.69</v>
      </c>
      <c r="AI99" s="119">
        <v>1.77</v>
      </c>
      <c r="AJ99" s="120">
        <v>0.28999999999999998</v>
      </c>
      <c r="AK99" s="118">
        <v>1.93</v>
      </c>
      <c r="AL99" s="118">
        <v>0</v>
      </c>
      <c r="AM99" s="119">
        <v>2</v>
      </c>
      <c r="AN99" s="120">
        <v>0.14000000000000001</v>
      </c>
      <c r="AO99" s="118">
        <v>1.37</v>
      </c>
      <c r="AP99" s="118">
        <v>1.52</v>
      </c>
      <c r="AQ99" s="119">
        <v>2.0299999999999998</v>
      </c>
      <c r="AR99" s="120">
        <v>0.82</v>
      </c>
      <c r="AS99" s="118">
        <v>1.03</v>
      </c>
      <c r="AT99" s="118">
        <v>0.69</v>
      </c>
      <c r="AU99" s="119">
        <v>1.44</v>
      </c>
      <c r="AV99" s="120">
        <v>0.61</v>
      </c>
      <c r="AW99" s="118">
        <v>2.15</v>
      </c>
      <c r="AX99" s="118">
        <v>0</v>
      </c>
      <c r="AY99" s="119">
        <v>2.76</v>
      </c>
      <c r="AZ99" s="122"/>
      <c r="BA99" s="124"/>
      <c r="BB99" s="124"/>
      <c r="BC99" s="192"/>
      <c r="BD99" s="121">
        <v>0.61</v>
      </c>
      <c r="BE99" s="120">
        <v>0.96</v>
      </c>
      <c r="BF99" s="118">
        <v>0</v>
      </c>
      <c r="BG99" s="118">
        <v>0.63</v>
      </c>
      <c r="BH99" s="119">
        <v>1.59</v>
      </c>
      <c r="BI99" s="120">
        <v>0.56000000000000005</v>
      </c>
      <c r="BJ99" s="118">
        <v>0.43</v>
      </c>
      <c r="BK99" s="118">
        <v>0.83</v>
      </c>
      <c r="BL99" s="119">
        <v>1.81</v>
      </c>
      <c r="BM99" s="120">
        <v>1.36</v>
      </c>
      <c r="BN99" s="118">
        <v>1.2</v>
      </c>
      <c r="BO99" s="118">
        <v>1.18</v>
      </c>
      <c r="BP99" s="118">
        <v>1.66</v>
      </c>
      <c r="BQ99" s="118">
        <v>0.87</v>
      </c>
      <c r="BR99" s="124"/>
      <c r="BS99" s="118">
        <v>3.95</v>
      </c>
      <c r="BT99" s="118">
        <v>1.51</v>
      </c>
      <c r="BU99" s="119">
        <v>1.32</v>
      </c>
      <c r="BV99" s="74">
        <v>1734190.0800000001</v>
      </c>
      <c r="BW99" s="106">
        <v>142.9</v>
      </c>
      <c r="BX99" s="118">
        <v>975.36</v>
      </c>
      <c r="BY99" s="157">
        <v>22</v>
      </c>
      <c r="BZ99" s="106">
        <v>20.399999999999999</v>
      </c>
      <c r="CA99" s="115">
        <v>4.4999999999999997E-3</v>
      </c>
      <c r="CB99" s="105">
        <v>391</v>
      </c>
      <c r="CC99" s="114">
        <v>4.8999999999999998E-3</v>
      </c>
      <c r="CD99" s="105">
        <v>438</v>
      </c>
      <c r="CE99" s="99">
        <f t="shared" si="5"/>
        <v>8.6670193167771442E-3</v>
      </c>
      <c r="CF99" s="100">
        <f t="shared" si="3"/>
        <v>2.4</v>
      </c>
    </row>
    <row r="100" spans="1:84" hidden="1" x14ac:dyDescent="0.25">
      <c r="A100" s="101">
        <v>99</v>
      </c>
      <c r="B100" s="102"/>
      <c r="C100" s="103" t="s">
        <v>314</v>
      </c>
      <c r="D100" s="108">
        <v>1422.4</v>
      </c>
      <c r="E100" s="106">
        <v>1219.2</v>
      </c>
      <c r="F100" s="106">
        <f t="shared" si="4"/>
        <v>1734190.0800000001</v>
      </c>
      <c r="G100" s="106">
        <v>142.9</v>
      </c>
      <c r="H100" s="118">
        <v>975.36</v>
      </c>
      <c r="I100" s="107">
        <v>1.17</v>
      </c>
      <c r="J100" s="155">
        <v>24</v>
      </c>
      <c r="K100" s="156">
        <v>19.2</v>
      </c>
      <c r="L100" s="157">
        <v>22</v>
      </c>
      <c r="M100" s="158">
        <v>1.1200000000000001</v>
      </c>
      <c r="N100" s="106">
        <v>20.399999999999999</v>
      </c>
      <c r="O100" s="112" t="s">
        <v>210</v>
      </c>
      <c r="P100" s="113" t="s">
        <v>202</v>
      </c>
      <c r="Q100" s="123" t="s">
        <v>212</v>
      </c>
      <c r="R100" s="115">
        <v>4.4000000000000003E-3</v>
      </c>
      <c r="S100" s="115">
        <v>4.4000000000000003E-3</v>
      </c>
      <c r="T100" s="105">
        <v>391</v>
      </c>
      <c r="U100" s="113" t="s">
        <v>212</v>
      </c>
      <c r="V100" s="114">
        <v>2E-3</v>
      </c>
      <c r="W100" s="105">
        <v>438</v>
      </c>
      <c r="X100" s="113" t="s">
        <v>212</v>
      </c>
      <c r="Y100" s="160">
        <v>2.76</v>
      </c>
      <c r="Z100" s="110">
        <v>0.5</v>
      </c>
      <c r="AA100" s="108">
        <v>2.2999999999999998</v>
      </c>
      <c r="AB100" s="106">
        <v>11.9</v>
      </c>
      <c r="AC100" s="109">
        <v>5.0999999999999996</v>
      </c>
      <c r="AD100" s="118">
        <v>1.47</v>
      </c>
      <c r="AE100" s="119">
        <v>2.0299999999999998</v>
      </c>
      <c r="AF100" s="120">
        <v>1.02</v>
      </c>
      <c r="AG100" s="118">
        <v>0.35</v>
      </c>
      <c r="AH100" s="118">
        <v>0.69</v>
      </c>
      <c r="AI100" s="119">
        <v>1.77</v>
      </c>
      <c r="AJ100" s="120">
        <v>0.28999999999999998</v>
      </c>
      <c r="AK100" s="118">
        <v>0.79</v>
      </c>
      <c r="AL100" s="118">
        <v>0</v>
      </c>
      <c r="AM100" s="119">
        <v>1.08</v>
      </c>
      <c r="AN100" s="120">
        <v>0</v>
      </c>
      <c r="AO100" s="118">
        <v>0.56000000000000005</v>
      </c>
      <c r="AP100" s="118">
        <v>1.52</v>
      </c>
      <c r="AQ100" s="119">
        <v>2.0299999999999998</v>
      </c>
      <c r="AR100" s="120">
        <v>0.82</v>
      </c>
      <c r="AS100" s="118">
        <v>0.42</v>
      </c>
      <c r="AT100" s="118">
        <v>0.69</v>
      </c>
      <c r="AU100" s="119">
        <v>1.44</v>
      </c>
      <c r="AV100" s="120">
        <v>0.61</v>
      </c>
      <c r="AW100" s="118">
        <v>0.88</v>
      </c>
      <c r="AX100" s="118">
        <v>0</v>
      </c>
      <c r="AY100" s="119">
        <v>1.49</v>
      </c>
      <c r="AZ100" s="122"/>
      <c r="BA100" s="124"/>
      <c r="BB100" s="124"/>
      <c r="BC100" s="192"/>
      <c r="BD100" s="121">
        <v>0.61</v>
      </c>
      <c r="BE100" s="120">
        <v>0.96</v>
      </c>
      <c r="BF100" s="118">
        <v>0</v>
      </c>
      <c r="BG100" s="118">
        <v>0.63</v>
      </c>
      <c r="BH100" s="119">
        <v>1.59</v>
      </c>
      <c r="BI100" s="120">
        <v>0.56000000000000005</v>
      </c>
      <c r="BJ100" s="118">
        <v>0.2</v>
      </c>
      <c r="BK100" s="118">
        <v>0.83</v>
      </c>
      <c r="BL100" s="119">
        <v>1.59</v>
      </c>
      <c r="BM100" s="120">
        <v>1.1499999999999999</v>
      </c>
      <c r="BN100" s="118">
        <v>1.89</v>
      </c>
      <c r="BO100" s="118">
        <v>1</v>
      </c>
      <c r="BP100" s="118">
        <v>1.41</v>
      </c>
      <c r="BQ100" s="118">
        <v>1.37</v>
      </c>
      <c r="BR100" s="124"/>
      <c r="BS100" s="118">
        <v>3.35</v>
      </c>
      <c r="BT100" s="118">
        <v>1.28</v>
      </c>
      <c r="BU100" s="119">
        <v>1.28</v>
      </c>
      <c r="BV100" s="74">
        <v>1734190.0800000001</v>
      </c>
      <c r="BW100" s="106">
        <v>142.9</v>
      </c>
      <c r="BX100" s="118">
        <v>975.36</v>
      </c>
      <c r="BY100" s="157">
        <v>22</v>
      </c>
      <c r="BZ100" s="106">
        <v>20.399999999999999</v>
      </c>
      <c r="CA100" s="115">
        <v>4.4000000000000003E-3</v>
      </c>
      <c r="CB100" s="105">
        <v>391</v>
      </c>
      <c r="CC100" s="114">
        <v>2E-3</v>
      </c>
      <c r="CD100" s="105">
        <v>438</v>
      </c>
      <c r="CE100" s="99">
        <f t="shared" si="5"/>
        <v>7.3468773016389039E-3</v>
      </c>
      <c r="CF100" s="100">
        <f t="shared" si="3"/>
        <v>2.0299999999999998</v>
      </c>
    </row>
    <row r="101" spans="1:84" hidden="1" x14ac:dyDescent="0.25">
      <c r="A101" s="101">
        <v>100</v>
      </c>
      <c r="B101" s="102"/>
      <c r="C101" s="103" t="s">
        <v>315</v>
      </c>
      <c r="D101" s="108">
        <v>1422.4</v>
      </c>
      <c r="E101" s="106">
        <v>1219.2</v>
      </c>
      <c r="F101" s="106">
        <f t="shared" si="4"/>
        <v>1734190.0800000001</v>
      </c>
      <c r="G101" s="106">
        <v>142.9</v>
      </c>
      <c r="H101" s="118">
        <v>975.36</v>
      </c>
      <c r="I101" s="107">
        <v>1.17</v>
      </c>
      <c r="J101" s="155">
        <v>24</v>
      </c>
      <c r="K101" s="156">
        <v>19.2</v>
      </c>
      <c r="L101" s="157">
        <v>22</v>
      </c>
      <c r="M101" s="158">
        <v>1.1200000000000001</v>
      </c>
      <c r="N101" s="106">
        <v>20.399999999999999</v>
      </c>
      <c r="O101" s="112" t="s">
        <v>210</v>
      </c>
      <c r="P101" s="113" t="s">
        <v>202</v>
      </c>
      <c r="Q101" s="123" t="s">
        <v>212</v>
      </c>
      <c r="R101" s="115">
        <v>4.4000000000000003E-3</v>
      </c>
      <c r="S101" s="115">
        <v>4.4000000000000003E-3</v>
      </c>
      <c r="T101" s="105">
        <v>391</v>
      </c>
      <c r="U101" s="113" t="s">
        <v>212</v>
      </c>
      <c r="V101" s="114">
        <v>4.8999999999999998E-3</v>
      </c>
      <c r="W101" s="105">
        <v>438</v>
      </c>
      <c r="X101" s="113" t="s">
        <v>212</v>
      </c>
      <c r="Y101" s="160">
        <v>2.76</v>
      </c>
      <c r="Z101" s="110">
        <v>0.5</v>
      </c>
      <c r="AA101" s="108">
        <v>1.7</v>
      </c>
      <c r="AB101" s="106">
        <v>9.6</v>
      </c>
      <c r="AC101" s="109">
        <v>5.7</v>
      </c>
      <c r="AD101" s="118">
        <v>1.47</v>
      </c>
      <c r="AE101" s="119">
        <v>2.2000000000000002</v>
      </c>
      <c r="AF101" s="120">
        <v>1.02</v>
      </c>
      <c r="AG101" s="118">
        <v>0.86</v>
      </c>
      <c r="AH101" s="118">
        <v>0.69</v>
      </c>
      <c r="AI101" s="119">
        <v>1.77</v>
      </c>
      <c r="AJ101" s="120">
        <v>0.28999999999999998</v>
      </c>
      <c r="AK101" s="118">
        <v>1.93</v>
      </c>
      <c r="AL101" s="118">
        <v>0</v>
      </c>
      <c r="AM101" s="119">
        <v>2</v>
      </c>
      <c r="AN101" s="120">
        <v>0</v>
      </c>
      <c r="AO101" s="118">
        <v>1.37</v>
      </c>
      <c r="AP101" s="118">
        <v>1.52</v>
      </c>
      <c r="AQ101" s="119">
        <v>2.0299999999999998</v>
      </c>
      <c r="AR101" s="120">
        <v>0.82</v>
      </c>
      <c r="AS101" s="118">
        <v>1.03</v>
      </c>
      <c r="AT101" s="118">
        <v>0.69</v>
      </c>
      <c r="AU101" s="119">
        <v>1.44</v>
      </c>
      <c r="AV101" s="120">
        <v>0.61</v>
      </c>
      <c r="AW101" s="118">
        <v>2.15</v>
      </c>
      <c r="AX101" s="118">
        <v>0</v>
      </c>
      <c r="AY101" s="119">
        <v>2.76</v>
      </c>
      <c r="AZ101" s="122"/>
      <c r="BA101" s="124"/>
      <c r="BB101" s="124"/>
      <c r="BC101" s="192"/>
      <c r="BD101" s="121">
        <v>0.61</v>
      </c>
      <c r="BE101" s="120">
        <v>0.96</v>
      </c>
      <c r="BF101" s="118">
        <v>0</v>
      </c>
      <c r="BG101" s="118">
        <v>0.63</v>
      </c>
      <c r="BH101" s="119">
        <v>1.59</v>
      </c>
      <c r="BI101" s="120">
        <v>0.56000000000000005</v>
      </c>
      <c r="BJ101" s="118">
        <v>0.43</v>
      </c>
      <c r="BK101" s="118">
        <v>0.83</v>
      </c>
      <c r="BL101" s="119">
        <v>1.81</v>
      </c>
      <c r="BM101" s="120">
        <v>1.25</v>
      </c>
      <c r="BN101" s="118">
        <v>1.1000000000000001</v>
      </c>
      <c r="BO101" s="118">
        <v>1.0900000000000001</v>
      </c>
      <c r="BP101" s="118">
        <v>1.53</v>
      </c>
      <c r="BQ101" s="118">
        <v>0.8</v>
      </c>
      <c r="BR101" s="124"/>
      <c r="BS101" s="118">
        <v>3.63</v>
      </c>
      <c r="BT101" s="118">
        <v>1.39</v>
      </c>
      <c r="BU101" s="119">
        <v>1.22</v>
      </c>
      <c r="BV101" s="74">
        <v>1734190.0800000001</v>
      </c>
      <c r="BW101" s="106">
        <v>142.9</v>
      </c>
      <c r="BX101" s="118">
        <v>975.36</v>
      </c>
      <c r="BY101" s="157">
        <v>22</v>
      </c>
      <c r="BZ101" s="106">
        <v>20.399999999999999</v>
      </c>
      <c r="CA101" s="115">
        <v>4.4000000000000003E-3</v>
      </c>
      <c r="CB101" s="105">
        <v>391</v>
      </c>
      <c r="CC101" s="114">
        <v>4.8999999999999998E-3</v>
      </c>
      <c r="CD101" s="105">
        <v>438</v>
      </c>
      <c r="CE101" s="99">
        <f t="shared" si="5"/>
        <v>7.9782495697484964E-3</v>
      </c>
      <c r="CF101" s="100">
        <f t="shared" si="3"/>
        <v>2.2000000000000002</v>
      </c>
    </row>
    <row r="102" spans="1:84" hidden="1" x14ac:dyDescent="0.25">
      <c r="A102" s="101">
        <v>101</v>
      </c>
      <c r="B102" s="102"/>
      <c r="C102" s="103" t="s">
        <v>316</v>
      </c>
      <c r="D102" s="108">
        <v>1422.4</v>
      </c>
      <c r="E102" s="106">
        <v>1219.2</v>
      </c>
      <c r="F102" s="106">
        <f t="shared" si="4"/>
        <v>1734190.0800000001</v>
      </c>
      <c r="G102" s="106">
        <v>142.9</v>
      </c>
      <c r="H102" s="118">
        <v>975.36</v>
      </c>
      <c r="I102" s="107">
        <v>1.17</v>
      </c>
      <c r="J102" s="155">
        <v>24</v>
      </c>
      <c r="K102" s="156">
        <v>19.2</v>
      </c>
      <c r="L102" s="157">
        <v>22</v>
      </c>
      <c r="M102" s="158">
        <v>1.1200000000000001</v>
      </c>
      <c r="N102" s="106">
        <v>20.399999999999999</v>
      </c>
      <c r="O102" s="112" t="s">
        <v>210</v>
      </c>
      <c r="P102" s="113" t="s">
        <v>202</v>
      </c>
      <c r="Q102" s="123" t="s">
        <v>212</v>
      </c>
      <c r="R102" s="115">
        <v>4.4999999999999997E-3</v>
      </c>
      <c r="S102" s="115">
        <v>4.4999999999999997E-3</v>
      </c>
      <c r="T102" s="105">
        <v>391</v>
      </c>
      <c r="U102" s="113" t="s">
        <v>212</v>
      </c>
      <c r="V102" s="114">
        <v>2E-3</v>
      </c>
      <c r="W102" s="105">
        <v>438</v>
      </c>
      <c r="X102" s="113" t="s">
        <v>212</v>
      </c>
      <c r="Y102" s="160">
        <v>2.76</v>
      </c>
      <c r="Z102" s="110">
        <v>0.5</v>
      </c>
      <c r="AA102" s="108">
        <v>3.3</v>
      </c>
      <c r="AB102" s="106">
        <v>15.5</v>
      </c>
      <c r="AC102" s="109">
        <v>4.7</v>
      </c>
      <c r="AD102" s="118">
        <v>1.95</v>
      </c>
      <c r="AE102" s="119">
        <v>2.1800000000000002</v>
      </c>
      <c r="AF102" s="120">
        <v>1.02</v>
      </c>
      <c r="AG102" s="118">
        <v>0.35</v>
      </c>
      <c r="AH102" s="118">
        <v>0.69</v>
      </c>
      <c r="AI102" s="119">
        <v>1.77</v>
      </c>
      <c r="AJ102" s="120">
        <v>0.28999999999999998</v>
      </c>
      <c r="AK102" s="118">
        <v>0.79</v>
      </c>
      <c r="AL102" s="118">
        <v>0</v>
      </c>
      <c r="AM102" s="119">
        <v>1.08</v>
      </c>
      <c r="AN102" s="120">
        <v>0</v>
      </c>
      <c r="AO102" s="118">
        <v>0.56000000000000005</v>
      </c>
      <c r="AP102" s="118">
        <v>1.52</v>
      </c>
      <c r="AQ102" s="119">
        <v>2.0299999999999998</v>
      </c>
      <c r="AR102" s="120">
        <v>0.82</v>
      </c>
      <c r="AS102" s="118">
        <v>0.42</v>
      </c>
      <c r="AT102" s="118">
        <v>0.69</v>
      </c>
      <c r="AU102" s="119">
        <v>1.44</v>
      </c>
      <c r="AV102" s="120">
        <v>0.61</v>
      </c>
      <c r="AW102" s="118">
        <v>0.88</v>
      </c>
      <c r="AX102" s="118">
        <v>0</v>
      </c>
      <c r="AY102" s="119">
        <v>1.49</v>
      </c>
      <c r="AZ102" s="122"/>
      <c r="BA102" s="124"/>
      <c r="BB102" s="124"/>
      <c r="BC102" s="192"/>
      <c r="BD102" s="121">
        <v>0.61</v>
      </c>
      <c r="BE102" s="120">
        <v>0.96</v>
      </c>
      <c r="BF102" s="118">
        <v>0</v>
      </c>
      <c r="BG102" s="118">
        <v>0.63</v>
      </c>
      <c r="BH102" s="119">
        <v>1.59</v>
      </c>
      <c r="BI102" s="120">
        <v>0.56000000000000005</v>
      </c>
      <c r="BJ102" s="118">
        <v>0.2</v>
      </c>
      <c r="BK102" s="118">
        <v>0.83</v>
      </c>
      <c r="BL102" s="119">
        <v>1.59</v>
      </c>
      <c r="BM102" s="120">
        <v>1.23</v>
      </c>
      <c r="BN102" s="118">
        <v>2.02</v>
      </c>
      <c r="BO102" s="118">
        <v>1.07</v>
      </c>
      <c r="BP102" s="118">
        <v>1.51</v>
      </c>
      <c r="BQ102" s="118">
        <v>1.46</v>
      </c>
      <c r="BR102" s="124"/>
      <c r="BS102" s="118">
        <v>3.59</v>
      </c>
      <c r="BT102" s="118">
        <v>1.37</v>
      </c>
      <c r="BU102" s="119">
        <v>1.37</v>
      </c>
      <c r="BV102" s="74">
        <v>1734190.0800000001</v>
      </c>
      <c r="BW102" s="106">
        <v>142.9</v>
      </c>
      <c r="BX102" s="118">
        <v>975.36</v>
      </c>
      <c r="BY102" s="157">
        <v>22</v>
      </c>
      <c r="BZ102" s="106">
        <v>20.399999999999999</v>
      </c>
      <c r="CA102" s="115">
        <v>4.4999999999999997E-3</v>
      </c>
      <c r="CB102" s="105">
        <v>391</v>
      </c>
      <c r="CC102" s="114">
        <v>2E-3</v>
      </c>
      <c r="CD102" s="105">
        <v>438</v>
      </c>
      <c r="CE102" s="99">
        <f t="shared" si="5"/>
        <v>7.8634546119103893E-3</v>
      </c>
      <c r="CF102" s="100">
        <f t="shared" si="3"/>
        <v>2.1800000000000002</v>
      </c>
    </row>
    <row r="103" spans="1:84" hidden="1" x14ac:dyDescent="0.25">
      <c r="A103" s="101">
        <v>102</v>
      </c>
      <c r="B103" s="102"/>
      <c r="C103" s="103" t="s">
        <v>317</v>
      </c>
      <c r="D103" s="108">
        <v>1422.4</v>
      </c>
      <c r="E103" s="106">
        <v>1219.2</v>
      </c>
      <c r="F103" s="106">
        <f t="shared" si="4"/>
        <v>1734190.0800000001</v>
      </c>
      <c r="G103" s="106">
        <v>142.9</v>
      </c>
      <c r="H103" s="118">
        <v>975.36</v>
      </c>
      <c r="I103" s="107">
        <v>1.17</v>
      </c>
      <c r="J103" s="155">
        <v>24</v>
      </c>
      <c r="K103" s="156">
        <v>19.2</v>
      </c>
      <c r="L103" s="157">
        <v>22</v>
      </c>
      <c r="M103" s="158">
        <v>1.1200000000000001</v>
      </c>
      <c r="N103" s="106">
        <v>20.399999999999999</v>
      </c>
      <c r="O103" s="112" t="s">
        <v>210</v>
      </c>
      <c r="P103" s="113" t="s">
        <v>202</v>
      </c>
      <c r="Q103" s="123" t="s">
        <v>212</v>
      </c>
      <c r="R103" s="115">
        <v>4.4999999999999997E-3</v>
      </c>
      <c r="S103" s="115">
        <v>4.4999999999999997E-3</v>
      </c>
      <c r="T103" s="105">
        <v>391</v>
      </c>
      <c r="U103" s="113" t="s">
        <v>212</v>
      </c>
      <c r="V103" s="114">
        <v>4.8999999999999998E-3</v>
      </c>
      <c r="W103" s="105">
        <v>438</v>
      </c>
      <c r="X103" s="113" t="s">
        <v>212</v>
      </c>
      <c r="Y103" s="160">
        <v>2.76</v>
      </c>
      <c r="Z103" s="110">
        <v>0.5</v>
      </c>
      <c r="AA103" s="108">
        <v>2.4</v>
      </c>
      <c r="AB103" s="106">
        <v>9.6</v>
      </c>
      <c r="AC103" s="109">
        <v>4.0999999999999996</v>
      </c>
      <c r="AD103" s="118">
        <v>1.75</v>
      </c>
      <c r="AE103" s="119">
        <v>2.14</v>
      </c>
      <c r="AF103" s="120">
        <v>1.02</v>
      </c>
      <c r="AG103" s="118">
        <v>0.86</v>
      </c>
      <c r="AH103" s="118">
        <v>0.69</v>
      </c>
      <c r="AI103" s="119">
        <v>1.77</v>
      </c>
      <c r="AJ103" s="120">
        <v>0.28999999999999998</v>
      </c>
      <c r="AK103" s="118">
        <v>1.93</v>
      </c>
      <c r="AL103" s="118">
        <v>0</v>
      </c>
      <c r="AM103" s="119">
        <v>2</v>
      </c>
      <c r="AN103" s="120">
        <v>0</v>
      </c>
      <c r="AO103" s="118">
        <v>1.37</v>
      </c>
      <c r="AP103" s="118">
        <v>1.52</v>
      </c>
      <c r="AQ103" s="119">
        <v>2.0299999999999998</v>
      </c>
      <c r="AR103" s="120">
        <v>0.82</v>
      </c>
      <c r="AS103" s="118">
        <v>1.03</v>
      </c>
      <c r="AT103" s="118">
        <v>0.69</v>
      </c>
      <c r="AU103" s="119">
        <v>1.44</v>
      </c>
      <c r="AV103" s="120">
        <v>0.61</v>
      </c>
      <c r="AW103" s="118">
        <v>2.15</v>
      </c>
      <c r="AX103" s="118">
        <v>0</v>
      </c>
      <c r="AY103" s="119">
        <v>2.76</v>
      </c>
      <c r="AZ103" s="122"/>
      <c r="BA103" s="124"/>
      <c r="BB103" s="124"/>
      <c r="BC103" s="192"/>
      <c r="BD103" s="121">
        <v>0.61</v>
      </c>
      <c r="BE103" s="120">
        <v>0.96</v>
      </c>
      <c r="BF103" s="118">
        <v>0</v>
      </c>
      <c r="BG103" s="118">
        <v>0.63</v>
      </c>
      <c r="BH103" s="119">
        <v>1.59</v>
      </c>
      <c r="BI103" s="120">
        <v>0.56000000000000005</v>
      </c>
      <c r="BJ103" s="118">
        <v>0.43</v>
      </c>
      <c r="BK103" s="118">
        <v>0.83</v>
      </c>
      <c r="BL103" s="119">
        <v>1.81</v>
      </c>
      <c r="BM103" s="120">
        <v>1.21</v>
      </c>
      <c r="BN103" s="118">
        <v>1.07</v>
      </c>
      <c r="BO103" s="118">
        <v>1.06</v>
      </c>
      <c r="BP103" s="118">
        <v>1.48</v>
      </c>
      <c r="BQ103" s="118">
        <v>0.78</v>
      </c>
      <c r="BR103" s="124"/>
      <c r="BS103" s="118">
        <v>3.53</v>
      </c>
      <c r="BT103" s="118">
        <v>1.35</v>
      </c>
      <c r="BU103" s="119">
        <v>1.18</v>
      </c>
      <c r="BV103" s="74">
        <v>1734190.0800000001</v>
      </c>
      <c r="BW103" s="106">
        <v>142.9</v>
      </c>
      <c r="BX103" s="118">
        <v>975.36</v>
      </c>
      <c r="BY103" s="157">
        <v>22</v>
      </c>
      <c r="BZ103" s="106">
        <v>20.399999999999999</v>
      </c>
      <c r="CA103" s="115">
        <v>4.4999999999999997E-3</v>
      </c>
      <c r="CB103" s="105">
        <v>391</v>
      </c>
      <c r="CC103" s="114">
        <v>4.8999999999999998E-3</v>
      </c>
      <c r="CD103" s="105">
        <v>438</v>
      </c>
      <c r="CE103" s="99">
        <f t="shared" si="5"/>
        <v>7.7486596540722813E-3</v>
      </c>
      <c r="CF103" s="100">
        <f t="shared" si="3"/>
        <v>2.14</v>
      </c>
    </row>
    <row r="104" spans="1:84" hidden="1" x14ac:dyDescent="0.25">
      <c r="A104" s="101">
        <v>103</v>
      </c>
      <c r="B104" s="102"/>
      <c r="C104" s="103" t="s">
        <v>318</v>
      </c>
      <c r="D104" s="108">
        <v>1422.4</v>
      </c>
      <c r="E104" s="106">
        <v>1219.2</v>
      </c>
      <c r="F104" s="106">
        <f t="shared" si="4"/>
        <v>1734190.0800000001</v>
      </c>
      <c r="G104" s="106">
        <v>142.9</v>
      </c>
      <c r="H104" s="118">
        <v>975.36</v>
      </c>
      <c r="I104" s="107">
        <v>1.17</v>
      </c>
      <c r="J104" s="155">
        <v>24</v>
      </c>
      <c r="K104" s="156">
        <v>19.2</v>
      </c>
      <c r="L104" s="157">
        <v>22</v>
      </c>
      <c r="M104" s="158">
        <v>1.1200000000000001</v>
      </c>
      <c r="N104" s="106">
        <v>20.399999999999999</v>
      </c>
      <c r="O104" s="112" t="s">
        <v>210</v>
      </c>
      <c r="P104" s="113" t="s">
        <v>202</v>
      </c>
      <c r="Q104" s="123" t="s">
        <v>212</v>
      </c>
      <c r="R104" s="115">
        <v>4.4999999999999997E-3</v>
      </c>
      <c r="S104" s="115">
        <v>4.4999999999999997E-3</v>
      </c>
      <c r="T104" s="105">
        <v>391</v>
      </c>
      <c r="U104" s="113" t="s">
        <v>212</v>
      </c>
      <c r="V104" s="114">
        <v>2.5000000000000001E-3</v>
      </c>
      <c r="W104" s="105">
        <v>438</v>
      </c>
      <c r="X104" s="113" t="s">
        <v>212</v>
      </c>
      <c r="Y104" s="160">
        <v>2.76</v>
      </c>
      <c r="Z104" s="110">
        <v>0.5</v>
      </c>
      <c r="AA104" s="108">
        <v>2</v>
      </c>
      <c r="AB104" s="106">
        <v>10.5</v>
      </c>
      <c r="AC104" s="109">
        <v>5.2</v>
      </c>
      <c r="AD104" s="118">
        <v>1.65</v>
      </c>
      <c r="AE104" s="119">
        <v>2.25</v>
      </c>
      <c r="AF104" s="120">
        <v>1.02</v>
      </c>
      <c r="AG104" s="118">
        <v>0.44</v>
      </c>
      <c r="AH104" s="118">
        <v>0.69</v>
      </c>
      <c r="AI104" s="119">
        <v>1.77</v>
      </c>
      <c r="AJ104" s="120">
        <v>0.28999999999999998</v>
      </c>
      <c r="AK104" s="118">
        <v>0.99</v>
      </c>
      <c r="AL104" s="118">
        <v>0</v>
      </c>
      <c r="AM104" s="119">
        <v>1.28</v>
      </c>
      <c r="AN104" s="120">
        <v>0</v>
      </c>
      <c r="AO104" s="118">
        <v>0.7</v>
      </c>
      <c r="AP104" s="118">
        <v>1.52</v>
      </c>
      <c r="AQ104" s="119">
        <v>2.0299999999999998</v>
      </c>
      <c r="AR104" s="120">
        <v>0.82</v>
      </c>
      <c r="AS104" s="118">
        <v>0.53</v>
      </c>
      <c r="AT104" s="118">
        <v>0.69</v>
      </c>
      <c r="AU104" s="119">
        <v>1.44</v>
      </c>
      <c r="AV104" s="120">
        <v>0.61</v>
      </c>
      <c r="AW104" s="118">
        <v>1.1000000000000001</v>
      </c>
      <c r="AX104" s="118">
        <v>0</v>
      </c>
      <c r="AY104" s="119">
        <v>1.71</v>
      </c>
      <c r="AZ104" s="122"/>
      <c r="BA104" s="124"/>
      <c r="BB104" s="124"/>
      <c r="BC104" s="192"/>
      <c r="BD104" s="121">
        <v>0.61</v>
      </c>
      <c r="BE104" s="120">
        <v>0.96</v>
      </c>
      <c r="BF104" s="118">
        <v>0</v>
      </c>
      <c r="BG104" s="118">
        <v>0.63</v>
      </c>
      <c r="BH104" s="119">
        <v>1.59</v>
      </c>
      <c r="BI104" s="120">
        <v>0.56000000000000005</v>
      </c>
      <c r="BJ104" s="118">
        <v>0.22</v>
      </c>
      <c r="BK104" s="118">
        <v>0.83</v>
      </c>
      <c r="BL104" s="119">
        <v>1.6</v>
      </c>
      <c r="BM104" s="120">
        <v>1.27</v>
      </c>
      <c r="BN104" s="118">
        <v>1.77</v>
      </c>
      <c r="BO104" s="118">
        <v>1.1100000000000001</v>
      </c>
      <c r="BP104" s="118">
        <v>1.56</v>
      </c>
      <c r="BQ104" s="118">
        <v>1.32</v>
      </c>
      <c r="BR104" s="124"/>
      <c r="BS104" s="118">
        <v>3.71</v>
      </c>
      <c r="BT104" s="118">
        <v>1.42</v>
      </c>
      <c r="BU104" s="119">
        <v>1.41</v>
      </c>
      <c r="BV104" s="74">
        <v>1734190.0800000001</v>
      </c>
      <c r="BW104" s="106">
        <v>142.9</v>
      </c>
      <c r="BX104" s="118">
        <v>975.36</v>
      </c>
      <c r="BY104" s="157">
        <v>22</v>
      </c>
      <c r="BZ104" s="106">
        <v>20.399999999999999</v>
      </c>
      <c r="CA104" s="115">
        <v>4.4999999999999997E-3</v>
      </c>
      <c r="CB104" s="105">
        <v>391</v>
      </c>
      <c r="CC104" s="114">
        <v>2.5000000000000001E-3</v>
      </c>
      <c r="CD104" s="105">
        <v>438</v>
      </c>
      <c r="CE104" s="99">
        <f t="shared" si="5"/>
        <v>8.1504420065056597E-3</v>
      </c>
      <c r="CF104" s="100">
        <f t="shared" si="3"/>
        <v>2.25</v>
      </c>
    </row>
    <row r="105" spans="1:84" hidden="1" x14ac:dyDescent="0.25">
      <c r="A105" s="128">
        <v>104</v>
      </c>
      <c r="B105" s="129"/>
      <c r="C105" s="130" t="s">
        <v>319</v>
      </c>
      <c r="D105" s="135">
        <v>1422.4</v>
      </c>
      <c r="E105" s="133">
        <v>1219.2</v>
      </c>
      <c r="F105" s="133">
        <f t="shared" si="4"/>
        <v>1734190.0800000001</v>
      </c>
      <c r="G105" s="133">
        <v>142.9</v>
      </c>
      <c r="H105" s="145">
        <v>975.36</v>
      </c>
      <c r="I105" s="134">
        <v>1.17</v>
      </c>
      <c r="J105" s="164">
        <v>24</v>
      </c>
      <c r="K105" s="156">
        <v>19.2</v>
      </c>
      <c r="L105" s="157">
        <v>22</v>
      </c>
      <c r="M105" s="166">
        <v>1.1200000000000001</v>
      </c>
      <c r="N105" s="133">
        <v>20.399999999999999</v>
      </c>
      <c r="O105" s="139" t="s">
        <v>210</v>
      </c>
      <c r="P105" s="140" t="s">
        <v>202</v>
      </c>
      <c r="Q105" s="193" t="s">
        <v>212</v>
      </c>
      <c r="R105" s="142">
        <v>2.3E-3</v>
      </c>
      <c r="S105" s="142">
        <v>2.3E-3</v>
      </c>
      <c r="T105" s="132">
        <v>391</v>
      </c>
      <c r="U105" s="140" t="s">
        <v>212</v>
      </c>
      <c r="V105" s="141">
        <v>6.4999999999999997E-3</v>
      </c>
      <c r="W105" s="132">
        <v>438</v>
      </c>
      <c r="X105" s="140" t="s">
        <v>212</v>
      </c>
      <c r="Y105" s="167">
        <v>2.76</v>
      </c>
      <c r="Z105" s="137">
        <v>0.5</v>
      </c>
      <c r="AA105" s="135">
        <v>3.4</v>
      </c>
      <c r="AB105" s="133">
        <v>14.5</v>
      </c>
      <c r="AC105" s="136">
        <v>4.3</v>
      </c>
      <c r="AD105" s="145">
        <v>2.11</v>
      </c>
      <c r="AE105" s="146">
        <v>2.27</v>
      </c>
      <c r="AF105" s="147">
        <v>1.02</v>
      </c>
      <c r="AG105" s="145">
        <v>1.1399999999999999</v>
      </c>
      <c r="AH105" s="145">
        <v>0.69</v>
      </c>
      <c r="AI105" s="146">
        <v>1.77</v>
      </c>
      <c r="AJ105" s="147">
        <v>0.28999999999999998</v>
      </c>
      <c r="AK105" s="145">
        <v>2.56</v>
      </c>
      <c r="AL105" s="145">
        <v>0</v>
      </c>
      <c r="AM105" s="146">
        <v>2</v>
      </c>
      <c r="AN105" s="147">
        <v>0</v>
      </c>
      <c r="AO105" s="145">
        <v>1.82</v>
      </c>
      <c r="AP105" s="145">
        <v>1.54</v>
      </c>
      <c r="AQ105" s="146">
        <v>2.0299999999999998</v>
      </c>
      <c r="AR105" s="147">
        <v>0.82</v>
      </c>
      <c r="AS105" s="145">
        <v>1.37</v>
      </c>
      <c r="AT105" s="145">
        <v>0.69</v>
      </c>
      <c r="AU105" s="146">
        <v>1.44</v>
      </c>
      <c r="AV105" s="147">
        <v>0.61</v>
      </c>
      <c r="AW105" s="145">
        <v>2.85</v>
      </c>
      <c r="AX105" s="145">
        <v>0</v>
      </c>
      <c r="AY105" s="146">
        <v>3.46</v>
      </c>
      <c r="AZ105" s="194"/>
      <c r="BA105" s="195"/>
      <c r="BB105" s="195"/>
      <c r="BC105" s="196"/>
      <c r="BD105" s="148">
        <v>0.61</v>
      </c>
      <c r="BE105" s="147">
        <v>0.96</v>
      </c>
      <c r="BF105" s="145">
        <v>0</v>
      </c>
      <c r="BG105" s="145">
        <v>0.63</v>
      </c>
      <c r="BH105" s="146">
        <v>1.59</v>
      </c>
      <c r="BI105" s="147">
        <v>0.56000000000000005</v>
      </c>
      <c r="BJ105" s="145">
        <v>0.56999999999999995</v>
      </c>
      <c r="BK105" s="145">
        <v>0.83</v>
      </c>
      <c r="BL105" s="146">
        <v>1.95</v>
      </c>
      <c r="BM105" s="147">
        <v>1.29</v>
      </c>
      <c r="BN105" s="145">
        <v>1.1399999999999999</v>
      </c>
      <c r="BO105" s="145">
        <v>1.1200000000000001</v>
      </c>
      <c r="BP105" s="145">
        <v>1.57</v>
      </c>
      <c r="BQ105" s="145">
        <v>0.66</v>
      </c>
      <c r="BR105" s="195"/>
      <c r="BS105" s="145">
        <v>3.75</v>
      </c>
      <c r="BT105" s="145">
        <v>1.43</v>
      </c>
      <c r="BU105" s="146">
        <v>1.1599999999999999</v>
      </c>
      <c r="BV105" s="74">
        <v>1734190.0800000001</v>
      </c>
      <c r="BW105" s="133">
        <v>142.9</v>
      </c>
      <c r="BX105" s="145">
        <v>975.36</v>
      </c>
      <c r="BY105" s="157">
        <v>22</v>
      </c>
      <c r="BZ105" s="133">
        <v>20.399999999999999</v>
      </c>
      <c r="CA105" s="142">
        <v>2.3E-3</v>
      </c>
      <c r="CB105" s="132">
        <v>391</v>
      </c>
      <c r="CC105" s="141">
        <v>6.4999999999999997E-3</v>
      </c>
      <c r="CD105" s="132">
        <v>438</v>
      </c>
      <c r="CE105" s="99">
        <f t="shared" si="5"/>
        <v>8.2078394854247123E-3</v>
      </c>
      <c r="CF105" s="100">
        <f t="shared" si="3"/>
        <v>2.27</v>
      </c>
    </row>
    <row r="106" spans="1:84" ht="24" hidden="1" customHeight="1" x14ac:dyDescent="0.25">
      <c r="A106" s="78">
        <v>105</v>
      </c>
      <c r="B106" s="79" t="s">
        <v>320</v>
      </c>
      <c r="C106" s="80" t="s">
        <v>321</v>
      </c>
      <c r="D106" s="81">
        <v>1200</v>
      </c>
      <c r="E106" s="82">
        <v>793</v>
      </c>
      <c r="F106" s="83">
        <f t="shared" si="4"/>
        <v>951600</v>
      </c>
      <c r="G106" s="82">
        <v>133</v>
      </c>
      <c r="H106" s="83">
        <v>634.4</v>
      </c>
      <c r="I106" s="84">
        <v>1.51</v>
      </c>
      <c r="J106" s="85">
        <v>33.6</v>
      </c>
      <c r="K106" s="86">
        <v>32.700000000000003</v>
      </c>
      <c r="L106" s="87">
        <v>32.700000000000003</v>
      </c>
      <c r="M106" s="152">
        <v>1.28</v>
      </c>
      <c r="N106" s="83">
        <v>27.2</v>
      </c>
      <c r="O106" s="89" t="s">
        <v>210</v>
      </c>
      <c r="P106" s="90" t="s">
        <v>211</v>
      </c>
      <c r="Q106" s="91">
        <v>3.8999999999999998E-3</v>
      </c>
      <c r="R106" s="92">
        <v>2.2000000000000001E-3</v>
      </c>
      <c r="S106" s="92">
        <v>8.6999999999999994E-3</v>
      </c>
      <c r="T106" s="82">
        <v>336</v>
      </c>
      <c r="U106" s="93">
        <v>267</v>
      </c>
      <c r="V106" s="91">
        <v>2.2499999999999998E-3</v>
      </c>
      <c r="W106" s="82">
        <v>339</v>
      </c>
      <c r="X106" s="93">
        <v>267</v>
      </c>
      <c r="Y106" s="153">
        <v>0.78</v>
      </c>
      <c r="Z106" s="87">
        <v>0.5</v>
      </c>
      <c r="AA106" s="188" t="s">
        <v>212</v>
      </c>
      <c r="AB106" s="89" t="s">
        <v>212</v>
      </c>
      <c r="AC106" s="172">
        <v>2</v>
      </c>
      <c r="AD106" s="112" t="s">
        <v>224</v>
      </c>
      <c r="AE106" s="173">
        <v>1.97</v>
      </c>
      <c r="AF106" s="97">
        <v>1.02</v>
      </c>
      <c r="AG106" s="95">
        <v>0.31</v>
      </c>
      <c r="AH106" s="95">
        <v>0.2</v>
      </c>
      <c r="AI106" s="96">
        <v>1.52</v>
      </c>
      <c r="AJ106" s="97">
        <v>0.38</v>
      </c>
      <c r="AK106" s="95">
        <v>0.61</v>
      </c>
      <c r="AL106" s="95">
        <v>0</v>
      </c>
      <c r="AM106" s="96">
        <v>0.99</v>
      </c>
      <c r="AN106" s="97">
        <v>0.88</v>
      </c>
      <c r="AO106" s="95">
        <v>0.49</v>
      </c>
      <c r="AP106" s="95">
        <v>0.35</v>
      </c>
      <c r="AQ106" s="96">
        <v>1.71</v>
      </c>
      <c r="AR106" s="97">
        <v>0.83</v>
      </c>
      <c r="AS106" s="95">
        <v>0.37</v>
      </c>
      <c r="AT106" s="95">
        <v>0.2</v>
      </c>
      <c r="AU106" s="96">
        <v>1.39</v>
      </c>
      <c r="AV106" s="97">
        <v>0.56000000000000005</v>
      </c>
      <c r="AW106" s="95">
        <v>0.76</v>
      </c>
      <c r="AX106" s="95">
        <v>0</v>
      </c>
      <c r="AY106" s="96">
        <v>1.32</v>
      </c>
      <c r="AZ106" s="97">
        <v>0.41</v>
      </c>
      <c r="BA106" s="95">
        <v>1.02</v>
      </c>
      <c r="BB106" s="95">
        <v>0.05</v>
      </c>
      <c r="BC106" s="96">
        <v>1.49</v>
      </c>
      <c r="BD106" s="98">
        <v>0.54</v>
      </c>
      <c r="BE106" s="97">
        <v>0.85</v>
      </c>
      <c r="BF106" s="95">
        <v>0</v>
      </c>
      <c r="BG106" s="95">
        <v>0.18</v>
      </c>
      <c r="BH106" s="96">
        <v>1.02</v>
      </c>
      <c r="BI106" s="97">
        <v>0.64</v>
      </c>
      <c r="BJ106" s="95">
        <v>0.28999999999999998</v>
      </c>
      <c r="BK106" s="95">
        <v>0.23</v>
      </c>
      <c r="BL106" s="96">
        <v>1.17</v>
      </c>
      <c r="BM106" s="97">
        <v>1.3</v>
      </c>
      <c r="BN106" s="95">
        <v>1.98</v>
      </c>
      <c r="BO106" s="95">
        <v>1.1499999999999999</v>
      </c>
      <c r="BP106" s="95">
        <v>1.41</v>
      </c>
      <c r="BQ106" s="95">
        <v>1.49</v>
      </c>
      <c r="BR106" s="95">
        <v>1.32</v>
      </c>
      <c r="BS106" s="95">
        <v>3.66</v>
      </c>
      <c r="BT106" s="95">
        <v>1.92</v>
      </c>
      <c r="BU106" s="96">
        <v>1.69</v>
      </c>
      <c r="BV106" s="74">
        <v>951600</v>
      </c>
      <c r="BW106" s="82">
        <v>133</v>
      </c>
      <c r="BX106" s="83">
        <v>634.4</v>
      </c>
      <c r="BY106" s="87">
        <v>32.700000000000003</v>
      </c>
      <c r="BZ106" s="83">
        <v>27.2</v>
      </c>
      <c r="CA106" s="92">
        <v>8.6999999999999994E-3</v>
      </c>
      <c r="CB106" s="82">
        <v>336</v>
      </c>
      <c r="CC106" s="91">
        <v>2.2499999999999998E-3</v>
      </c>
      <c r="CD106" s="82">
        <v>339</v>
      </c>
      <c r="CE106" s="99">
        <f t="shared" si="5"/>
        <v>1.8204401293271007E-2</v>
      </c>
      <c r="CF106" s="100">
        <f t="shared" si="3"/>
        <v>1.97</v>
      </c>
    </row>
    <row r="107" spans="1:84" ht="24" hidden="1" x14ac:dyDescent="0.25">
      <c r="A107" s="101">
        <v>106</v>
      </c>
      <c r="B107" s="102"/>
      <c r="C107" s="103" t="s">
        <v>322</v>
      </c>
      <c r="D107" s="104">
        <v>1200</v>
      </c>
      <c r="E107" s="105">
        <v>1060</v>
      </c>
      <c r="F107" s="106">
        <f t="shared" si="4"/>
        <v>1272000</v>
      </c>
      <c r="G107" s="105">
        <v>133</v>
      </c>
      <c r="H107" s="105">
        <v>848</v>
      </c>
      <c r="I107" s="107">
        <v>1.1299999999999999</v>
      </c>
      <c r="J107" s="108">
        <v>33.6</v>
      </c>
      <c r="K107" s="109">
        <v>34.1</v>
      </c>
      <c r="L107" s="110">
        <v>34.1</v>
      </c>
      <c r="M107" s="158">
        <v>1.4</v>
      </c>
      <c r="N107" s="106">
        <v>33.6</v>
      </c>
      <c r="O107" s="112" t="s">
        <v>210</v>
      </c>
      <c r="P107" s="113" t="s">
        <v>211</v>
      </c>
      <c r="Q107" s="114">
        <v>2.8999999999999998E-3</v>
      </c>
      <c r="R107" s="115">
        <v>2.2000000000000001E-3</v>
      </c>
      <c r="S107" s="115">
        <v>7.0600000000000003E-3</v>
      </c>
      <c r="T107" s="105">
        <v>336</v>
      </c>
      <c r="U107" s="116">
        <v>267</v>
      </c>
      <c r="V107" s="114">
        <v>2.2499999999999998E-3</v>
      </c>
      <c r="W107" s="105">
        <v>339</v>
      </c>
      <c r="X107" s="116">
        <v>267</v>
      </c>
      <c r="Y107" s="160">
        <v>0.78</v>
      </c>
      <c r="Z107" s="110">
        <v>0.5</v>
      </c>
      <c r="AA107" s="123" t="s">
        <v>212</v>
      </c>
      <c r="AB107" s="112" t="s">
        <v>212</v>
      </c>
      <c r="AC107" s="174">
        <v>2</v>
      </c>
      <c r="AD107" s="112" t="s">
        <v>224</v>
      </c>
      <c r="AE107" s="175">
        <v>2.25</v>
      </c>
      <c r="AF107" s="120">
        <v>1.33</v>
      </c>
      <c r="AG107" s="118">
        <v>0.31</v>
      </c>
      <c r="AH107" s="118">
        <v>0.2</v>
      </c>
      <c r="AI107" s="119">
        <v>1.83</v>
      </c>
      <c r="AJ107" s="120">
        <v>0.39</v>
      </c>
      <c r="AK107" s="118">
        <v>0.61</v>
      </c>
      <c r="AL107" s="118">
        <v>0</v>
      </c>
      <c r="AM107" s="119">
        <v>1</v>
      </c>
      <c r="AN107" s="120">
        <v>1.03</v>
      </c>
      <c r="AO107" s="118">
        <v>0.49</v>
      </c>
      <c r="AP107" s="118">
        <v>0.47</v>
      </c>
      <c r="AQ107" s="119">
        <v>1.99</v>
      </c>
      <c r="AR107" s="120">
        <v>1.06</v>
      </c>
      <c r="AS107" s="118">
        <v>0.37</v>
      </c>
      <c r="AT107" s="118">
        <v>0.2</v>
      </c>
      <c r="AU107" s="119">
        <v>1.63</v>
      </c>
      <c r="AV107" s="120">
        <v>0.8</v>
      </c>
      <c r="AW107" s="118">
        <v>0.76</v>
      </c>
      <c r="AX107" s="118">
        <v>0</v>
      </c>
      <c r="AY107" s="119">
        <v>1.56</v>
      </c>
      <c r="AZ107" s="120">
        <v>0.44</v>
      </c>
      <c r="BA107" s="118">
        <v>1.02</v>
      </c>
      <c r="BB107" s="118">
        <v>0.05</v>
      </c>
      <c r="BC107" s="119">
        <v>1.52</v>
      </c>
      <c r="BD107" s="121">
        <v>0.61</v>
      </c>
      <c r="BE107" s="120">
        <v>1.24</v>
      </c>
      <c r="BF107" s="118">
        <v>0</v>
      </c>
      <c r="BG107" s="118">
        <v>0.18</v>
      </c>
      <c r="BH107" s="119">
        <v>1.42</v>
      </c>
      <c r="BI107" s="120">
        <v>0.7</v>
      </c>
      <c r="BJ107" s="118">
        <v>0.28999999999999998</v>
      </c>
      <c r="BK107" s="118">
        <v>0.23</v>
      </c>
      <c r="BL107" s="119">
        <v>1.23</v>
      </c>
      <c r="BM107" s="120">
        <v>1.23</v>
      </c>
      <c r="BN107" s="118">
        <v>2.23</v>
      </c>
      <c r="BO107" s="118">
        <v>1.1299999999999999</v>
      </c>
      <c r="BP107" s="118">
        <v>1.38</v>
      </c>
      <c r="BQ107" s="118">
        <v>1.44</v>
      </c>
      <c r="BR107" s="118">
        <v>1.47</v>
      </c>
      <c r="BS107" s="118">
        <v>3.66</v>
      </c>
      <c r="BT107" s="118">
        <v>1.59</v>
      </c>
      <c r="BU107" s="119">
        <v>1.83</v>
      </c>
      <c r="BV107" s="74">
        <v>1272000</v>
      </c>
      <c r="BW107" s="105">
        <v>133</v>
      </c>
      <c r="BX107" s="105">
        <v>848</v>
      </c>
      <c r="BY107" s="110">
        <v>34.1</v>
      </c>
      <c r="BZ107" s="106">
        <v>33.6</v>
      </c>
      <c r="CA107" s="115">
        <v>7.0600000000000003E-3</v>
      </c>
      <c r="CB107" s="105">
        <v>336</v>
      </c>
      <c r="CC107" s="114">
        <v>2.2499999999999998E-3</v>
      </c>
      <c r="CD107" s="105">
        <v>339</v>
      </c>
      <c r="CE107" s="99">
        <f t="shared" si="5"/>
        <v>1.1278195488721804E-2</v>
      </c>
      <c r="CF107" s="100">
        <f t="shared" si="3"/>
        <v>2.25</v>
      </c>
    </row>
    <row r="108" spans="1:84" ht="24" hidden="1" x14ac:dyDescent="0.25">
      <c r="A108" s="101">
        <v>107</v>
      </c>
      <c r="B108" s="102"/>
      <c r="C108" s="103" t="s">
        <v>323</v>
      </c>
      <c r="D108" s="104">
        <v>1200</v>
      </c>
      <c r="E108" s="105">
        <v>1326</v>
      </c>
      <c r="F108" s="106">
        <f t="shared" si="4"/>
        <v>1591200</v>
      </c>
      <c r="G108" s="105">
        <v>133</v>
      </c>
      <c r="H108" s="106">
        <v>1060.8</v>
      </c>
      <c r="I108" s="107">
        <v>0.9</v>
      </c>
      <c r="J108" s="108">
        <v>50.5</v>
      </c>
      <c r="K108" s="109">
        <v>32.4</v>
      </c>
      <c r="L108" s="110">
        <v>32.4</v>
      </c>
      <c r="M108" s="158">
        <v>1.29</v>
      </c>
      <c r="N108" s="106">
        <v>27.9</v>
      </c>
      <c r="O108" s="112" t="s">
        <v>210</v>
      </c>
      <c r="P108" s="113" t="s">
        <v>211</v>
      </c>
      <c r="Q108" s="114">
        <v>2.3E-3</v>
      </c>
      <c r="R108" s="115">
        <v>2.2000000000000001E-3</v>
      </c>
      <c r="S108" s="115">
        <v>6.0899999999999999E-3</v>
      </c>
      <c r="T108" s="105">
        <v>336</v>
      </c>
      <c r="U108" s="116">
        <v>267</v>
      </c>
      <c r="V108" s="114">
        <v>2.2499999999999998E-3</v>
      </c>
      <c r="W108" s="105">
        <v>339</v>
      </c>
      <c r="X108" s="116">
        <v>267</v>
      </c>
      <c r="Y108" s="160">
        <v>0</v>
      </c>
      <c r="Z108" s="110">
        <v>0.5</v>
      </c>
      <c r="AA108" s="123" t="s">
        <v>212</v>
      </c>
      <c r="AB108" s="112" t="s">
        <v>212</v>
      </c>
      <c r="AC108" s="174">
        <v>2</v>
      </c>
      <c r="AD108" s="112" t="s">
        <v>224</v>
      </c>
      <c r="AE108" s="175">
        <v>2.38</v>
      </c>
      <c r="AF108" s="120">
        <v>1.32</v>
      </c>
      <c r="AG108" s="118">
        <v>0.31</v>
      </c>
      <c r="AH108" s="118">
        <v>0</v>
      </c>
      <c r="AI108" s="119">
        <v>1.63</v>
      </c>
      <c r="AJ108" s="120">
        <v>0.21</v>
      </c>
      <c r="AK108" s="118">
        <v>0.61</v>
      </c>
      <c r="AL108" s="118">
        <v>0</v>
      </c>
      <c r="AM108" s="119">
        <v>0.82</v>
      </c>
      <c r="AN108" s="120">
        <v>0.97</v>
      </c>
      <c r="AO108" s="118">
        <v>0.49</v>
      </c>
      <c r="AP108" s="118">
        <v>0</v>
      </c>
      <c r="AQ108" s="119">
        <v>1.46</v>
      </c>
      <c r="AR108" s="120">
        <v>1.05</v>
      </c>
      <c r="AS108" s="118">
        <v>0.37</v>
      </c>
      <c r="AT108" s="118">
        <v>0</v>
      </c>
      <c r="AU108" s="119">
        <v>1.41</v>
      </c>
      <c r="AV108" s="120">
        <v>0.83</v>
      </c>
      <c r="AW108" s="118">
        <v>0.76</v>
      </c>
      <c r="AX108" s="118">
        <v>0</v>
      </c>
      <c r="AY108" s="119">
        <v>1.59</v>
      </c>
      <c r="AZ108" s="120">
        <v>0.37</v>
      </c>
      <c r="BA108" s="118">
        <v>1.02</v>
      </c>
      <c r="BB108" s="118">
        <v>0</v>
      </c>
      <c r="BC108" s="119">
        <v>1.4</v>
      </c>
      <c r="BD108" s="121">
        <v>0.66</v>
      </c>
      <c r="BE108" s="120">
        <v>1.43</v>
      </c>
      <c r="BF108" s="118">
        <v>0</v>
      </c>
      <c r="BG108" s="118">
        <v>0</v>
      </c>
      <c r="BH108" s="119">
        <v>1.43</v>
      </c>
      <c r="BI108" s="120">
        <v>0.65</v>
      </c>
      <c r="BJ108" s="118">
        <v>0.28999999999999998</v>
      </c>
      <c r="BK108" s="118">
        <v>0</v>
      </c>
      <c r="BL108" s="119">
        <v>0.94</v>
      </c>
      <c r="BM108" s="120">
        <v>1.46</v>
      </c>
      <c r="BN108" s="118">
        <v>2.89</v>
      </c>
      <c r="BO108" s="118">
        <v>1.63</v>
      </c>
      <c r="BP108" s="118">
        <v>1.68</v>
      </c>
      <c r="BQ108" s="118">
        <v>1.49</v>
      </c>
      <c r="BR108" s="118">
        <v>1.7</v>
      </c>
      <c r="BS108" s="118">
        <v>3.6</v>
      </c>
      <c r="BT108" s="118">
        <v>1.66</v>
      </c>
      <c r="BU108" s="119">
        <v>2.5299999999999998</v>
      </c>
      <c r="BV108" s="74">
        <v>1591200</v>
      </c>
      <c r="BW108" s="105">
        <v>133</v>
      </c>
      <c r="BX108" s="106">
        <v>1060.8</v>
      </c>
      <c r="BY108" s="110">
        <v>32.4</v>
      </c>
      <c r="BZ108" s="106">
        <v>27.9</v>
      </c>
      <c r="CA108" s="115">
        <v>6.0899999999999999E-3</v>
      </c>
      <c r="CB108" s="105">
        <v>336</v>
      </c>
      <c r="CC108" s="114">
        <v>2.2499999999999998E-3</v>
      </c>
      <c r="CD108" s="105">
        <v>339</v>
      </c>
      <c r="CE108" s="99">
        <f t="shared" si="5"/>
        <v>9.4126719513716404E-3</v>
      </c>
      <c r="CF108" s="100">
        <f t="shared" si="3"/>
        <v>2.38</v>
      </c>
    </row>
    <row r="109" spans="1:84" ht="24" hidden="1" x14ac:dyDescent="0.25">
      <c r="A109" s="101">
        <v>108</v>
      </c>
      <c r="B109" s="102"/>
      <c r="C109" s="103" t="s">
        <v>324</v>
      </c>
      <c r="D109" s="104">
        <v>1200</v>
      </c>
      <c r="E109" s="105">
        <v>1326</v>
      </c>
      <c r="F109" s="106">
        <f t="shared" si="4"/>
        <v>1591200</v>
      </c>
      <c r="G109" s="105">
        <v>133</v>
      </c>
      <c r="H109" s="106">
        <v>1060.8</v>
      </c>
      <c r="I109" s="107">
        <v>0.9</v>
      </c>
      <c r="J109" s="108">
        <v>50.5</v>
      </c>
      <c r="K109" s="109">
        <v>29.4</v>
      </c>
      <c r="L109" s="110">
        <v>29.4</v>
      </c>
      <c r="M109" s="158">
        <v>1.27</v>
      </c>
      <c r="N109" s="106">
        <v>26.9</v>
      </c>
      <c r="O109" s="112" t="s">
        <v>210</v>
      </c>
      <c r="P109" s="113" t="s">
        <v>211</v>
      </c>
      <c r="Q109" s="114">
        <v>2.3E-3</v>
      </c>
      <c r="R109" s="115">
        <v>2.2000000000000001E-3</v>
      </c>
      <c r="S109" s="115">
        <v>6.0899999999999999E-3</v>
      </c>
      <c r="T109" s="105">
        <v>339</v>
      </c>
      <c r="U109" s="116">
        <v>267</v>
      </c>
      <c r="V109" s="114">
        <v>2.2499999999999998E-3</v>
      </c>
      <c r="W109" s="105">
        <v>346</v>
      </c>
      <c r="X109" s="116">
        <v>267</v>
      </c>
      <c r="Y109" s="160">
        <v>1.77</v>
      </c>
      <c r="Z109" s="110">
        <v>0.5</v>
      </c>
      <c r="AA109" s="123" t="s">
        <v>212</v>
      </c>
      <c r="AB109" s="112" t="s">
        <v>212</v>
      </c>
      <c r="AC109" s="174">
        <v>2</v>
      </c>
      <c r="AD109" s="112" t="s">
        <v>224</v>
      </c>
      <c r="AE109" s="175">
        <v>2.83</v>
      </c>
      <c r="AF109" s="120">
        <v>1.3</v>
      </c>
      <c r="AG109" s="118">
        <v>0.31</v>
      </c>
      <c r="AH109" s="118">
        <v>0.44</v>
      </c>
      <c r="AI109" s="119">
        <v>2.0499999999999998</v>
      </c>
      <c r="AJ109" s="120">
        <v>0.35</v>
      </c>
      <c r="AK109" s="118">
        <v>0.62</v>
      </c>
      <c r="AL109" s="118">
        <v>0</v>
      </c>
      <c r="AM109" s="119">
        <v>0.98</v>
      </c>
      <c r="AN109" s="120">
        <v>0.95</v>
      </c>
      <c r="AO109" s="118">
        <v>0.5</v>
      </c>
      <c r="AP109" s="118">
        <v>1.31</v>
      </c>
      <c r="AQ109" s="119">
        <v>2.33</v>
      </c>
      <c r="AR109" s="120">
        <v>1.03</v>
      </c>
      <c r="AS109" s="118">
        <v>0.37</v>
      </c>
      <c r="AT109" s="118">
        <v>0.44</v>
      </c>
      <c r="AU109" s="119">
        <v>1.66</v>
      </c>
      <c r="AV109" s="120">
        <v>0.82</v>
      </c>
      <c r="AW109" s="118">
        <v>0.78</v>
      </c>
      <c r="AX109" s="118">
        <v>0</v>
      </c>
      <c r="AY109" s="119">
        <v>1.6</v>
      </c>
      <c r="AZ109" s="120">
        <v>0.36</v>
      </c>
      <c r="BA109" s="118">
        <v>1.03</v>
      </c>
      <c r="BB109" s="118">
        <v>0.12</v>
      </c>
      <c r="BC109" s="119">
        <v>1.52</v>
      </c>
      <c r="BD109" s="121">
        <v>0.66</v>
      </c>
      <c r="BE109" s="120">
        <v>1.41</v>
      </c>
      <c r="BF109" s="118">
        <v>0</v>
      </c>
      <c r="BG109" s="118">
        <v>0.41</v>
      </c>
      <c r="BH109" s="119">
        <v>1.81</v>
      </c>
      <c r="BI109" s="120">
        <v>0.64</v>
      </c>
      <c r="BJ109" s="118">
        <v>0.28000000000000003</v>
      </c>
      <c r="BK109" s="118">
        <v>0.53</v>
      </c>
      <c r="BL109" s="119">
        <v>1.45</v>
      </c>
      <c r="BM109" s="120">
        <v>1.38</v>
      </c>
      <c r="BN109" s="118">
        <v>2.89</v>
      </c>
      <c r="BO109" s="118">
        <v>1.21</v>
      </c>
      <c r="BP109" s="118">
        <v>1.7</v>
      </c>
      <c r="BQ109" s="118">
        <v>1.77</v>
      </c>
      <c r="BR109" s="118">
        <v>1.86</v>
      </c>
      <c r="BS109" s="118">
        <v>4.29</v>
      </c>
      <c r="BT109" s="118">
        <v>1.56</v>
      </c>
      <c r="BU109" s="119">
        <v>1.95</v>
      </c>
      <c r="BV109" s="74">
        <v>1591200</v>
      </c>
      <c r="BW109" s="105">
        <v>133</v>
      </c>
      <c r="BX109" s="106">
        <v>1060.8</v>
      </c>
      <c r="BY109" s="110">
        <v>29.4</v>
      </c>
      <c r="BZ109" s="106">
        <v>26.9</v>
      </c>
      <c r="CA109" s="115">
        <v>6.0899999999999999E-3</v>
      </c>
      <c r="CB109" s="105">
        <v>339</v>
      </c>
      <c r="CC109" s="114">
        <v>2.2499999999999998E-3</v>
      </c>
      <c r="CD109" s="105">
        <v>346</v>
      </c>
      <c r="CE109" s="99">
        <f t="shared" si="5"/>
        <v>8.8456435205661217E-3</v>
      </c>
      <c r="CF109" s="100">
        <f t="shared" si="3"/>
        <v>2.83</v>
      </c>
    </row>
    <row r="110" spans="1:84" hidden="1" x14ac:dyDescent="0.25">
      <c r="A110" s="101">
        <v>109</v>
      </c>
      <c r="B110" s="102"/>
      <c r="C110" s="103" t="s">
        <v>325</v>
      </c>
      <c r="D110" s="104">
        <v>1200</v>
      </c>
      <c r="E110" s="105">
        <v>1326</v>
      </c>
      <c r="F110" s="106">
        <f t="shared" si="4"/>
        <v>1591200</v>
      </c>
      <c r="G110" s="105">
        <v>133</v>
      </c>
      <c r="H110" s="106">
        <v>1060.8</v>
      </c>
      <c r="I110" s="107">
        <v>0.9</v>
      </c>
      <c r="J110" s="108">
        <v>50.5</v>
      </c>
      <c r="K110" s="109">
        <v>32.1</v>
      </c>
      <c r="L110" s="110">
        <v>32.1</v>
      </c>
      <c r="M110" s="158">
        <v>1.35</v>
      </c>
      <c r="N110" s="106">
        <v>30.9</v>
      </c>
      <c r="O110" s="112" t="s">
        <v>210</v>
      </c>
      <c r="P110" s="113" t="s">
        <v>211</v>
      </c>
      <c r="Q110" s="114">
        <v>2.3E-3</v>
      </c>
      <c r="R110" s="115">
        <v>2.2000000000000001E-3</v>
      </c>
      <c r="S110" s="115">
        <v>6.0899999999999999E-3</v>
      </c>
      <c r="T110" s="105">
        <v>339</v>
      </c>
      <c r="U110" s="116">
        <v>267</v>
      </c>
      <c r="V110" s="114">
        <v>2.2499999999999998E-3</v>
      </c>
      <c r="W110" s="105">
        <v>346</v>
      </c>
      <c r="X110" s="116">
        <v>267</v>
      </c>
      <c r="Y110" s="160">
        <v>0</v>
      </c>
      <c r="Z110" s="110">
        <v>0.5</v>
      </c>
      <c r="AA110" s="123" t="s">
        <v>212</v>
      </c>
      <c r="AB110" s="112" t="s">
        <v>212</v>
      </c>
      <c r="AC110" s="174">
        <v>2</v>
      </c>
      <c r="AD110" s="112" t="s">
        <v>224</v>
      </c>
      <c r="AE110" s="175">
        <v>195</v>
      </c>
      <c r="AF110" s="120">
        <v>1.39</v>
      </c>
      <c r="AG110" s="118">
        <v>0.31</v>
      </c>
      <c r="AH110" s="118">
        <v>0</v>
      </c>
      <c r="AI110" s="119">
        <v>1.7</v>
      </c>
      <c r="AJ110" s="120">
        <v>0.21</v>
      </c>
      <c r="AK110" s="118">
        <v>0.62</v>
      </c>
      <c r="AL110" s="118">
        <v>0</v>
      </c>
      <c r="AM110" s="119">
        <v>0.83</v>
      </c>
      <c r="AN110" s="120">
        <v>1.02</v>
      </c>
      <c r="AO110" s="118">
        <v>0.5</v>
      </c>
      <c r="AP110" s="118">
        <v>0</v>
      </c>
      <c r="AQ110" s="119">
        <v>1.52</v>
      </c>
      <c r="AR110" s="120">
        <v>1.1000000000000001</v>
      </c>
      <c r="AS110" s="118">
        <v>0.37</v>
      </c>
      <c r="AT110" s="118">
        <v>0</v>
      </c>
      <c r="AU110" s="119">
        <v>1.48</v>
      </c>
      <c r="AV110" s="120">
        <v>0.87</v>
      </c>
      <c r="AW110" s="118">
        <v>0.78</v>
      </c>
      <c r="AX110" s="118">
        <v>0</v>
      </c>
      <c r="AY110" s="119">
        <v>1.65</v>
      </c>
      <c r="AZ110" s="120">
        <v>0.4</v>
      </c>
      <c r="BA110" s="118">
        <v>1.03</v>
      </c>
      <c r="BB110" s="118">
        <v>0</v>
      </c>
      <c r="BC110" s="119">
        <v>1.43</v>
      </c>
      <c r="BD110" s="121">
        <v>0.66</v>
      </c>
      <c r="BE110" s="120">
        <v>1.49</v>
      </c>
      <c r="BF110" s="118">
        <v>0</v>
      </c>
      <c r="BG110" s="118">
        <v>0</v>
      </c>
      <c r="BH110" s="119">
        <v>1.49</v>
      </c>
      <c r="BI110" s="120">
        <v>0.68</v>
      </c>
      <c r="BJ110" s="118">
        <v>0.28000000000000003</v>
      </c>
      <c r="BK110" s="118">
        <v>0</v>
      </c>
      <c r="BL110" s="119">
        <v>0.96</v>
      </c>
      <c r="BM110" s="120">
        <v>1.1499999999999999</v>
      </c>
      <c r="BN110" s="118">
        <v>2.34</v>
      </c>
      <c r="BO110" s="118">
        <v>1.29</v>
      </c>
      <c r="BP110" s="118">
        <v>1.32</v>
      </c>
      <c r="BQ110" s="118">
        <v>1.18</v>
      </c>
      <c r="BR110" s="118">
        <v>1.36</v>
      </c>
      <c r="BS110" s="118">
        <v>2.96</v>
      </c>
      <c r="BT110" s="118">
        <v>1.31</v>
      </c>
      <c r="BU110" s="119">
        <v>2.04</v>
      </c>
      <c r="BV110" s="74">
        <v>1591200</v>
      </c>
      <c r="BW110" s="105">
        <v>133</v>
      </c>
      <c r="BX110" s="106">
        <v>1060.8</v>
      </c>
      <c r="BY110" s="110">
        <v>32.1</v>
      </c>
      <c r="BZ110" s="106">
        <v>30.9</v>
      </c>
      <c r="CA110" s="115">
        <v>6.0899999999999999E-3</v>
      </c>
      <c r="CB110" s="105">
        <v>339</v>
      </c>
      <c r="CC110" s="114">
        <v>2.2499999999999998E-3</v>
      </c>
      <c r="CD110" s="105">
        <v>346</v>
      </c>
      <c r="CE110" s="99">
        <f t="shared" si="5"/>
        <v>7.4280724435523198E-3</v>
      </c>
      <c r="CF110" s="100">
        <f t="shared" si="3"/>
        <v>195</v>
      </c>
    </row>
    <row r="111" spans="1:84" ht="24" hidden="1" x14ac:dyDescent="0.25">
      <c r="A111" s="101">
        <v>110</v>
      </c>
      <c r="B111" s="102"/>
      <c r="C111" s="103" t="s">
        <v>326</v>
      </c>
      <c r="D111" s="104">
        <v>1200</v>
      </c>
      <c r="E111" s="105">
        <v>1326</v>
      </c>
      <c r="F111" s="106">
        <f t="shared" si="4"/>
        <v>1591200</v>
      </c>
      <c r="G111" s="105">
        <v>133</v>
      </c>
      <c r="H111" s="106">
        <v>1060.8</v>
      </c>
      <c r="I111" s="107">
        <v>0.9</v>
      </c>
      <c r="J111" s="108">
        <v>46.5</v>
      </c>
      <c r="K111" s="109">
        <v>38.9</v>
      </c>
      <c r="L111" s="110">
        <v>38.9</v>
      </c>
      <c r="M111" s="158">
        <v>1.42</v>
      </c>
      <c r="N111" s="106">
        <v>34.6</v>
      </c>
      <c r="O111" s="112" t="s">
        <v>210</v>
      </c>
      <c r="P111" s="113" t="s">
        <v>211</v>
      </c>
      <c r="Q111" s="114">
        <v>2.3E-3</v>
      </c>
      <c r="R111" s="115">
        <v>2.2000000000000001E-3</v>
      </c>
      <c r="S111" s="115">
        <v>6.0899999999999999E-3</v>
      </c>
      <c r="T111" s="105">
        <v>336</v>
      </c>
      <c r="U111" s="116">
        <v>267</v>
      </c>
      <c r="V111" s="114">
        <v>2.2499999999999998E-3</v>
      </c>
      <c r="W111" s="105">
        <v>339</v>
      </c>
      <c r="X111" s="116">
        <v>267</v>
      </c>
      <c r="Y111" s="160">
        <v>0.78</v>
      </c>
      <c r="Z111" s="110">
        <v>0.5</v>
      </c>
      <c r="AA111" s="123" t="s">
        <v>212</v>
      </c>
      <c r="AB111" s="112" t="s">
        <v>212</v>
      </c>
      <c r="AC111" s="174">
        <v>2</v>
      </c>
      <c r="AD111" s="112" t="s">
        <v>224</v>
      </c>
      <c r="AE111" s="175">
        <v>2.52</v>
      </c>
      <c r="AF111" s="120">
        <v>1.47</v>
      </c>
      <c r="AG111" s="118">
        <v>0.31</v>
      </c>
      <c r="AH111" s="118">
        <v>0.2</v>
      </c>
      <c r="AI111" s="119">
        <v>1.97</v>
      </c>
      <c r="AJ111" s="120">
        <v>0.43</v>
      </c>
      <c r="AK111" s="118">
        <v>0.61</v>
      </c>
      <c r="AL111" s="118">
        <v>0</v>
      </c>
      <c r="AM111" s="119">
        <v>1.04</v>
      </c>
      <c r="AN111" s="120">
        <v>1.08</v>
      </c>
      <c r="AO111" s="118">
        <v>0.49</v>
      </c>
      <c r="AP111" s="118">
        <v>0.59</v>
      </c>
      <c r="AQ111" s="119">
        <v>2.16</v>
      </c>
      <c r="AR111" s="120">
        <v>1.17</v>
      </c>
      <c r="AS111" s="118">
        <v>0.37</v>
      </c>
      <c r="AT111" s="118">
        <v>0.2</v>
      </c>
      <c r="AU111" s="119">
        <v>1.73</v>
      </c>
      <c r="AV111" s="120">
        <v>0.93</v>
      </c>
      <c r="AW111" s="118">
        <v>0.76</v>
      </c>
      <c r="AX111" s="118">
        <v>0</v>
      </c>
      <c r="AY111" s="119">
        <v>1.69</v>
      </c>
      <c r="AZ111" s="120">
        <v>0.43</v>
      </c>
      <c r="BA111" s="118">
        <v>1.02</v>
      </c>
      <c r="BB111" s="118">
        <v>0.05</v>
      </c>
      <c r="BC111" s="119">
        <v>1.51</v>
      </c>
      <c r="BD111" s="121">
        <v>0.66</v>
      </c>
      <c r="BE111" s="120">
        <v>1.56</v>
      </c>
      <c r="BF111" s="118">
        <v>0</v>
      </c>
      <c r="BG111" s="118">
        <v>0.18</v>
      </c>
      <c r="BH111" s="119">
        <v>1.74</v>
      </c>
      <c r="BI111" s="120">
        <v>0.71</v>
      </c>
      <c r="BJ111" s="118">
        <v>0.28999999999999998</v>
      </c>
      <c r="BK111" s="118">
        <v>0.23</v>
      </c>
      <c r="BL111" s="119">
        <v>1.23</v>
      </c>
      <c r="BM111" s="120">
        <v>1.28</v>
      </c>
      <c r="BN111" s="118">
        <v>2.42</v>
      </c>
      <c r="BO111" s="118">
        <v>1.17</v>
      </c>
      <c r="BP111" s="118">
        <v>1.46</v>
      </c>
      <c r="BQ111" s="118">
        <v>1.49</v>
      </c>
      <c r="BR111" s="118">
        <v>1.67</v>
      </c>
      <c r="BS111" s="118">
        <v>3.82</v>
      </c>
      <c r="BT111" s="118">
        <v>1.45</v>
      </c>
      <c r="BU111" s="119">
        <v>2.04</v>
      </c>
      <c r="BV111" s="74">
        <v>1591200</v>
      </c>
      <c r="BW111" s="105">
        <v>133</v>
      </c>
      <c r="BX111" s="106">
        <v>1060.8</v>
      </c>
      <c r="BY111" s="110">
        <v>38.9</v>
      </c>
      <c r="BZ111" s="106">
        <v>34.6</v>
      </c>
      <c r="CA111" s="115">
        <v>6.0899999999999999E-3</v>
      </c>
      <c r="CB111" s="105">
        <v>336</v>
      </c>
      <c r="CC111" s="114">
        <v>2.2499999999999998E-3</v>
      </c>
      <c r="CD111" s="105">
        <v>339</v>
      </c>
      <c r="CE111" s="99">
        <f t="shared" si="5"/>
        <v>8.2219122466800475E-3</v>
      </c>
      <c r="CF111" s="100">
        <f t="shared" si="3"/>
        <v>2.52</v>
      </c>
    </row>
    <row r="112" spans="1:84" ht="24" hidden="1" x14ac:dyDescent="0.25">
      <c r="A112" s="101">
        <v>111</v>
      </c>
      <c r="B112" s="102"/>
      <c r="C112" s="103" t="s">
        <v>327</v>
      </c>
      <c r="D112" s="104">
        <v>1200</v>
      </c>
      <c r="E112" s="105">
        <v>1326</v>
      </c>
      <c r="F112" s="106">
        <f t="shared" si="4"/>
        <v>1591200</v>
      </c>
      <c r="G112" s="105">
        <v>133</v>
      </c>
      <c r="H112" s="106">
        <v>1060.8</v>
      </c>
      <c r="I112" s="107">
        <v>0.9</v>
      </c>
      <c r="J112" s="108">
        <v>50.5</v>
      </c>
      <c r="K112" s="109">
        <v>32.1</v>
      </c>
      <c r="L112" s="110">
        <v>32.1</v>
      </c>
      <c r="M112" s="158">
        <v>1.27</v>
      </c>
      <c r="N112" s="106">
        <v>26.7</v>
      </c>
      <c r="O112" s="112" t="s">
        <v>210</v>
      </c>
      <c r="P112" s="113" t="s">
        <v>211</v>
      </c>
      <c r="Q112" s="114">
        <v>2.3E-3</v>
      </c>
      <c r="R112" s="115">
        <v>2.2000000000000001E-3</v>
      </c>
      <c r="S112" s="115">
        <v>6.0899999999999999E-3</v>
      </c>
      <c r="T112" s="105">
        <v>339</v>
      </c>
      <c r="U112" s="116">
        <v>267</v>
      </c>
      <c r="V112" s="114">
        <v>2.2499999999999998E-3</v>
      </c>
      <c r="W112" s="105">
        <v>346</v>
      </c>
      <c r="X112" s="116">
        <v>267</v>
      </c>
      <c r="Y112" s="160">
        <v>0.78</v>
      </c>
      <c r="Z112" s="110">
        <v>0.5</v>
      </c>
      <c r="AA112" s="123" t="s">
        <v>212</v>
      </c>
      <c r="AB112" s="112" t="s">
        <v>212</v>
      </c>
      <c r="AC112" s="174">
        <v>2</v>
      </c>
      <c r="AD112" s="112" t="s">
        <v>224</v>
      </c>
      <c r="AE112" s="175">
        <v>2.5499999999999998</v>
      </c>
      <c r="AF112" s="120">
        <v>1.29</v>
      </c>
      <c r="AG112" s="118">
        <v>0.31</v>
      </c>
      <c r="AH112" s="118">
        <v>0.2</v>
      </c>
      <c r="AI112" s="119">
        <v>1.8</v>
      </c>
      <c r="AJ112" s="120">
        <v>0.38</v>
      </c>
      <c r="AK112" s="118">
        <v>0.62</v>
      </c>
      <c r="AL112" s="118">
        <v>0</v>
      </c>
      <c r="AM112" s="119">
        <v>1</v>
      </c>
      <c r="AN112" s="120">
        <v>0.95</v>
      </c>
      <c r="AO112" s="118">
        <v>0.5</v>
      </c>
      <c r="AP112" s="118">
        <v>0.59</v>
      </c>
      <c r="AQ112" s="119">
        <v>2.0299999999999998</v>
      </c>
      <c r="AR112" s="120">
        <v>1.02</v>
      </c>
      <c r="AS112" s="118">
        <v>0.37</v>
      </c>
      <c r="AT112" s="118">
        <v>0.2</v>
      </c>
      <c r="AU112" s="119">
        <v>1.59</v>
      </c>
      <c r="AV112" s="120">
        <v>0.81</v>
      </c>
      <c r="AW112" s="118">
        <v>0.78</v>
      </c>
      <c r="AX112" s="118">
        <v>0</v>
      </c>
      <c r="AY112" s="119">
        <v>1.59</v>
      </c>
      <c r="AZ112" s="120">
        <v>0.36</v>
      </c>
      <c r="BA112" s="118">
        <v>1.03</v>
      </c>
      <c r="BB112" s="118">
        <v>0.05</v>
      </c>
      <c r="BC112" s="119">
        <v>1.45</v>
      </c>
      <c r="BD112" s="121">
        <v>0.66</v>
      </c>
      <c r="BE112" s="120">
        <v>1.4</v>
      </c>
      <c r="BF112" s="118">
        <v>0</v>
      </c>
      <c r="BG112" s="118">
        <v>0.18</v>
      </c>
      <c r="BH112" s="119">
        <v>1.58</v>
      </c>
      <c r="BI112" s="120">
        <v>0.63</v>
      </c>
      <c r="BJ112" s="118">
        <v>0.28000000000000003</v>
      </c>
      <c r="BK112" s="118">
        <v>0.23</v>
      </c>
      <c r="BL112" s="119">
        <v>1.1499999999999999</v>
      </c>
      <c r="BM112" s="120">
        <v>1.42</v>
      </c>
      <c r="BN112" s="118">
        <v>2.54</v>
      </c>
      <c r="BO112" s="118">
        <v>1.25</v>
      </c>
      <c r="BP112" s="118">
        <v>1.6</v>
      </c>
      <c r="BQ112" s="118">
        <v>1.6</v>
      </c>
      <c r="BR112" s="118">
        <v>1.75</v>
      </c>
      <c r="BS112" s="118">
        <v>3.86</v>
      </c>
      <c r="BT112" s="118">
        <v>1.61</v>
      </c>
      <c r="BU112" s="119">
        <v>2.21</v>
      </c>
      <c r="BV112" s="74">
        <v>1591200</v>
      </c>
      <c r="BW112" s="105">
        <v>133</v>
      </c>
      <c r="BX112" s="106">
        <v>1060.8</v>
      </c>
      <c r="BY112" s="110">
        <v>32.1</v>
      </c>
      <c r="BZ112" s="106">
        <v>26.7</v>
      </c>
      <c r="CA112" s="115">
        <v>6.0899999999999999E-3</v>
      </c>
      <c r="CB112" s="105">
        <v>339</v>
      </c>
      <c r="CC112" s="114">
        <v>2.2499999999999998E-3</v>
      </c>
      <c r="CD112" s="105">
        <v>346</v>
      </c>
      <c r="CE112" s="99">
        <f t="shared" si="5"/>
        <v>9.1291577359688819E-3</v>
      </c>
      <c r="CF112" s="100">
        <f t="shared" si="3"/>
        <v>2.5499999999999998</v>
      </c>
    </row>
    <row r="113" spans="1:84" ht="24" hidden="1" x14ac:dyDescent="0.25">
      <c r="A113" s="101">
        <v>112</v>
      </c>
      <c r="B113" s="102"/>
      <c r="C113" s="103" t="s">
        <v>328</v>
      </c>
      <c r="D113" s="104">
        <v>1200</v>
      </c>
      <c r="E113" s="105">
        <v>1593</v>
      </c>
      <c r="F113" s="106">
        <f t="shared" si="4"/>
        <v>1911600</v>
      </c>
      <c r="G113" s="105">
        <v>133</v>
      </c>
      <c r="H113" s="106">
        <v>1274.4000000000001</v>
      </c>
      <c r="I113" s="107">
        <v>0.75</v>
      </c>
      <c r="J113" s="108">
        <v>46.2</v>
      </c>
      <c r="K113" s="109">
        <v>31.7</v>
      </c>
      <c r="L113" s="110">
        <v>31.7</v>
      </c>
      <c r="M113" s="158">
        <v>1.29</v>
      </c>
      <c r="N113" s="106">
        <v>27.7</v>
      </c>
      <c r="O113" s="112" t="s">
        <v>210</v>
      </c>
      <c r="P113" s="113" t="s">
        <v>211</v>
      </c>
      <c r="Q113" s="114">
        <v>1.9E-3</v>
      </c>
      <c r="R113" s="115">
        <v>2.2000000000000001E-3</v>
      </c>
      <c r="S113" s="115">
        <v>5.4400000000000004E-3</v>
      </c>
      <c r="T113" s="105">
        <v>348</v>
      </c>
      <c r="U113" s="116">
        <v>267</v>
      </c>
      <c r="V113" s="114">
        <v>2.2499999999999998E-3</v>
      </c>
      <c r="W113" s="105">
        <v>357</v>
      </c>
      <c r="X113" s="116">
        <v>267</v>
      </c>
      <c r="Y113" s="160">
        <v>1.77</v>
      </c>
      <c r="Z113" s="110">
        <v>0.5</v>
      </c>
      <c r="AA113" s="123" t="s">
        <v>212</v>
      </c>
      <c r="AB113" s="112" t="s">
        <v>212</v>
      </c>
      <c r="AC113" s="174">
        <v>2</v>
      </c>
      <c r="AD113" s="112" t="s">
        <v>224</v>
      </c>
      <c r="AE113" s="175">
        <v>2.92</v>
      </c>
      <c r="AF113" s="120">
        <v>1.39</v>
      </c>
      <c r="AG113" s="118">
        <v>0.32</v>
      </c>
      <c r="AH113" s="118">
        <v>0.44</v>
      </c>
      <c r="AI113" s="119">
        <v>2.15</v>
      </c>
      <c r="AJ113" s="120">
        <v>0.37</v>
      </c>
      <c r="AK113" s="118">
        <v>0.64</v>
      </c>
      <c r="AL113" s="118">
        <v>0</v>
      </c>
      <c r="AM113" s="119">
        <v>1.02</v>
      </c>
      <c r="AN113" s="120">
        <v>0.99</v>
      </c>
      <c r="AO113" s="118">
        <v>0.51</v>
      </c>
      <c r="AP113" s="118">
        <v>1.58</v>
      </c>
      <c r="AQ113" s="119">
        <v>2.37</v>
      </c>
      <c r="AR113" s="120">
        <v>1.0900000000000001</v>
      </c>
      <c r="AS113" s="118">
        <v>0.39</v>
      </c>
      <c r="AT113" s="118">
        <v>0.44</v>
      </c>
      <c r="AU113" s="119">
        <v>1.68</v>
      </c>
      <c r="AV113" s="120">
        <v>0.89</v>
      </c>
      <c r="AW113" s="118">
        <v>0.8</v>
      </c>
      <c r="AX113" s="118">
        <v>0</v>
      </c>
      <c r="AY113" s="119">
        <v>1.7</v>
      </c>
      <c r="AZ113" s="120">
        <v>0.36</v>
      </c>
      <c r="BA113" s="118">
        <v>1.05</v>
      </c>
      <c r="BB113" s="118">
        <v>0.12</v>
      </c>
      <c r="BC113" s="119">
        <v>1.53</v>
      </c>
      <c r="BD113" s="121">
        <v>0.69</v>
      </c>
      <c r="BE113" s="120">
        <v>1.71</v>
      </c>
      <c r="BF113" s="118">
        <v>0</v>
      </c>
      <c r="BG113" s="118">
        <v>0.41</v>
      </c>
      <c r="BH113" s="119">
        <v>2.12</v>
      </c>
      <c r="BI113" s="120">
        <v>0.64</v>
      </c>
      <c r="BJ113" s="118">
        <v>0.26</v>
      </c>
      <c r="BK113" s="118">
        <v>0.53</v>
      </c>
      <c r="BL113" s="119">
        <v>1.44</v>
      </c>
      <c r="BM113" s="120">
        <v>1.35</v>
      </c>
      <c r="BN113" s="118">
        <v>2.86</v>
      </c>
      <c r="BO113" s="118">
        <v>1.23</v>
      </c>
      <c r="BP113" s="118">
        <v>1.73</v>
      </c>
      <c r="BQ113" s="118">
        <v>1.72</v>
      </c>
      <c r="BR113" s="118">
        <v>1.91</v>
      </c>
      <c r="BS113" s="118">
        <v>4.2300000000000004</v>
      </c>
      <c r="BT113" s="118">
        <v>1.38</v>
      </c>
      <c r="BU113" s="119">
        <v>2.0299999999999998</v>
      </c>
      <c r="BV113" s="74">
        <v>1911600</v>
      </c>
      <c r="BW113" s="105">
        <v>133</v>
      </c>
      <c r="BX113" s="106">
        <v>1274.4000000000001</v>
      </c>
      <c r="BY113" s="110">
        <v>31.7</v>
      </c>
      <c r="BZ113" s="106">
        <v>27.7</v>
      </c>
      <c r="CA113" s="115">
        <v>5.4400000000000004E-3</v>
      </c>
      <c r="CB113" s="105">
        <v>348</v>
      </c>
      <c r="CC113" s="114">
        <v>2.2499999999999998E-3</v>
      </c>
      <c r="CD113" s="105">
        <v>357</v>
      </c>
      <c r="CE113" s="99">
        <f t="shared" si="5"/>
        <v>6.5134587882134717E-3</v>
      </c>
      <c r="CF113" s="100">
        <f t="shared" si="3"/>
        <v>2.92</v>
      </c>
    </row>
    <row r="114" spans="1:84" ht="24" hidden="1" x14ac:dyDescent="0.25">
      <c r="A114" s="128">
        <v>113</v>
      </c>
      <c r="B114" s="129"/>
      <c r="C114" s="130" t="s">
        <v>329</v>
      </c>
      <c r="D114" s="131">
        <v>1200</v>
      </c>
      <c r="E114" s="132">
        <v>1593</v>
      </c>
      <c r="F114" s="133">
        <f t="shared" si="4"/>
        <v>1911600</v>
      </c>
      <c r="G114" s="132">
        <v>133</v>
      </c>
      <c r="H114" s="133">
        <v>1274.4000000000001</v>
      </c>
      <c r="I114" s="134">
        <v>0.75</v>
      </c>
      <c r="J114" s="135">
        <v>46.2</v>
      </c>
      <c r="K114" s="136">
        <v>32.9</v>
      </c>
      <c r="L114" s="137">
        <v>32.9</v>
      </c>
      <c r="M114" s="166">
        <v>1.28</v>
      </c>
      <c r="N114" s="133">
        <v>27.2</v>
      </c>
      <c r="O114" s="139" t="s">
        <v>210</v>
      </c>
      <c r="P114" s="140" t="s">
        <v>211</v>
      </c>
      <c r="Q114" s="141">
        <v>1.9E-3</v>
      </c>
      <c r="R114" s="142">
        <v>2.2000000000000001E-3</v>
      </c>
      <c r="S114" s="142">
        <v>5.4400000000000004E-3</v>
      </c>
      <c r="T114" s="132">
        <v>348</v>
      </c>
      <c r="U114" s="143">
        <v>267</v>
      </c>
      <c r="V114" s="141">
        <v>2.2499999999999998E-3</v>
      </c>
      <c r="W114" s="132">
        <v>357</v>
      </c>
      <c r="X114" s="143">
        <v>267</v>
      </c>
      <c r="Y114" s="167">
        <v>1.77</v>
      </c>
      <c r="Z114" s="137">
        <v>0.5</v>
      </c>
      <c r="AA114" s="193" t="s">
        <v>212</v>
      </c>
      <c r="AB114" s="139" t="s">
        <v>212</v>
      </c>
      <c r="AC114" s="178">
        <v>2</v>
      </c>
      <c r="AD114" s="176" t="s">
        <v>224</v>
      </c>
      <c r="AE114" s="177">
        <v>2.33</v>
      </c>
      <c r="AF114" s="147">
        <v>1.37</v>
      </c>
      <c r="AG114" s="145">
        <v>0.32</v>
      </c>
      <c r="AH114" s="145">
        <v>0.44</v>
      </c>
      <c r="AI114" s="146">
        <v>2.14</v>
      </c>
      <c r="AJ114" s="147">
        <v>0.38</v>
      </c>
      <c r="AK114" s="145">
        <v>0.64</v>
      </c>
      <c r="AL114" s="145">
        <v>0</v>
      </c>
      <c r="AM114" s="146">
        <v>1.03</v>
      </c>
      <c r="AN114" s="147">
        <v>0.98</v>
      </c>
      <c r="AO114" s="145">
        <v>0.51</v>
      </c>
      <c r="AP114" s="145">
        <v>1.58</v>
      </c>
      <c r="AQ114" s="146">
        <v>2.35</v>
      </c>
      <c r="AR114" s="147">
        <v>1.08</v>
      </c>
      <c r="AS114" s="145">
        <v>0.39</v>
      </c>
      <c r="AT114" s="145">
        <v>0.44</v>
      </c>
      <c r="AU114" s="146">
        <v>1.67</v>
      </c>
      <c r="AV114" s="147">
        <v>0.89</v>
      </c>
      <c r="AW114" s="145">
        <v>0.8</v>
      </c>
      <c r="AX114" s="145">
        <v>0</v>
      </c>
      <c r="AY114" s="146">
        <v>1.69</v>
      </c>
      <c r="AZ114" s="147">
        <v>0.35</v>
      </c>
      <c r="BA114" s="145">
        <v>1.05</v>
      </c>
      <c r="BB114" s="145">
        <v>0.12</v>
      </c>
      <c r="BC114" s="146">
        <v>1.52</v>
      </c>
      <c r="BD114" s="148">
        <v>0.69</v>
      </c>
      <c r="BE114" s="147">
        <v>1.7</v>
      </c>
      <c r="BF114" s="145">
        <v>0</v>
      </c>
      <c r="BG114" s="145">
        <v>0.41</v>
      </c>
      <c r="BH114" s="146">
        <v>2.11</v>
      </c>
      <c r="BI114" s="147">
        <v>0.64</v>
      </c>
      <c r="BJ114" s="145">
        <v>0.26</v>
      </c>
      <c r="BK114" s="145">
        <v>0.53</v>
      </c>
      <c r="BL114" s="146">
        <v>1.43</v>
      </c>
      <c r="BM114" s="147">
        <v>1.0900000000000001</v>
      </c>
      <c r="BN114" s="145">
        <v>2.2599999999999998</v>
      </c>
      <c r="BO114" s="145">
        <v>0.99</v>
      </c>
      <c r="BP114" s="145">
        <v>1.39</v>
      </c>
      <c r="BQ114" s="145">
        <v>1.38</v>
      </c>
      <c r="BR114" s="145">
        <v>1.53</v>
      </c>
      <c r="BS114" s="145">
        <v>3.37</v>
      </c>
      <c r="BT114" s="145">
        <v>1.1000000000000001</v>
      </c>
      <c r="BU114" s="146">
        <v>1.62</v>
      </c>
      <c r="BV114" s="74">
        <v>1911600</v>
      </c>
      <c r="BW114" s="132">
        <v>133</v>
      </c>
      <c r="BX114" s="133">
        <v>1274.4000000000001</v>
      </c>
      <c r="BY114" s="137">
        <v>32.9</v>
      </c>
      <c r="BZ114" s="133">
        <v>27.2</v>
      </c>
      <c r="CA114" s="142">
        <v>5.4400000000000004E-3</v>
      </c>
      <c r="CB114" s="132">
        <v>348</v>
      </c>
      <c r="CC114" s="141">
        <v>2.2499999999999998E-3</v>
      </c>
      <c r="CD114" s="132">
        <v>357</v>
      </c>
      <c r="CE114" s="99">
        <f t="shared" si="5"/>
        <v>5.1918874398803033E-3</v>
      </c>
      <c r="CF114" s="100">
        <f t="shared" si="3"/>
        <v>2.33</v>
      </c>
    </row>
    <row r="115" spans="1:84" ht="14.25" hidden="1" customHeight="1" x14ac:dyDescent="0.25">
      <c r="A115" s="78">
        <v>114</v>
      </c>
      <c r="B115" s="79" t="s">
        <v>330</v>
      </c>
      <c r="C115" s="94">
        <v>1</v>
      </c>
      <c r="D115" s="81">
        <v>2408</v>
      </c>
      <c r="E115" s="82">
        <v>2870</v>
      </c>
      <c r="F115" s="83">
        <f t="shared" si="4"/>
        <v>6910960</v>
      </c>
      <c r="G115" s="82">
        <v>150</v>
      </c>
      <c r="H115" s="82">
        <v>2296</v>
      </c>
      <c r="I115" s="84">
        <v>0.84</v>
      </c>
      <c r="J115" s="85">
        <v>40.6</v>
      </c>
      <c r="K115" s="86">
        <v>10.3</v>
      </c>
      <c r="L115" s="87">
        <v>22</v>
      </c>
      <c r="M115" s="152">
        <v>0.84</v>
      </c>
      <c r="N115" s="83">
        <v>12.5</v>
      </c>
      <c r="O115" s="89" t="s">
        <v>201</v>
      </c>
      <c r="P115" s="90" t="s">
        <v>202</v>
      </c>
      <c r="Q115" s="91">
        <v>3.1E-4</v>
      </c>
      <c r="R115" s="89" t="s">
        <v>331</v>
      </c>
      <c r="S115" s="92">
        <v>1E-3</v>
      </c>
      <c r="T115" s="82">
        <v>500</v>
      </c>
      <c r="U115" s="90" t="s">
        <v>331</v>
      </c>
      <c r="V115" s="91">
        <v>0</v>
      </c>
      <c r="W115" s="82">
        <v>0</v>
      </c>
      <c r="X115" s="93">
        <v>0</v>
      </c>
      <c r="Y115" s="153">
        <v>0.5</v>
      </c>
      <c r="Z115" s="94">
        <v>1</v>
      </c>
      <c r="AA115" s="123" t="s">
        <v>212</v>
      </c>
      <c r="AB115" s="112" t="s">
        <v>212</v>
      </c>
      <c r="AC115" s="172">
        <v>2</v>
      </c>
      <c r="AD115" s="112" t="s">
        <v>224</v>
      </c>
      <c r="AE115" s="173">
        <v>0.42</v>
      </c>
      <c r="AF115" s="97">
        <v>0.33</v>
      </c>
      <c r="AG115" s="95">
        <v>0</v>
      </c>
      <c r="AH115" s="95">
        <v>0.13</v>
      </c>
      <c r="AI115" s="96">
        <v>0.46</v>
      </c>
      <c r="AJ115" s="97">
        <v>0.35</v>
      </c>
      <c r="AK115" s="95">
        <v>0</v>
      </c>
      <c r="AL115" s="95">
        <v>0</v>
      </c>
      <c r="AM115" s="96">
        <v>0.35</v>
      </c>
      <c r="AN115" s="97">
        <v>0.46</v>
      </c>
      <c r="AO115" s="95">
        <v>0</v>
      </c>
      <c r="AP115" s="95">
        <v>0.2</v>
      </c>
      <c r="AQ115" s="96">
        <v>0.66</v>
      </c>
      <c r="AR115" s="97">
        <v>0.53</v>
      </c>
      <c r="AS115" s="95">
        <v>0</v>
      </c>
      <c r="AT115" s="95">
        <v>0.13</v>
      </c>
      <c r="AU115" s="96">
        <v>0.56999999999999995</v>
      </c>
      <c r="AV115" s="97">
        <v>0.18</v>
      </c>
      <c r="AW115" s="95">
        <v>0</v>
      </c>
      <c r="AX115" s="95">
        <v>0</v>
      </c>
      <c r="AY115" s="96">
        <v>0.18</v>
      </c>
      <c r="AZ115" s="189"/>
      <c r="BA115" s="190"/>
      <c r="BB115" s="190"/>
      <c r="BC115" s="191"/>
      <c r="BD115" s="98">
        <v>0.19</v>
      </c>
      <c r="BE115" s="97">
        <v>0.5</v>
      </c>
      <c r="BF115" s="95">
        <v>0</v>
      </c>
      <c r="BG115" s="95">
        <v>0.12</v>
      </c>
      <c r="BH115" s="96">
        <v>0.61</v>
      </c>
      <c r="BI115" s="97">
        <v>0.42</v>
      </c>
      <c r="BJ115" s="95">
        <v>0</v>
      </c>
      <c r="BK115" s="95">
        <v>0.15</v>
      </c>
      <c r="BL115" s="96">
        <v>0.56999999999999995</v>
      </c>
      <c r="BM115" s="97">
        <v>0.91</v>
      </c>
      <c r="BN115" s="95">
        <v>1.19</v>
      </c>
      <c r="BO115" s="95">
        <v>0.63</v>
      </c>
      <c r="BP115" s="95">
        <v>0.74</v>
      </c>
      <c r="BQ115" s="95">
        <v>2.36</v>
      </c>
      <c r="BR115" s="190"/>
      <c r="BS115" s="95">
        <v>2.19</v>
      </c>
      <c r="BT115" s="95">
        <v>0.68</v>
      </c>
      <c r="BU115" s="96">
        <v>0.73</v>
      </c>
      <c r="BV115" s="74">
        <v>6910960</v>
      </c>
      <c r="BW115" s="82">
        <v>150</v>
      </c>
      <c r="BX115" s="82">
        <v>2296</v>
      </c>
      <c r="BY115" s="87">
        <v>22</v>
      </c>
      <c r="BZ115" s="83">
        <v>12.5</v>
      </c>
      <c r="CA115" s="92">
        <v>1E-3</v>
      </c>
      <c r="CB115" s="82">
        <v>500</v>
      </c>
      <c r="CC115" s="91">
        <v>0</v>
      </c>
      <c r="CD115" s="82">
        <v>0</v>
      </c>
      <c r="CE115" s="99">
        <f t="shared" si="5"/>
        <v>1.5795586527293844E-3</v>
      </c>
      <c r="CF115" s="100">
        <f t="shared" si="3"/>
        <v>0.42</v>
      </c>
    </row>
    <row r="116" spans="1:84" hidden="1" x14ac:dyDescent="0.25">
      <c r="A116" s="101">
        <v>115</v>
      </c>
      <c r="B116" s="102"/>
      <c r="C116" s="103" t="s">
        <v>286</v>
      </c>
      <c r="D116" s="104">
        <v>2408</v>
      </c>
      <c r="E116" s="105">
        <v>2870</v>
      </c>
      <c r="F116" s="106">
        <f t="shared" si="4"/>
        <v>6910960</v>
      </c>
      <c r="G116" s="105">
        <v>150</v>
      </c>
      <c r="H116" s="105">
        <v>2296</v>
      </c>
      <c r="I116" s="107">
        <v>0.84</v>
      </c>
      <c r="J116" s="108">
        <v>40.6</v>
      </c>
      <c r="K116" s="109">
        <v>10.7</v>
      </c>
      <c r="L116" s="110">
        <v>32.1</v>
      </c>
      <c r="M116" s="158">
        <v>0.81</v>
      </c>
      <c r="N116" s="106">
        <v>11.9</v>
      </c>
      <c r="O116" s="112" t="s">
        <v>201</v>
      </c>
      <c r="P116" s="113" t="s">
        <v>202</v>
      </c>
      <c r="Q116" s="114">
        <v>3.1E-4</v>
      </c>
      <c r="R116" s="112" t="s">
        <v>331</v>
      </c>
      <c r="S116" s="115">
        <v>1E-3</v>
      </c>
      <c r="T116" s="105">
        <v>500</v>
      </c>
      <c r="U116" s="113" t="s">
        <v>331</v>
      </c>
      <c r="V116" s="114">
        <v>0</v>
      </c>
      <c r="W116" s="105">
        <v>0</v>
      </c>
      <c r="X116" s="116">
        <v>0</v>
      </c>
      <c r="Y116" s="160">
        <v>0.5</v>
      </c>
      <c r="Z116" s="117">
        <v>1</v>
      </c>
      <c r="AA116" s="123" t="s">
        <v>212</v>
      </c>
      <c r="AB116" s="112" t="s">
        <v>212</v>
      </c>
      <c r="AC116" s="109">
        <v>5.7</v>
      </c>
      <c r="AD116" s="112" t="s">
        <v>224</v>
      </c>
      <c r="AE116" s="175">
        <v>0.44</v>
      </c>
      <c r="AF116" s="120">
        <v>0.32</v>
      </c>
      <c r="AG116" s="118">
        <v>0</v>
      </c>
      <c r="AH116" s="118">
        <v>0.13</v>
      </c>
      <c r="AI116" s="119">
        <v>0.45</v>
      </c>
      <c r="AJ116" s="120">
        <v>0.35</v>
      </c>
      <c r="AK116" s="118">
        <v>0</v>
      </c>
      <c r="AL116" s="118">
        <v>0</v>
      </c>
      <c r="AM116" s="119">
        <v>0.35</v>
      </c>
      <c r="AN116" s="120">
        <v>0</v>
      </c>
      <c r="AO116" s="118">
        <v>0</v>
      </c>
      <c r="AP116" s="118">
        <v>0.2</v>
      </c>
      <c r="AQ116" s="119">
        <v>0.2</v>
      </c>
      <c r="AR116" s="120">
        <v>0.51</v>
      </c>
      <c r="AS116" s="118">
        <v>0</v>
      </c>
      <c r="AT116" s="118">
        <v>0.13</v>
      </c>
      <c r="AU116" s="119">
        <v>0.55000000000000004</v>
      </c>
      <c r="AV116" s="120">
        <v>0.17</v>
      </c>
      <c r="AW116" s="118">
        <v>0</v>
      </c>
      <c r="AX116" s="118">
        <v>0</v>
      </c>
      <c r="AY116" s="119">
        <v>0.17</v>
      </c>
      <c r="AZ116" s="122"/>
      <c r="BA116" s="124"/>
      <c r="BB116" s="124"/>
      <c r="BC116" s="192"/>
      <c r="BD116" s="121">
        <v>0.19</v>
      </c>
      <c r="BE116" s="120">
        <v>0.48</v>
      </c>
      <c r="BF116" s="118">
        <v>0</v>
      </c>
      <c r="BG116" s="118">
        <v>0.12</v>
      </c>
      <c r="BH116" s="119">
        <v>0.6</v>
      </c>
      <c r="BI116" s="120">
        <v>0.4</v>
      </c>
      <c r="BJ116" s="118">
        <v>0</v>
      </c>
      <c r="BK116" s="118">
        <v>0.15</v>
      </c>
      <c r="BL116" s="119">
        <v>0.55000000000000004</v>
      </c>
      <c r="BM116" s="120">
        <v>0.99</v>
      </c>
      <c r="BN116" s="118">
        <v>1.27</v>
      </c>
      <c r="BO116" s="118">
        <v>2.27</v>
      </c>
      <c r="BP116" s="118">
        <v>0.8</v>
      </c>
      <c r="BQ116" s="118">
        <v>2.58</v>
      </c>
      <c r="BR116" s="124"/>
      <c r="BS116" s="118">
        <v>2.34</v>
      </c>
      <c r="BT116" s="118">
        <v>0.74</v>
      </c>
      <c r="BU116" s="119">
        <v>0.8</v>
      </c>
      <c r="BV116" s="74">
        <v>6910960</v>
      </c>
      <c r="BW116" s="105">
        <v>150</v>
      </c>
      <c r="BX116" s="105">
        <v>2296</v>
      </c>
      <c r="BY116" s="110">
        <v>32.1</v>
      </c>
      <c r="BZ116" s="106">
        <v>11.9</v>
      </c>
      <c r="CA116" s="115">
        <v>1E-3</v>
      </c>
      <c r="CB116" s="105">
        <v>500</v>
      </c>
      <c r="CC116" s="114">
        <v>0</v>
      </c>
      <c r="CD116" s="105">
        <v>0</v>
      </c>
      <c r="CE116" s="99">
        <f t="shared" si="5"/>
        <v>1.718931475029036E-3</v>
      </c>
      <c r="CF116" s="100">
        <f t="shared" si="3"/>
        <v>0.44</v>
      </c>
    </row>
    <row r="117" spans="1:84" hidden="1" x14ac:dyDescent="0.25">
      <c r="A117" s="101">
        <v>116</v>
      </c>
      <c r="B117" s="102"/>
      <c r="C117" s="117">
        <v>2</v>
      </c>
      <c r="D117" s="104">
        <v>2408</v>
      </c>
      <c r="E117" s="105">
        <v>2870</v>
      </c>
      <c r="F117" s="106">
        <f t="shared" si="4"/>
        <v>6910960</v>
      </c>
      <c r="G117" s="105">
        <v>150</v>
      </c>
      <c r="H117" s="105">
        <v>2296</v>
      </c>
      <c r="I117" s="107">
        <v>0.84</v>
      </c>
      <c r="J117" s="108">
        <v>40.6</v>
      </c>
      <c r="K117" s="109">
        <v>9.6999999999999993</v>
      </c>
      <c r="L117" s="110">
        <v>29.5</v>
      </c>
      <c r="M117" s="158">
        <v>0.89</v>
      </c>
      <c r="N117" s="106">
        <v>13.7</v>
      </c>
      <c r="O117" s="112" t="s">
        <v>201</v>
      </c>
      <c r="P117" s="113" t="s">
        <v>202</v>
      </c>
      <c r="Q117" s="114">
        <v>3.1E-4</v>
      </c>
      <c r="R117" s="112" t="s">
        <v>331</v>
      </c>
      <c r="S117" s="115">
        <v>1E-3</v>
      </c>
      <c r="T117" s="105">
        <v>500</v>
      </c>
      <c r="U117" s="113" t="s">
        <v>331</v>
      </c>
      <c r="V117" s="114">
        <v>0</v>
      </c>
      <c r="W117" s="105">
        <v>0</v>
      </c>
      <c r="X117" s="116">
        <v>0</v>
      </c>
      <c r="Y117" s="160">
        <v>0.5</v>
      </c>
      <c r="Z117" s="117">
        <v>1</v>
      </c>
      <c r="AA117" s="123" t="s">
        <v>212</v>
      </c>
      <c r="AB117" s="112" t="s">
        <v>212</v>
      </c>
      <c r="AC117" s="174">
        <v>2</v>
      </c>
      <c r="AD117" s="112" t="s">
        <v>224</v>
      </c>
      <c r="AE117" s="175">
        <v>0.42</v>
      </c>
      <c r="AF117" s="120">
        <v>0.35</v>
      </c>
      <c r="AG117" s="118">
        <v>0</v>
      </c>
      <c r="AH117" s="118">
        <v>0.13</v>
      </c>
      <c r="AI117" s="119">
        <v>0.47</v>
      </c>
      <c r="AJ117" s="120">
        <v>0.35</v>
      </c>
      <c r="AK117" s="118">
        <v>0</v>
      </c>
      <c r="AL117" s="118">
        <v>0</v>
      </c>
      <c r="AM117" s="119">
        <v>0.35</v>
      </c>
      <c r="AN117" s="120">
        <v>0.48</v>
      </c>
      <c r="AO117" s="118">
        <v>0</v>
      </c>
      <c r="AP117" s="118">
        <v>0.2</v>
      </c>
      <c r="AQ117" s="119">
        <v>0.68</v>
      </c>
      <c r="AR117" s="120">
        <v>0.55000000000000004</v>
      </c>
      <c r="AS117" s="118">
        <v>0</v>
      </c>
      <c r="AT117" s="118">
        <v>0.13</v>
      </c>
      <c r="AU117" s="119">
        <v>0.59</v>
      </c>
      <c r="AV117" s="120">
        <v>0.18</v>
      </c>
      <c r="AW117" s="118">
        <v>0</v>
      </c>
      <c r="AX117" s="118">
        <v>0</v>
      </c>
      <c r="AY117" s="119">
        <v>0.18</v>
      </c>
      <c r="AZ117" s="122"/>
      <c r="BA117" s="124"/>
      <c r="BB117" s="124"/>
      <c r="BC117" s="192"/>
      <c r="BD117" s="121">
        <v>0.19</v>
      </c>
      <c r="BE117" s="120">
        <v>0.53</v>
      </c>
      <c r="BF117" s="118">
        <v>0</v>
      </c>
      <c r="BG117" s="118">
        <v>0.12</v>
      </c>
      <c r="BH117" s="119">
        <v>0.65</v>
      </c>
      <c r="BI117" s="120">
        <v>0.44</v>
      </c>
      <c r="BJ117" s="118">
        <v>0</v>
      </c>
      <c r="BK117" s="118">
        <v>0.15</v>
      </c>
      <c r="BL117" s="119">
        <v>0.59</v>
      </c>
      <c r="BM117" s="120">
        <v>0.89</v>
      </c>
      <c r="BN117" s="118">
        <v>1.2</v>
      </c>
      <c r="BO117" s="118">
        <v>0.62</v>
      </c>
      <c r="BP117" s="118">
        <v>0.71</v>
      </c>
      <c r="BQ117" s="118">
        <v>2.27</v>
      </c>
      <c r="BR117" s="124"/>
      <c r="BS117" s="118">
        <v>2.2000000000000002</v>
      </c>
      <c r="BT117" s="118">
        <v>0.65</v>
      </c>
      <c r="BU117" s="119">
        <v>0.7</v>
      </c>
      <c r="BV117" s="74">
        <v>6910960</v>
      </c>
      <c r="BW117" s="105">
        <v>150</v>
      </c>
      <c r="BX117" s="105">
        <v>2296</v>
      </c>
      <c r="BY117" s="110">
        <v>29.5</v>
      </c>
      <c r="BZ117" s="106">
        <v>13.7</v>
      </c>
      <c r="CA117" s="115">
        <v>1E-3</v>
      </c>
      <c r="CB117" s="105">
        <v>500</v>
      </c>
      <c r="CC117" s="114">
        <v>0</v>
      </c>
      <c r="CD117" s="105">
        <v>0</v>
      </c>
      <c r="CE117" s="99">
        <f t="shared" si="5"/>
        <v>1.5098722415795587E-3</v>
      </c>
      <c r="CF117" s="100">
        <f t="shared" si="3"/>
        <v>0.42</v>
      </c>
    </row>
    <row r="118" spans="1:84" hidden="1" x14ac:dyDescent="0.25">
      <c r="A118" s="101">
        <v>117</v>
      </c>
      <c r="B118" s="102"/>
      <c r="C118" s="103" t="s">
        <v>332</v>
      </c>
      <c r="D118" s="104">
        <v>2408</v>
      </c>
      <c r="E118" s="105">
        <v>2870</v>
      </c>
      <c r="F118" s="106">
        <f t="shared" si="4"/>
        <v>6910960</v>
      </c>
      <c r="G118" s="105">
        <v>150</v>
      </c>
      <c r="H118" s="105">
        <v>2296</v>
      </c>
      <c r="I118" s="107">
        <v>0.84</v>
      </c>
      <c r="J118" s="108">
        <v>40.6</v>
      </c>
      <c r="K118" s="109">
        <v>9</v>
      </c>
      <c r="L118" s="110">
        <v>31.5</v>
      </c>
      <c r="M118" s="158">
        <v>0.92</v>
      </c>
      <c r="N118" s="106">
        <v>14.4</v>
      </c>
      <c r="O118" s="112" t="s">
        <v>201</v>
      </c>
      <c r="P118" s="113" t="s">
        <v>202</v>
      </c>
      <c r="Q118" s="114">
        <v>3.1E-4</v>
      </c>
      <c r="R118" s="112" t="s">
        <v>331</v>
      </c>
      <c r="S118" s="115">
        <v>1E-3</v>
      </c>
      <c r="T118" s="105">
        <v>500</v>
      </c>
      <c r="U118" s="113" t="s">
        <v>331</v>
      </c>
      <c r="V118" s="114">
        <v>0</v>
      </c>
      <c r="W118" s="105">
        <v>0</v>
      </c>
      <c r="X118" s="116">
        <v>0</v>
      </c>
      <c r="Y118" s="160">
        <v>0.5</v>
      </c>
      <c r="Z118" s="117">
        <v>1</v>
      </c>
      <c r="AA118" s="123" t="s">
        <v>212</v>
      </c>
      <c r="AB118" s="112" t="s">
        <v>212</v>
      </c>
      <c r="AC118" s="109">
        <v>4.7</v>
      </c>
      <c r="AD118" s="112" t="s">
        <v>224</v>
      </c>
      <c r="AE118" s="175">
        <v>0.37</v>
      </c>
      <c r="AF118" s="120">
        <v>0.35</v>
      </c>
      <c r="AG118" s="118">
        <v>0</v>
      </c>
      <c r="AH118" s="118">
        <v>0.13</v>
      </c>
      <c r="AI118" s="119">
        <v>0.48</v>
      </c>
      <c r="AJ118" s="120">
        <v>0.35</v>
      </c>
      <c r="AK118" s="118">
        <v>0</v>
      </c>
      <c r="AL118" s="118">
        <v>0</v>
      </c>
      <c r="AM118" s="119">
        <v>0.35</v>
      </c>
      <c r="AN118" s="120">
        <v>0</v>
      </c>
      <c r="AO118" s="118">
        <v>0</v>
      </c>
      <c r="AP118" s="118">
        <v>0.2</v>
      </c>
      <c r="AQ118" s="119">
        <v>0.2</v>
      </c>
      <c r="AR118" s="120">
        <v>0.56000000000000005</v>
      </c>
      <c r="AS118" s="118">
        <v>0</v>
      </c>
      <c r="AT118" s="118">
        <v>0.13</v>
      </c>
      <c r="AU118" s="119">
        <v>0.61</v>
      </c>
      <c r="AV118" s="120">
        <v>0.19</v>
      </c>
      <c r="AW118" s="118">
        <v>0</v>
      </c>
      <c r="AX118" s="118">
        <v>0</v>
      </c>
      <c r="AY118" s="119">
        <v>0.19</v>
      </c>
      <c r="AZ118" s="122"/>
      <c r="BA118" s="124"/>
      <c r="BB118" s="124"/>
      <c r="BC118" s="192"/>
      <c r="BD118" s="121">
        <v>0.19</v>
      </c>
      <c r="BE118" s="120">
        <v>0.55000000000000004</v>
      </c>
      <c r="BF118" s="118">
        <v>0</v>
      </c>
      <c r="BG118" s="118">
        <v>0.12</v>
      </c>
      <c r="BH118" s="119">
        <v>0.66</v>
      </c>
      <c r="BI118" s="120">
        <v>0.46</v>
      </c>
      <c r="BJ118" s="118">
        <v>0</v>
      </c>
      <c r="BK118" s="118">
        <v>0.15</v>
      </c>
      <c r="BL118" s="119">
        <v>0.61</v>
      </c>
      <c r="BM118" s="120">
        <v>0.78</v>
      </c>
      <c r="BN118" s="118">
        <v>1.07</v>
      </c>
      <c r="BO118" s="118">
        <v>1.88</v>
      </c>
      <c r="BP118" s="118">
        <v>0.61</v>
      </c>
      <c r="BQ118" s="118">
        <v>1.97</v>
      </c>
      <c r="BR118" s="124"/>
      <c r="BS118" s="118">
        <v>1.96</v>
      </c>
      <c r="BT118" s="118">
        <v>0.56000000000000005</v>
      </c>
      <c r="BU118" s="119">
        <v>0.61</v>
      </c>
      <c r="BV118" s="74">
        <v>6910960</v>
      </c>
      <c r="BW118" s="105">
        <v>150</v>
      </c>
      <c r="BX118" s="105">
        <v>2296</v>
      </c>
      <c r="BY118" s="110">
        <v>31.5</v>
      </c>
      <c r="BZ118" s="106">
        <v>14.4</v>
      </c>
      <c r="CA118" s="115">
        <v>1E-3</v>
      </c>
      <c r="CB118" s="105">
        <v>500</v>
      </c>
      <c r="CC118" s="114">
        <v>0</v>
      </c>
      <c r="CD118" s="105">
        <v>0</v>
      </c>
      <c r="CE118" s="99">
        <f t="shared" si="5"/>
        <v>1.3008130081300815E-3</v>
      </c>
      <c r="CF118" s="100">
        <f t="shared" si="3"/>
        <v>0.37</v>
      </c>
    </row>
    <row r="119" spans="1:84" hidden="1" x14ac:dyDescent="0.25">
      <c r="A119" s="101">
        <v>118</v>
      </c>
      <c r="B119" s="102"/>
      <c r="C119" s="117">
        <v>3</v>
      </c>
      <c r="D119" s="104">
        <v>2408</v>
      </c>
      <c r="E119" s="105">
        <v>2870</v>
      </c>
      <c r="F119" s="106">
        <f t="shared" si="4"/>
        <v>6910960</v>
      </c>
      <c r="G119" s="105">
        <v>150</v>
      </c>
      <c r="H119" s="105">
        <v>2296</v>
      </c>
      <c r="I119" s="107">
        <v>0.84</v>
      </c>
      <c r="J119" s="108">
        <v>40.6</v>
      </c>
      <c r="K119" s="109">
        <v>5.3</v>
      </c>
      <c r="L119" s="110">
        <v>34.799999999999997</v>
      </c>
      <c r="M119" s="158">
        <v>0.96</v>
      </c>
      <c r="N119" s="106">
        <v>15.5</v>
      </c>
      <c r="O119" s="112" t="s">
        <v>201</v>
      </c>
      <c r="P119" s="113" t="s">
        <v>202</v>
      </c>
      <c r="Q119" s="114">
        <v>3.1E-4</v>
      </c>
      <c r="R119" s="112" t="s">
        <v>331</v>
      </c>
      <c r="S119" s="115">
        <v>1E-3</v>
      </c>
      <c r="T119" s="105">
        <v>500</v>
      </c>
      <c r="U119" s="113" t="s">
        <v>331</v>
      </c>
      <c r="V119" s="114">
        <v>0</v>
      </c>
      <c r="W119" s="105">
        <v>0</v>
      </c>
      <c r="X119" s="116">
        <v>0</v>
      </c>
      <c r="Y119" s="160">
        <v>0.5</v>
      </c>
      <c r="Z119" s="117">
        <v>1</v>
      </c>
      <c r="AA119" s="123" t="s">
        <v>212</v>
      </c>
      <c r="AB119" s="112" t="s">
        <v>212</v>
      </c>
      <c r="AC119" s="174">
        <v>2</v>
      </c>
      <c r="AD119" s="112" t="s">
        <v>224</v>
      </c>
      <c r="AE119" s="175">
        <v>0.39</v>
      </c>
      <c r="AF119" s="120">
        <v>0.37</v>
      </c>
      <c r="AG119" s="118">
        <v>0</v>
      </c>
      <c r="AH119" s="118">
        <v>0.13</v>
      </c>
      <c r="AI119" s="119">
        <v>0.49</v>
      </c>
      <c r="AJ119" s="120">
        <v>0.35</v>
      </c>
      <c r="AK119" s="118">
        <v>0</v>
      </c>
      <c r="AL119" s="118">
        <v>0</v>
      </c>
      <c r="AM119" s="119">
        <v>0.35</v>
      </c>
      <c r="AN119" s="120">
        <v>0.51</v>
      </c>
      <c r="AO119" s="118">
        <v>0</v>
      </c>
      <c r="AP119" s="118">
        <v>0.2</v>
      </c>
      <c r="AQ119" s="119">
        <v>0.71</v>
      </c>
      <c r="AR119" s="120">
        <v>0.59</v>
      </c>
      <c r="AS119" s="118">
        <v>0</v>
      </c>
      <c r="AT119" s="118">
        <v>0.13</v>
      </c>
      <c r="AU119" s="119">
        <v>0.63</v>
      </c>
      <c r="AV119" s="120">
        <v>0.2</v>
      </c>
      <c r="AW119" s="118">
        <v>0</v>
      </c>
      <c r="AX119" s="118">
        <v>0</v>
      </c>
      <c r="AY119" s="119">
        <v>0.2</v>
      </c>
      <c r="AZ119" s="122"/>
      <c r="BA119" s="124"/>
      <c r="BB119" s="124"/>
      <c r="BC119" s="192"/>
      <c r="BD119" s="121">
        <v>0.19</v>
      </c>
      <c r="BE119" s="120">
        <v>0.56999999999999995</v>
      </c>
      <c r="BF119" s="118">
        <v>0</v>
      </c>
      <c r="BG119" s="118">
        <v>0.12</v>
      </c>
      <c r="BH119" s="119">
        <v>0.69</v>
      </c>
      <c r="BI119" s="120">
        <v>0.48</v>
      </c>
      <c r="BJ119" s="118">
        <v>0</v>
      </c>
      <c r="BK119" s="118">
        <v>0.15</v>
      </c>
      <c r="BL119" s="119">
        <v>0.63</v>
      </c>
      <c r="BM119" s="120">
        <v>0.79</v>
      </c>
      <c r="BN119" s="118">
        <v>1.1100000000000001</v>
      </c>
      <c r="BO119" s="118">
        <v>0.55000000000000004</v>
      </c>
      <c r="BP119" s="118">
        <v>0.62</v>
      </c>
      <c r="BQ119" s="118">
        <v>1.98</v>
      </c>
      <c r="BR119" s="124"/>
      <c r="BS119" s="118">
        <v>2.0499999999999998</v>
      </c>
      <c r="BT119" s="118">
        <v>0.56999999999999995</v>
      </c>
      <c r="BU119" s="119">
        <v>0.62</v>
      </c>
      <c r="BV119" s="74">
        <v>6910960</v>
      </c>
      <c r="BW119" s="105">
        <v>150</v>
      </c>
      <c r="BX119" s="105">
        <v>2296</v>
      </c>
      <c r="BY119" s="110">
        <v>34.799999999999997</v>
      </c>
      <c r="BZ119" s="106">
        <v>15.5</v>
      </c>
      <c r="CA119" s="115">
        <v>1E-3</v>
      </c>
      <c r="CB119" s="105">
        <v>500</v>
      </c>
      <c r="CC119" s="114">
        <v>0</v>
      </c>
      <c r="CD119" s="105">
        <v>0</v>
      </c>
      <c r="CE119" s="99">
        <f t="shared" si="5"/>
        <v>1.3240418118466899E-3</v>
      </c>
      <c r="CF119" s="100">
        <f t="shared" si="3"/>
        <v>0.39</v>
      </c>
    </row>
    <row r="120" spans="1:84" hidden="1" x14ac:dyDescent="0.25">
      <c r="A120" s="101">
        <v>119</v>
      </c>
      <c r="B120" s="102"/>
      <c r="C120" s="103" t="s">
        <v>333</v>
      </c>
      <c r="D120" s="104">
        <v>2408</v>
      </c>
      <c r="E120" s="105">
        <v>2870</v>
      </c>
      <c r="F120" s="106">
        <f t="shared" si="4"/>
        <v>6910960</v>
      </c>
      <c r="G120" s="105">
        <v>150</v>
      </c>
      <c r="H120" s="105">
        <v>2296</v>
      </c>
      <c r="I120" s="107">
        <v>0.84</v>
      </c>
      <c r="J120" s="108">
        <v>40.6</v>
      </c>
      <c r="K120" s="109">
        <v>6.9</v>
      </c>
      <c r="L120" s="110">
        <v>39.700000000000003</v>
      </c>
      <c r="M120" s="158">
        <v>0.97</v>
      </c>
      <c r="N120" s="106">
        <v>15.7</v>
      </c>
      <c r="O120" s="112" t="s">
        <v>201</v>
      </c>
      <c r="P120" s="113" t="s">
        <v>202</v>
      </c>
      <c r="Q120" s="114">
        <v>3.1E-4</v>
      </c>
      <c r="R120" s="112" t="s">
        <v>331</v>
      </c>
      <c r="S120" s="115">
        <v>1E-3</v>
      </c>
      <c r="T120" s="105">
        <v>500</v>
      </c>
      <c r="U120" s="113" t="s">
        <v>331</v>
      </c>
      <c r="V120" s="114">
        <v>0</v>
      </c>
      <c r="W120" s="105">
        <v>0</v>
      </c>
      <c r="X120" s="116">
        <v>0</v>
      </c>
      <c r="Y120" s="160">
        <v>0.5</v>
      </c>
      <c r="Z120" s="117">
        <v>1</v>
      </c>
      <c r="AA120" s="123" t="s">
        <v>212</v>
      </c>
      <c r="AB120" s="112" t="s">
        <v>212</v>
      </c>
      <c r="AC120" s="109">
        <v>5.3</v>
      </c>
      <c r="AD120" s="112" t="s">
        <v>224</v>
      </c>
      <c r="AE120" s="175">
        <v>0.45</v>
      </c>
      <c r="AF120" s="120">
        <v>0.37</v>
      </c>
      <c r="AG120" s="118">
        <v>0</v>
      </c>
      <c r="AH120" s="118">
        <v>0.13</v>
      </c>
      <c r="AI120" s="119">
        <v>0.49</v>
      </c>
      <c r="AJ120" s="120">
        <v>0.35</v>
      </c>
      <c r="AK120" s="118">
        <v>0</v>
      </c>
      <c r="AL120" s="118">
        <v>0</v>
      </c>
      <c r="AM120" s="119">
        <v>0.35</v>
      </c>
      <c r="AN120" s="120">
        <v>0</v>
      </c>
      <c r="AO120" s="118">
        <v>0</v>
      </c>
      <c r="AP120" s="118">
        <v>0.2</v>
      </c>
      <c r="AQ120" s="119">
        <v>0.2</v>
      </c>
      <c r="AR120" s="120">
        <v>0.59</v>
      </c>
      <c r="AS120" s="118">
        <v>0</v>
      </c>
      <c r="AT120" s="118">
        <v>0.13</v>
      </c>
      <c r="AU120" s="119">
        <v>0.63</v>
      </c>
      <c r="AV120" s="120">
        <v>0.2</v>
      </c>
      <c r="AW120" s="118">
        <v>0</v>
      </c>
      <c r="AX120" s="118">
        <v>0</v>
      </c>
      <c r="AY120" s="119">
        <v>0.2</v>
      </c>
      <c r="AZ120" s="122"/>
      <c r="BA120" s="124"/>
      <c r="BB120" s="124"/>
      <c r="BC120" s="192"/>
      <c r="BD120" s="121">
        <v>0.19</v>
      </c>
      <c r="BE120" s="120">
        <v>0.57999999999999996</v>
      </c>
      <c r="BF120" s="118">
        <v>0</v>
      </c>
      <c r="BG120" s="118">
        <v>0.12</v>
      </c>
      <c r="BH120" s="119">
        <v>0.69</v>
      </c>
      <c r="BI120" s="120">
        <v>0.48</v>
      </c>
      <c r="BJ120" s="118">
        <v>0</v>
      </c>
      <c r="BK120" s="118">
        <v>0.15</v>
      </c>
      <c r="BL120" s="119">
        <v>0.63</v>
      </c>
      <c r="BM120" s="120">
        <v>0.92</v>
      </c>
      <c r="BN120" s="118">
        <v>1.29</v>
      </c>
      <c r="BO120" s="118">
        <v>2.27</v>
      </c>
      <c r="BP120" s="118">
        <v>0.71</v>
      </c>
      <c r="BQ120" s="118">
        <v>2.2999999999999998</v>
      </c>
      <c r="BR120" s="124"/>
      <c r="BS120" s="118">
        <v>2.38</v>
      </c>
      <c r="BT120" s="118">
        <v>0.66</v>
      </c>
      <c r="BU120" s="119">
        <v>0.71</v>
      </c>
      <c r="BV120" s="74">
        <v>6910960</v>
      </c>
      <c r="BW120" s="105">
        <v>150</v>
      </c>
      <c r="BX120" s="105">
        <v>2296</v>
      </c>
      <c r="BY120" s="110">
        <v>39.700000000000003</v>
      </c>
      <c r="BZ120" s="106">
        <v>15.7</v>
      </c>
      <c r="CA120" s="115">
        <v>1E-3</v>
      </c>
      <c r="CB120" s="105">
        <v>500</v>
      </c>
      <c r="CC120" s="114">
        <v>0</v>
      </c>
      <c r="CD120" s="105">
        <v>0</v>
      </c>
      <c r="CE120" s="99">
        <f t="shared" si="5"/>
        <v>1.5331010452961672E-3</v>
      </c>
      <c r="CF120" s="100">
        <f t="shared" si="3"/>
        <v>0.45</v>
      </c>
    </row>
    <row r="121" spans="1:84" hidden="1" x14ac:dyDescent="0.25">
      <c r="A121" s="101">
        <v>120</v>
      </c>
      <c r="B121" s="102"/>
      <c r="C121" s="117">
        <v>4</v>
      </c>
      <c r="D121" s="104">
        <v>2408</v>
      </c>
      <c r="E121" s="105">
        <v>2870</v>
      </c>
      <c r="F121" s="106">
        <f t="shared" si="4"/>
        <v>6910960</v>
      </c>
      <c r="G121" s="105">
        <v>150</v>
      </c>
      <c r="H121" s="105">
        <v>2296</v>
      </c>
      <c r="I121" s="107">
        <v>0.84</v>
      </c>
      <c r="J121" s="108">
        <v>40.6</v>
      </c>
      <c r="K121" s="109">
        <v>5</v>
      </c>
      <c r="L121" s="110">
        <v>36.5</v>
      </c>
      <c r="M121" s="158">
        <v>1.06</v>
      </c>
      <c r="N121" s="106">
        <v>18.399999999999999</v>
      </c>
      <c r="O121" s="112" t="s">
        <v>201</v>
      </c>
      <c r="P121" s="113" t="s">
        <v>202</v>
      </c>
      <c r="Q121" s="114">
        <v>3.1E-4</v>
      </c>
      <c r="R121" s="112" t="s">
        <v>331</v>
      </c>
      <c r="S121" s="115">
        <v>1E-3</v>
      </c>
      <c r="T121" s="105">
        <v>500</v>
      </c>
      <c r="U121" s="113" t="s">
        <v>331</v>
      </c>
      <c r="V121" s="114">
        <v>0</v>
      </c>
      <c r="W121" s="105">
        <v>0</v>
      </c>
      <c r="X121" s="116">
        <v>0</v>
      </c>
      <c r="Y121" s="160">
        <v>0.5</v>
      </c>
      <c r="Z121" s="117">
        <v>1</v>
      </c>
      <c r="AA121" s="123" t="s">
        <v>212</v>
      </c>
      <c r="AB121" s="112" t="s">
        <v>212</v>
      </c>
      <c r="AC121" s="174">
        <v>2</v>
      </c>
      <c r="AD121" s="112" t="s">
        <v>224</v>
      </c>
      <c r="AE121" s="175">
        <v>0.3</v>
      </c>
      <c r="AF121" s="120">
        <v>0.4</v>
      </c>
      <c r="AG121" s="118">
        <v>0</v>
      </c>
      <c r="AH121" s="118">
        <v>0.13</v>
      </c>
      <c r="AI121" s="119">
        <v>0.53</v>
      </c>
      <c r="AJ121" s="120">
        <v>0.35</v>
      </c>
      <c r="AK121" s="118">
        <v>0</v>
      </c>
      <c r="AL121" s="118">
        <v>0</v>
      </c>
      <c r="AM121" s="119">
        <v>0.35</v>
      </c>
      <c r="AN121" s="120">
        <v>0.56000000000000005</v>
      </c>
      <c r="AO121" s="118">
        <v>0</v>
      </c>
      <c r="AP121" s="118">
        <v>0.2</v>
      </c>
      <c r="AQ121" s="119">
        <v>0.76</v>
      </c>
      <c r="AR121" s="120">
        <v>0.64</v>
      </c>
      <c r="AS121" s="118">
        <v>0</v>
      </c>
      <c r="AT121" s="118">
        <v>0.13</v>
      </c>
      <c r="AU121" s="119">
        <v>0.69</v>
      </c>
      <c r="AV121" s="120">
        <v>0.21</v>
      </c>
      <c r="AW121" s="118">
        <v>0</v>
      </c>
      <c r="AX121" s="118">
        <v>0</v>
      </c>
      <c r="AY121" s="119">
        <v>0.21</v>
      </c>
      <c r="AZ121" s="122"/>
      <c r="BA121" s="124"/>
      <c r="BB121" s="124"/>
      <c r="BC121" s="192"/>
      <c r="BD121" s="121">
        <v>0.19</v>
      </c>
      <c r="BE121" s="120">
        <v>0.63</v>
      </c>
      <c r="BF121" s="118">
        <v>0</v>
      </c>
      <c r="BG121" s="118">
        <v>0.12</v>
      </c>
      <c r="BH121" s="119">
        <v>0.75</v>
      </c>
      <c r="BI121" s="120">
        <v>0.53</v>
      </c>
      <c r="BJ121" s="118">
        <v>0</v>
      </c>
      <c r="BK121" s="118">
        <v>0.15</v>
      </c>
      <c r="BL121" s="119">
        <v>0.68</v>
      </c>
      <c r="BM121" s="120">
        <v>0.56999999999999995</v>
      </c>
      <c r="BN121" s="118">
        <v>0.86</v>
      </c>
      <c r="BO121" s="118">
        <v>0.4</v>
      </c>
      <c r="BP121" s="118">
        <v>0.44</v>
      </c>
      <c r="BQ121" s="118">
        <v>1.41</v>
      </c>
      <c r="BR121" s="124"/>
      <c r="BS121" s="118">
        <v>1.59</v>
      </c>
      <c r="BT121" s="118">
        <v>0.41</v>
      </c>
      <c r="BU121" s="119">
        <v>0.44</v>
      </c>
      <c r="BV121" s="74">
        <v>6910960</v>
      </c>
      <c r="BW121" s="105">
        <v>150</v>
      </c>
      <c r="BX121" s="105">
        <v>2296</v>
      </c>
      <c r="BY121" s="110">
        <v>36.5</v>
      </c>
      <c r="BZ121" s="106">
        <v>18.399999999999999</v>
      </c>
      <c r="CA121" s="115">
        <v>1E-3</v>
      </c>
      <c r="CB121" s="105">
        <v>500</v>
      </c>
      <c r="CC121" s="114">
        <v>0</v>
      </c>
      <c r="CD121" s="105">
        <v>0</v>
      </c>
      <c r="CE121" s="99">
        <f t="shared" si="5"/>
        <v>9.5238095238095238E-4</v>
      </c>
      <c r="CF121" s="100">
        <f t="shared" si="3"/>
        <v>0.3</v>
      </c>
    </row>
    <row r="122" spans="1:84" hidden="1" x14ac:dyDescent="0.25">
      <c r="A122" s="101">
        <v>121</v>
      </c>
      <c r="B122" s="102"/>
      <c r="C122" s="103" t="s">
        <v>334</v>
      </c>
      <c r="D122" s="104">
        <v>2408</v>
      </c>
      <c r="E122" s="105">
        <v>2870</v>
      </c>
      <c r="F122" s="106">
        <f t="shared" si="4"/>
        <v>6910960</v>
      </c>
      <c r="G122" s="105">
        <v>150</v>
      </c>
      <c r="H122" s="105">
        <v>2296</v>
      </c>
      <c r="I122" s="107">
        <v>0.84</v>
      </c>
      <c r="J122" s="108">
        <v>40.6</v>
      </c>
      <c r="K122" s="109">
        <v>6.4</v>
      </c>
      <c r="L122" s="110">
        <v>34.700000000000003</v>
      </c>
      <c r="M122" s="158">
        <v>1.05</v>
      </c>
      <c r="N122" s="106">
        <v>18.100000000000001</v>
      </c>
      <c r="O122" s="112" t="s">
        <v>201</v>
      </c>
      <c r="P122" s="113" t="s">
        <v>202</v>
      </c>
      <c r="Q122" s="114">
        <v>3.1E-4</v>
      </c>
      <c r="R122" s="112" t="s">
        <v>331</v>
      </c>
      <c r="S122" s="115">
        <v>1E-3</v>
      </c>
      <c r="T122" s="105">
        <v>500</v>
      </c>
      <c r="U122" s="113" t="s">
        <v>331</v>
      </c>
      <c r="V122" s="114">
        <v>0</v>
      </c>
      <c r="W122" s="105">
        <v>0</v>
      </c>
      <c r="X122" s="116">
        <v>0</v>
      </c>
      <c r="Y122" s="160">
        <v>0.5</v>
      </c>
      <c r="Z122" s="117">
        <v>1</v>
      </c>
      <c r="AA122" s="123" t="s">
        <v>212</v>
      </c>
      <c r="AB122" s="112" t="s">
        <v>212</v>
      </c>
      <c r="AC122" s="109">
        <v>4.4000000000000004</v>
      </c>
      <c r="AD122" s="112" t="s">
        <v>224</v>
      </c>
      <c r="AE122" s="175">
        <v>0.37</v>
      </c>
      <c r="AF122" s="120">
        <v>0.4</v>
      </c>
      <c r="AG122" s="118">
        <v>0</v>
      </c>
      <c r="AH122" s="118">
        <v>0.13</v>
      </c>
      <c r="AI122" s="119">
        <v>0.52</v>
      </c>
      <c r="AJ122" s="120">
        <v>0.35</v>
      </c>
      <c r="AK122" s="118">
        <v>0</v>
      </c>
      <c r="AL122" s="118">
        <v>0</v>
      </c>
      <c r="AM122" s="119">
        <v>0.35</v>
      </c>
      <c r="AN122" s="120">
        <v>0</v>
      </c>
      <c r="AO122" s="118">
        <v>0</v>
      </c>
      <c r="AP122" s="118">
        <v>0.2</v>
      </c>
      <c r="AQ122" s="119">
        <v>0.2</v>
      </c>
      <c r="AR122" s="120">
        <v>0.63</v>
      </c>
      <c r="AS122" s="118">
        <v>0</v>
      </c>
      <c r="AT122" s="118">
        <v>0.13</v>
      </c>
      <c r="AU122" s="119">
        <v>0.68</v>
      </c>
      <c r="AV122" s="120">
        <v>0.21</v>
      </c>
      <c r="AW122" s="118">
        <v>0</v>
      </c>
      <c r="AX122" s="118">
        <v>0</v>
      </c>
      <c r="AY122" s="119">
        <v>0.21</v>
      </c>
      <c r="AZ122" s="122"/>
      <c r="BA122" s="124"/>
      <c r="BB122" s="124"/>
      <c r="BC122" s="192"/>
      <c r="BD122" s="121">
        <v>0.19</v>
      </c>
      <c r="BE122" s="120">
        <v>0.62</v>
      </c>
      <c r="BF122" s="118">
        <v>0</v>
      </c>
      <c r="BG122" s="118">
        <v>0.12</v>
      </c>
      <c r="BH122" s="119">
        <v>0.74</v>
      </c>
      <c r="BI122" s="120">
        <v>0.52</v>
      </c>
      <c r="BJ122" s="118">
        <v>0</v>
      </c>
      <c r="BK122" s="118">
        <v>0.15</v>
      </c>
      <c r="BL122" s="119">
        <v>0.67</v>
      </c>
      <c r="BM122" s="120">
        <v>0.71</v>
      </c>
      <c r="BN122" s="118">
        <v>1.06</v>
      </c>
      <c r="BO122" s="118">
        <v>1.84</v>
      </c>
      <c r="BP122" s="118">
        <v>0.55000000000000004</v>
      </c>
      <c r="BQ122" s="118">
        <v>1.75</v>
      </c>
      <c r="BR122" s="124"/>
      <c r="BS122" s="118">
        <v>1.95</v>
      </c>
      <c r="BT122" s="118">
        <v>0.5</v>
      </c>
      <c r="BU122" s="119">
        <v>0.55000000000000004</v>
      </c>
      <c r="BV122" s="74">
        <v>6910960</v>
      </c>
      <c r="BW122" s="105">
        <v>150</v>
      </c>
      <c r="BX122" s="105">
        <v>2296</v>
      </c>
      <c r="BY122" s="110">
        <v>34.700000000000003</v>
      </c>
      <c r="BZ122" s="106">
        <v>18.100000000000001</v>
      </c>
      <c r="CA122" s="115">
        <v>1E-3</v>
      </c>
      <c r="CB122" s="105">
        <v>500</v>
      </c>
      <c r="CC122" s="114">
        <v>0</v>
      </c>
      <c r="CD122" s="105">
        <v>0</v>
      </c>
      <c r="CE122" s="99">
        <f t="shared" si="5"/>
        <v>1.1614401858304297E-3</v>
      </c>
      <c r="CF122" s="100">
        <f t="shared" si="3"/>
        <v>0.37</v>
      </c>
    </row>
    <row r="123" spans="1:84" hidden="1" x14ac:dyDescent="0.25">
      <c r="A123" s="128">
        <v>122</v>
      </c>
      <c r="B123" s="102"/>
      <c r="C123" s="117">
        <v>5</v>
      </c>
      <c r="D123" s="104">
        <v>2408</v>
      </c>
      <c r="E123" s="105">
        <v>2870</v>
      </c>
      <c r="F123" s="106">
        <f t="shared" si="4"/>
        <v>6910960</v>
      </c>
      <c r="G123" s="105">
        <v>150</v>
      </c>
      <c r="H123" s="105">
        <v>2296</v>
      </c>
      <c r="I123" s="107">
        <v>0.84</v>
      </c>
      <c r="J123" s="108">
        <v>40.6</v>
      </c>
      <c r="K123" s="109">
        <v>10</v>
      </c>
      <c r="L123" s="110">
        <v>39.700000000000003</v>
      </c>
      <c r="M123" s="158">
        <v>1.1100000000000001</v>
      </c>
      <c r="N123" s="106">
        <v>20.100000000000001</v>
      </c>
      <c r="O123" s="112" t="s">
        <v>201</v>
      </c>
      <c r="P123" s="113" t="s">
        <v>202</v>
      </c>
      <c r="Q123" s="114">
        <v>6.2E-4</v>
      </c>
      <c r="R123" s="115">
        <v>0</v>
      </c>
      <c r="S123" s="115">
        <v>1E-3</v>
      </c>
      <c r="T123" s="105">
        <v>500</v>
      </c>
      <c r="U123" s="113" t="s">
        <v>331</v>
      </c>
      <c r="V123" s="114">
        <v>0</v>
      </c>
      <c r="W123" s="105">
        <v>0</v>
      </c>
      <c r="X123" s="116">
        <v>0</v>
      </c>
      <c r="Y123" s="160">
        <v>0.5</v>
      </c>
      <c r="Z123" s="117">
        <v>1</v>
      </c>
      <c r="AA123" s="193" t="s">
        <v>212</v>
      </c>
      <c r="AB123" s="139" t="s">
        <v>212</v>
      </c>
      <c r="AC123" s="174">
        <v>2</v>
      </c>
      <c r="AD123" s="112" t="s">
        <v>224</v>
      </c>
      <c r="AE123" s="175">
        <v>0.33</v>
      </c>
      <c r="AF123" s="147">
        <v>0.42</v>
      </c>
      <c r="AG123" s="145">
        <v>0</v>
      </c>
      <c r="AH123" s="145">
        <v>0.13</v>
      </c>
      <c r="AI123" s="146">
        <v>0.54</v>
      </c>
      <c r="AJ123" s="147">
        <v>0.35</v>
      </c>
      <c r="AK123" s="145">
        <v>0</v>
      </c>
      <c r="AL123" s="145">
        <v>0</v>
      </c>
      <c r="AM123" s="146">
        <v>0.35</v>
      </c>
      <c r="AN123" s="147">
        <v>0.57999999999999996</v>
      </c>
      <c r="AO123" s="145">
        <v>0</v>
      </c>
      <c r="AP123" s="145">
        <v>0.2</v>
      </c>
      <c r="AQ123" s="146">
        <v>0.79</v>
      </c>
      <c r="AR123" s="147">
        <v>0.67</v>
      </c>
      <c r="AS123" s="145">
        <v>0</v>
      </c>
      <c r="AT123" s="145">
        <v>0.13</v>
      </c>
      <c r="AU123" s="146">
        <v>0.72</v>
      </c>
      <c r="AV123" s="147">
        <v>0.22</v>
      </c>
      <c r="AW123" s="145">
        <v>0</v>
      </c>
      <c r="AX123" s="145">
        <v>0</v>
      </c>
      <c r="AY123" s="146">
        <v>0.22</v>
      </c>
      <c r="AZ123" s="147">
        <v>0.23</v>
      </c>
      <c r="BA123" s="145">
        <v>0</v>
      </c>
      <c r="BB123" s="145">
        <v>0.04</v>
      </c>
      <c r="BC123" s="146">
        <v>0.26</v>
      </c>
      <c r="BD123" s="148">
        <v>0.19</v>
      </c>
      <c r="BE123" s="147">
        <v>0.66</v>
      </c>
      <c r="BF123" s="145">
        <v>0</v>
      </c>
      <c r="BG123" s="145">
        <v>0.12</v>
      </c>
      <c r="BH123" s="146">
        <v>0.77</v>
      </c>
      <c r="BI123" s="147">
        <v>0.55000000000000004</v>
      </c>
      <c r="BJ123" s="145">
        <v>0</v>
      </c>
      <c r="BK123" s="145">
        <v>0.15</v>
      </c>
      <c r="BL123" s="146">
        <v>0.7</v>
      </c>
      <c r="BM123" s="147">
        <v>0.6</v>
      </c>
      <c r="BN123" s="145">
        <v>0.94</v>
      </c>
      <c r="BO123" s="145">
        <v>0.42</v>
      </c>
      <c r="BP123" s="145">
        <v>0.46</v>
      </c>
      <c r="BQ123" s="145">
        <v>1.47</v>
      </c>
      <c r="BR123" s="145">
        <v>1.24</v>
      </c>
      <c r="BS123" s="145">
        <v>1.73</v>
      </c>
      <c r="BT123" s="145">
        <v>0.42</v>
      </c>
      <c r="BU123" s="146">
        <v>0.47</v>
      </c>
      <c r="BV123" s="74">
        <v>6910960</v>
      </c>
      <c r="BW123" s="105">
        <v>150</v>
      </c>
      <c r="BX123" s="105">
        <v>2296</v>
      </c>
      <c r="BY123" s="110">
        <v>39.700000000000003</v>
      </c>
      <c r="BZ123" s="106">
        <v>20.100000000000001</v>
      </c>
      <c r="CA123" s="115">
        <v>1E-3</v>
      </c>
      <c r="CB123" s="105">
        <v>500</v>
      </c>
      <c r="CC123" s="114">
        <v>0</v>
      </c>
      <c r="CD123" s="105">
        <v>0</v>
      </c>
      <c r="CE123" s="99">
        <f t="shared" si="5"/>
        <v>9.7560975609756087E-4</v>
      </c>
      <c r="CF123" s="100">
        <f t="shared" si="3"/>
        <v>0.33</v>
      </c>
    </row>
    <row r="124" spans="1:84" ht="14.25" hidden="1" customHeight="1" x14ac:dyDescent="0.25">
      <c r="A124" s="78">
        <v>123</v>
      </c>
      <c r="B124" s="197" t="s">
        <v>335</v>
      </c>
      <c r="C124" s="198" t="s">
        <v>336</v>
      </c>
      <c r="D124" s="199">
        <v>760</v>
      </c>
      <c r="E124" s="200">
        <v>610</v>
      </c>
      <c r="F124" s="201">
        <f t="shared" si="4"/>
        <v>463600</v>
      </c>
      <c r="G124" s="200">
        <v>100</v>
      </c>
      <c r="H124" s="200">
        <v>488</v>
      </c>
      <c r="I124" s="202">
        <v>1.25</v>
      </c>
      <c r="J124" s="203">
        <v>20.8</v>
      </c>
      <c r="K124" s="204">
        <v>16.899999999999999</v>
      </c>
      <c r="L124" s="205">
        <v>24.5</v>
      </c>
      <c r="M124" s="206">
        <v>0.34</v>
      </c>
      <c r="N124" s="201">
        <v>5.2</v>
      </c>
      <c r="O124" s="207" t="s">
        <v>210</v>
      </c>
      <c r="P124" s="208" t="s">
        <v>211</v>
      </c>
      <c r="Q124" s="209">
        <v>1.2999999999999999E-3</v>
      </c>
      <c r="R124" s="210">
        <v>0</v>
      </c>
      <c r="S124" s="210">
        <v>2.5999999999999999E-3</v>
      </c>
      <c r="T124" s="200">
        <v>522</v>
      </c>
      <c r="U124" s="211">
        <v>488</v>
      </c>
      <c r="V124" s="209">
        <v>3.7200000000000002E-3</v>
      </c>
      <c r="W124" s="200">
        <v>253</v>
      </c>
      <c r="X124" s="211">
        <v>152</v>
      </c>
      <c r="Y124" s="212">
        <v>1</v>
      </c>
      <c r="Z124" s="213">
        <v>1</v>
      </c>
      <c r="AA124" s="123" t="s">
        <v>212</v>
      </c>
      <c r="AB124" s="112" t="s">
        <v>212</v>
      </c>
      <c r="AC124" s="214">
        <v>2</v>
      </c>
      <c r="AD124" s="215">
        <v>0.52</v>
      </c>
      <c r="AE124" s="202">
        <v>0.77</v>
      </c>
      <c r="AF124" s="97">
        <v>0.43</v>
      </c>
      <c r="AG124" s="95">
        <v>0.38</v>
      </c>
      <c r="AH124" s="95">
        <v>0.25</v>
      </c>
      <c r="AI124" s="96">
        <v>0.76</v>
      </c>
      <c r="AJ124" s="97">
        <v>0.31</v>
      </c>
      <c r="AK124" s="95">
        <v>1.02</v>
      </c>
      <c r="AL124" s="95">
        <v>0</v>
      </c>
      <c r="AM124" s="96">
        <v>1.34</v>
      </c>
      <c r="AN124" s="97">
        <v>0.3</v>
      </c>
      <c r="AO124" s="95">
        <v>0.6</v>
      </c>
      <c r="AP124" s="95">
        <v>0.2</v>
      </c>
      <c r="AQ124" s="96">
        <v>1.03</v>
      </c>
      <c r="AR124" s="97">
        <v>0.28999999999999998</v>
      </c>
      <c r="AS124" s="95">
        <v>0.45</v>
      </c>
      <c r="AT124" s="95">
        <v>0.25</v>
      </c>
      <c r="AU124" s="96">
        <v>0.73</v>
      </c>
      <c r="AV124" s="97">
        <v>0.23</v>
      </c>
      <c r="AW124" s="95">
        <v>0.94</v>
      </c>
      <c r="AX124" s="95">
        <v>0</v>
      </c>
      <c r="AY124" s="96">
        <v>1.17</v>
      </c>
      <c r="AZ124" s="97">
        <v>0.13</v>
      </c>
      <c r="BA124" s="95">
        <v>0.56999999999999995</v>
      </c>
      <c r="BB124" s="95">
        <v>7.0000000000000007E-2</v>
      </c>
      <c r="BC124" s="96">
        <v>0.78</v>
      </c>
      <c r="BD124" s="98">
        <v>0.3</v>
      </c>
      <c r="BE124" s="97">
        <v>0.14000000000000001</v>
      </c>
      <c r="BF124" s="95">
        <v>0</v>
      </c>
      <c r="BG124" s="95">
        <v>0.23</v>
      </c>
      <c r="BH124" s="96">
        <v>0.37</v>
      </c>
      <c r="BI124" s="97">
        <v>0.17</v>
      </c>
      <c r="BJ124" s="95">
        <v>0.19</v>
      </c>
      <c r="BK124" s="95">
        <v>0.3</v>
      </c>
      <c r="BL124" s="96">
        <v>0.66</v>
      </c>
      <c r="BM124" s="97">
        <v>1.02</v>
      </c>
      <c r="BN124" s="95">
        <v>0.57999999999999996</v>
      </c>
      <c r="BO124" s="95">
        <v>0.75</v>
      </c>
      <c r="BP124" s="95">
        <v>1.06</v>
      </c>
      <c r="BQ124" s="95">
        <v>0.66</v>
      </c>
      <c r="BR124" s="95">
        <v>0.99</v>
      </c>
      <c r="BS124" s="95">
        <v>2.6</v>
      </c>
      <c r="BT124" s="95">
        <v>2.1</v>
      </c>
      <c r="BU124" s="96">
        <v>1.17</v>
      </c>
      <c r="BV124" s="74">
        <v>463600</v>
      </c>
      <c r="BW124" s="200">
        <v>100</v>
      </c>
      <c r="BX124" s="200">
        <v>488</v>
      </c>
      <c r="BY124" s="205">
        <v>24.5</v>
      </c>
      <c r="BZ124" s="201">
        <v>5.2</v>
      </c>
      <c r="CA124" s="210">
        <v>2.5999999999999999E-3</v>
      </c>
      <c r="CB124" s="200">
        <v>522</v>
      </c>
      <c r="CC124" s="209">
        <v>3.7200000000000002E-3</v>
      </c>
      <c r="CD124" s="200">
        <v>253</v>
      </c>
      <c r="CE124" s="99">
        <f t="shared" si="5"/>
        <v>3.4426229508196723E-2</v>
      </c>
      <c r="CF124" s="100">
        <f t="shared" si="3"/>
        <v>0.77</v>
      </c>
    </row>
    <row r="125" spans="1:84" hidden="1" x14ac:dyDescent="0.25">
      <c r="A125" s="101">
        <v>124</v>
      </c>
      <c r="B125" s="102"/>
      <c r="C125" s="103" t="s">
        <v>337</v>
      </c>
      <c r="D125" s="104">
        <v>760</v>
      </c>
      <c r="E125" s="105">
        <v>610</v>
      </c>
      <c r="F125" s="106">
        <f t="shared" si="4"/>
        <v>463600</v>
      </c>
      <c r="G125" s="105">
        <v>100</v>
      </c>
      <c r="H125" s="105">
        <v>488</v>
      </c>
      <c r="I125" s="107">
        <v>1.25</v>
      </c>
      <c r="J125" s="155">
        <v>20.8</v>
      </c>
      <c r="K125" s="156">
        <v>16.899999999999999</v>
      </c>
      <c r="L125" s="157">
        <v>24.5</v>
      </c>
      <c r="M125" s="158">
        <v>0.34</v>
      </c>
      <c r="N125" s="106">
        <v>5.2</v>
      </c>
      <c r="O125" s="112" t="s">
        <v>210</v>
      </c>
      <c r="P125" s="113" t="s">
        <v>211</v>
      </c>
      <c r="Q125" s="114">
        <v>1.2999999999999999E-3</v>
      </c>
      <c r="R125" s="115">
        <v>0</v>
      </c>
      <c r="S125" s="115">
        <v>2.5999999999999999E-3</v>
      </c>
      <c r="T125" s="105">
        <v>522</v>
      </c>
      <c r="U125" s="116">
        <v>488</v>
      </c>
      <c r="V125" s="114">
        <v>3.7200000000000002E-3</v>
      </c>
      <c r="W125" s="105">
        <v>253</v>
      </c>
      <c r="X125" s="116">
        <v>152</v>
      </c>
      <c r="Y125" s="160">
        <v>2</v>
      </c>
      <c r="Z125" s="117">
        <v>1</v>
      </c>
      <c r="AA125" s="123" t="s">
        <v>212</v>
      </c>
      <c r="AB125" s="112" t="s">
        <v>212</v>
      </c>
      <c r="AC125" s="174">
        <v>2</v>
      </c>
      <c r="AD125" s="118">
        <v>0.68</v>
      </c>
      <c r="AE125" s="107">
        <v>1.01</v>
      </c>
      <c r="AF125" s="120">
        <v>0.43</v>
      </c>
      <c r="AG125" s="118">
        <v>0.38</v>
      </c>
      <c r="AH125" s="118">
        <v>0.5</v>
      </c>
      <c r="AI125" s="119">
        <v>0.76</v>
      </c>
      <c r="AJ125" s="120">
        <v>0.31</v>
      </c>
      <c r="AK125" s="118">
        <v>1.02</v>
      </c>
      <c r="AL125" s="118">
        <v>0</v>
      </c>
      <c r="AM125" s="119">
        <v>1.34</v>
      </c>
      <c r="AN125" s="120">
        <v>0.3</v>
      </c>
      <c r="AO125" s="118">
        <v>0.6</v>
      </c>
      <c r="AP125" s="118">
        <v>0.32</v>
      </c>
      <c r="AQ125" s="119">
        <v>1.03</v>
      </c>
      <c r="AR125" s="120">
        <v>0.28999999999999998</v>
      </c>
      <c r="AS125" s="118">
        <v>0.45</v>
      </c>
      <c r="AT125" s="118">
        <v>0.5</v>
      </c>
      <c r="AU125" s="119">
        <v>0.73</v>
      </c>
      <c r="AV125" s="120">
        <v>0.23</v>
      </c>
      <c r="AW125" s="118">
        <v>0.94</v>
      </c>
      <c r="AX125" s="118">
        <v>0</v>
      </c>
      <c r="AY125" s="119">
        <v>1.17</v>
      </c>
      <c r="AZ125" s="120">
        <v>0.13</v>
      </c>
      <c r="BA125" s="118">
        <v>0.56999999999999995</v>
      </c>
      <c r="BB125" s="118">
        <v>0.14000000000000001</v>
      </c>
      <c r="BC125" s="119">
        <v>0.85</v>
      </c>
      <c r="BD125" s="121">
        <v>0.3</v>
      </c>
      <c r="BE125" s="120">
        <v>0.14000000000000001</v>
      </c>
      <c r="BF125" s="118">
        <v>0</v>
      </c>
      <c r="BG125" s="118">
        <v>0.46</v>
      </c>
      <c r="BH125" s="119">
        <v>0.6</v>
      </c>
      <c r="BI125" s="120">
        <v>0.17</v>
      </c>
      <c r="BJ125" s="118">
        <v>0.19</v>
      </c>
      <c r="BK125" s="118">
        <v>0.6</v>
      </c>
      <c r="BL125" s="119">
        <v>0.96</v>
      </c>
      <c r="BM125" s="120">
        <v>1.33</v>
      </c>
      <c r="BN125" s="118">
        <v>0.75</v>
      </c>
      <c r="BO125" s="118">
        <v>0.98</v>
      </c>
      <c r="BP125" s="118">
        <v>1.38</v>
      </c>
      <c r="BQ125" s="118">
        <v>0.86</v>
      </c>
      <c r="BR125" s="118">
        <v>1.19</v>
      </c>
      <c r="BS125" s="118">
        <v>3.4</v>
      </c>
      <c r="BT125" s="118">
        <v>1.69</v>
      </c>
      <c r="BU125" s="119">
        <v>1.05</v>
      </c>
      <c r="BV125" s="74">
        <v>463600</v>
      </c>
      <c r="BW125" s="105">
        <v>100</v>
      </c>
      <c r="BX125" s="105">
        <v>488</v>
      </c>
      <c r="BY125" s="157">
        <v>24.5</v>
      </c>
      <c r="BZ125" s="106">
        <v>5.2</v>
      </c>
      <c r="CA125" s="115">
        <v>2.5999999999999999E-3</v>
      </c>
      <c r="CB125" s="105">
        <v>522</v>
      </c>
      <c r="CC125" s="114">
        <v>3.7200000000000002E-3</v>
      </c>
      <c r="CD125" s="105">
        <v>253</v>
      </c>
      <c r="CE125" s="99">
        <f t="shared" si="5"/>
        <v>2.7704918032786886E-2</v>
      </c>
      <c r="CF125" s="100">
        <f t="shared" si="3"/>
        <v>1.01</v>
      </c>
    </row>
    <row r="126" spans="1:84" hidden="1" x14ac:dyDescent="0.25">
      <c r="A126" s="101">
        <v>125</v>
      </c>
      <c r="B126" s="102"/>
      <c r="C126" s="103" t="s">
        <v>338</v>
      </c>
      <c r="D126" s="104">
        <v>760</v>
      </c>
      <c r="E126" s="105">
        <v>610</v>
      </c>
      <c r="F126" s="106">
        <f t="shared" si="4"/>
        <v>463600</v>
      </c>
      <c r="G126" s="105">
        <v>100</v>
      </c>
      <c r="H126" s="105">
        <v>488</v>
      </c>
      <c r="I126" s="107">
        <v>1.25</v>
      </c>
      <c r="J126" s="155">
        <v>20.8</v>
      </c>
      <c r="K126" s="156">
        <v>16.899999999999999</v>
      </c>
      <c r="L126" s="157">
        <v>24.5</v>
      </c>
      <c r="M126" s="158">
        <v>0.34</v>
      </c>
      <c r="N126" s="106">
        <v>5.2</v>
      </c>
      <c r="O126" s="112" t="s">
        <v>210</v>
      </c>
      <c r="P126" s="113" t="s">
        <v>211</v>
      </c>
      <c r="Q126" s="114">
        <v>1.2999999999999999E-3</v>
      </c>
      <c r="R126" s="115">
        <v>0</v>
      </c>
      <c r="S126" s="115">
        <v>2.5999999999999999E-3</v>
      </c>
      <c r="T126" s="105">
        <v>522</v>
      </c>
      <c r="U126" s="116">
        <v>488</v>
      </c>
      <c r="V126" s="114">
        <v>3.7200000000000002E-3</v>
      </c>
      <c r="W126" s="105">
        <v>253</v>
      </c>
      <c r="X126" s="116">
        <v>152</v>
      </c>
      <c r="Y126" s="160">
        <v>1</v>
      </c>
      <c r="Z126" s="117">
        <v>1</v>
      </c>
      <c r="AA126" s="123" t="s">
        <v>212</v>
      </c>
      <c r="AB126" s="112" t="s">
        <v>212</v>
      </c>
      <c r="AC126" s="174">
        <v>2</v>
      </c>
      <c r="AD126" s="118">
        <v>0.66</v>
      </c>
      <c r="AE126" s="107">
        <v>0.84</v>
      </c>
      <c r="AF126" s="120">
        <v>0.43</v>
      </c>
      <c r="AG126" s="118">
        <v>0.38</v>
      </c>
      <c r="AH126" s="118">
        <v>0.25</v>
      </c>
      <c r="AI126" s="119">
        <v>0.76</v>
      </c>
      <c r="AJ126" s="120">
        <v>0.31</v>
      </c>
      <c r="AK126" s="118">
        <v>1.02</v>
      </c>
      <c r="AL126" s="118">
        <v>0</v>
      </c>
      <c r="AM126" s="119">
        <v>1.34</v>
      </c>
      <c r="AN126" s="120">
        <v>0.3</v>
      </c>
      <c r="AO126" s="118">
        <v>0.6</v>
      </c>
      <c r="AP126" s="118">
        <v>0.2</v>
      </c>
      <c r="AQ126" s="119">
        <v>1.03</v>
      </c>
      <c r="AR126" s="120">
        <v>0.28999999999999998</v>
      </c>
      <c r="AS126" s="118">
        <v>0.45</v>
      </c>
      <c r="AT126" s="118">
        <v>0.25</v>
      </c>
      <c r="AU126" s="119">
        <v>0.73</v>
      </c>
      <c r="AV126" s="120">
        <v>0.23</v>
      </c>
      <c r="AW126" s="118">
        <v>0.94</v>
      </c>
      <c r="AX126" s="118">
        <v>0</v>
      </c>
      <c r="AY126" s="119">
        <v>1.17</v>
      </c>
      <c r="AZ126" s="120">
        <v>0.13</v>
      </c>
      <c r="BA126" s="118">
        <v>0.56999999999999995</v>
      </c>
      <c r="BB126" s="118">
        <v>7.0000000000000007E-2</v>
      </c>
      <c r="BC126" s="119">
        <v>0.78</v>
      </c>
      <c r="BD126" s="121">
        <v>0.3</v>
      </c>
      <c r="BE126" s="120">
        <v>0.14000000000000001</v>
      </c>
      <c r="BF126" s="118">
        <v>0</v>
      </c>
      <c r="BG126" s="118">
        <v>0.23</v>
      </c>
      <c r="BH126" s="119">
        <v>0.37</v>
      </c>
      <c r="BI126" s="120">
        <v>0.17</v>
      </c>
      <c r="BJ126" s="118">
        <v>0.19</v>
      </c>
      <c r="BK126" s="118">
        <v>0.3</v>
      </c>
      <c r="BL126" s="119">
        <v>0.66</v>
      </c>
      <c r="BM126" s="120">
        <v>1.1100000000000001</v>
      </c>
      <c r="BN126" s="118">
        <v>0.63</v>
      </c>
      <c r="BO126" s="118">
        <v>0.82</v>
      </c>
      <c r="BP126" s="118">
        <v>1.1499999999999999</v>
      </c>
      <c r="BQ126" s="118">
        <v>0.72</v>
      </c>
      <c r="BR126" s="118">
        <v>1.08</v>
      </c>
      <c r="BS126" s="118">
        <v>2.84</v>
      </c>
      <c r="BT126" s="118">
        <v>2.2999999999999998</v>
      </c>
      <c r="BU126" s="119">
        <v>1.28</v>
      </c>
      <c r="BV126" s="74">
        <v>463600</v>
      </c>
      <c r="BW126" s="105">
        <v>100</v>
      </c>
      <c r="BX126" s="105">
        <v>488</v>
      </c>
      <c r="BY126" s="157">
        <v>24.5</v>
      </c>
      <c r="BZ126" s="106">
        <v>5.2</v>
      </c>
      <c r="CA126" s="115">
        <v>2.5999999999999999E-3</v>
      </c>
      <c r="CB126" s="105">
        <v>522</v>
      </c>
      <c r="CC126" s="114">
        <v>3.7200000000000002E-3</v>
      </c>
      <c r="CD126" s="105">
        <v>253</v>
      </c>
      <c r="CE126" s="99">
        <f t="shared" si="5"/>
        <v>3.7704918032786888E-2</v>
      </c>
      <c r="CF126" s="100">
        <f t="shared" si="3"/>
        <v>0.84</v>
      </c>
    </row>
    <row r="127" spans="1:84" hidden="1" x14ac:dyDescent="0.25">
      <c r="A127" s="101">
        <v>126</v>
      </c>
      <c r="B127" s="102"/>
      <c r="C127" s="103" t="s">
        <v>339</v>
      </c>
      <c r="D127" s="104">
        <v>760</v>
      </c>
      <c r="E127" s="105">
        <v>610</v>
      </c>
      <c r="F127" s="106">
        <f t="shared" si="4"/>
        <v>463600</v>
      </c>
      <c r="G127" s="105">
        <v>100</v>
      </c>
      <c r="H127" s="105">
        <v>488</v>
      </c>
      <c r="I127" s="107">
        <v>1.25</v>
      </c>
      <c r="J127" s="155">
        <v>20.8</v>
      </c>
      <c r="K127" s="156">
        <v>16.899999999999999</v>
      </c>
      <c r="L127" s="157">
        <v>24.5</v>
      </c>
      <c r="M127" s="158">
        <v>0.34</v>
      </c>
      <c r="N127" s="106">
        <v>5.2</v>
      </c>
      <c r="O127" s="112" t="s">
        <v>210</v>
      </c>
      <c r="P127" s="113" t="s">
        <v>211</v>
      </c>
      <c r="Q127" s="114">
        <v>1.2999999999999999E-3</v>
      </c>
      <c r="R127" s="115">
        <v>0</v>
      </c>
      <c r="S127" s="115">
        <v>2.5999999999999999E-3</v>
      </c>
      <c r="T127" s="105">
        <v>522</v>
      </c>
      <c r="U127" s="116">
        <v>488</v>
      </c>
      <c r="V127" s="114">
        <v>3.7200000000000002E-3</v>
      </c>
      <c r="W127" s="105">
        <v>253</v>
      </c>
      <c r="X127" s="116">
        <v>152</v>
      </c>
      <c r="Y127" s="160">
        <v>2</v>
      </c>
      <c r="Z127" s="117">
        <v>1</v>
      </c>
      <c r="AA127" s="123" t="s">
        <v>212</v>
      </c>
      <c r="AB127" s="112" t="s">
        <v>212</v>
      </c>
      <c r="AC127" s="174">
        <v>2</v>
      </c>
      <c r="AD127" s="118">
        <v>0.7</v>
      </c>
      <c r="AE127" s="107">
        <v>1.02</v>
      </c>
      <c r="AF127" s="120">
        <v>0.43</v>
      </c>
      <c r="AG127" s="118">
        <v>0.38</v>
      </c>
      <c r="AH127" s="118">
        <v>0.5</v>
      </c>
      <c r="AI127" s="119">
        <v>0.76</v>
      </c>
      <c r="AJ127" s="120">
        <v>0.31</v>
      </c>
      <c r="AK127" s="118">
        <v>1.02</v>
      </c>
      <c r="AL127" s="118">
        <v>0</v>
      </c>
      <c r="AM127" s="119">
        <v>1.34</v>
      </c>
      <c r="AN127" s="120">
        <v>0.3</v>
      </c>
      <c r="AO127" s="118">
        <v>0.6</v>
      </c>
      <c r="AP127" s="118">
        <v>0.32</v>
      </c>
      <c r="AQ127" s="119">
        <v>1.03</v>
      </c>
      <c r="AR127" s="120">
        <v>0.28999999999999998</v>
      </c>
      <c r="AS127" s="118">
        <v>0.45</v>
      </c>
      <c r="AT127" s="118">
        <v>0.5</v>
      </c>
      <c r="AU127" s="119">
        <v>0.73</v>
      </c>
      <c r="AV127" s="120">
        <v>0.23</v>
      </c>
      <c r="AW127" s="118">
        <v>0.94</v>
      </c>
      <c r="AX127" s="118">
        <v>0</v>
      </c>
      <c r="AY127" s="119">
        <v>1.17</v>
      </c>
      <c r="AZ127" s="120">
        <v>0.13</v>
      </c>
      <c r="BA127" s="118">
        <v>0.56999999999999995</v>
      </c>
      <c r="BB127" s="118">
        <v>0.14000000000000001</v>
      </c>
      <c r="BC127" s="119">
        <v>0.85</v>
      </c>
      <c r="BD127" s="121">
        <v>0.3</v>
      </c>
      <c r="BE127" s="120">
        <v>0.14000000000000001</v>
      </c>
      <c r="BF127" s="118">
        <v>0</v>
      </c>
      <c r="BG127" s="118">
        <v>0.46</v>
      </c>
      <c r="BH127" s="119">
        <v>0.6</v>
      </c>
      <c r="BI127" s="120">
        <v>0.17</v>
      </c>
      <c r="BJ127" s="118">
        <v>0.19</v>
      </c>
      <c r="BK127" s="118">
        <v>0.6</v>
      </c>
      <c r="BL127" s="119">
        <v>0.96</v>
      </c>
      <c r="BM127" s="120">
        <v>1.35</v>
      </c>
      <c r="BN127" s="118">
        <v>0.76</v>
      </c>
      <c r="BO127" s="118">
        <v>0.99</v>
      </c>
      <c r="BP127" s="118">
        <v>1.4</v>
      </c>
      <c r="BQ127" s="118">
        <v>0.87</v>
      </c>
      <c r="BR127" s="118">
        <v>1.2</v>
      </c>
      <c r="BS127" s="118">
        <v>3.44</v>
      </c>
      <c r="BT127" s="118">
        <v>1.71</v>
      </c>
      <c r="BU127" s="119">
        <v>1.06</v>
      </c>
      <c r="BV127" s="74">
        <v>463600</v>
      </c>
      <c r="BW127" s="105">
        <v>100</v>
      </c>
      <c r="BX127" s="105">
        <v>488</v>
      </c>
      <c r="BY127" s="157">
        <v>24.5</v>
      </c>
      <c r="BZ127" s="106">
        <v>5.2</v>
      </c>
      <c r="CA127" s="115">
        <v>2.5999999999999999E-3</v>
      </c>
      <c r="CB127" s="105">
        <v>522</v>
      </c>
      <c r="CC127" s="114">
        <v>3.7200000000000002E-3</v>
      </c>
      <c r="CD127" s="105">
        <v>253</v>
      </c>
      <c r="CE127" s="99">
        <f t="shared" si="5"/>
        <v>2.8032786885245901E-2</v>
      </c>
      <c r="CF127" s="100">
        <f t="shared" si="3"/>
        <v>1.02</v>
      </c>
    </row>
    <row r="128" spans="1:84" hidden="1" x14ac:dyDescent="0.25">
      <c r="A128" s="101">
        <v>127</v>
      </c>
      <c r="B128" s="102"/>
      <c r="C128" s="103" t="s">
        <v>340</v>
      </c>
      <c r="D128" s="104">
        <v>760</v>
      </c>
      <c r="E128" s="105">
        <v>610</v>
      </c>
      <c r="F128" s="106">
        <f t="shared" si="4"/>
        <v>463600</v>
      </c>
      <c r="G128" s="105">
        <v>100</v>
      </c>
      <c r="H128" s="105">
        <v>488</v>
      </c>
      <c r="I128" s="107">
        <v>1.25</v>
      </c>
      <c r="J128" s="155">
        <v>20.8</v>
      </c>
      <c r="K128" s="156">
        <v>16.899999999999999</v>
      </c>
      <c r="L128" s="157">
        <v>24.5</v>
      </c>
      <c r="M128" s="158">
        <v>0.34</v>
      </c>
      <c r="N128" s="106">
        <v>5.2</v>
      </c>
      <c r="O128" s="112" t="s">
        <v>210</v>
      </c>
      <c r="P128" s="113" t="s">
        <v>211</v>
      </c>
      <c r="Q128" s="114">
        <v>1.2999999999999999E-3</v>
      </c>
      <c r="R128" s="115">
        <v>0</v>
      </c>
      <c r="S128" s="115">
        <v>2.5999999999999999E-3</v>
      </c>
      <c r="T128" s="105">
        <v>522</v>
      </c>
      <c r="U128" s="116">
        <v>488</v>
      </c>
      <c r="V128" s="114">
        <v>3.7200000000000002E-3</v>
      </c>
      <c r="W128" s="105">
        <v>253</v>
      </c>
      <c r="X128" s="116">
        <v>152</v>
      </c>
      <c r="Y128" s="160">
        <v>1</v>
      </c>
      <c r="Z128" s="117">
        <v>1</v>
      </c>
      <c r="AA128" s="123" t="s">
        <v>212</v>
      </c>
      <c r="AB128" s="112" t="s">
        <v>212</v>
      </c>
      <c r="AC128" s="174">
        <v>2</v>
      </c>
      <c r="AD128" s="118">
        <v>0.51</v>
      </c>
      <c r="AE128" s="107">
        <v>0.68</v>
      </c>
      <c r="AF128" s="120">
        <v>0.43</v>
      </c>
      <c r="AG128" s="118">
        <v>0.38</v>
      </c>
      <c r="AH128" s="118">
        <v>0.25</v>
      </c>
      <c r="AI128" s="119">
        <v>0.76</v>
      </c>
      <c r="AJ128" s="120">
        <v>0.31</v>
      </c>
      <c r="AK128" s="118">
        <v>1.02</v>
      </c>
      <c r="AL128" s="118">
        <v>0</v>
      </c>
      <c r="AM128" s="119">
        <v>1.34</v>
      </c>
      <c r="AN128" s="120">
        <v>0.3</v>
      </c>
      <c r="AO128" s="118">
        <v>0.6</v>
      </c>
      <c r="AP128" s="118">
        <v>0.2</v>
      </c>
      <c r="AQ128" s="119">
        <v>1.03</v>
      </c>
      <c r="AR128" s="120">
        <v>0.28999999999999998</v>
      </c>
      <c r="AS128" s="118">
        <v>0.45</v>
      </c>
      <c r="AT128" s="118">
        <v>0.25</v>
      </c>
      <c r="AU128" s="119">
        <v>0.73</v>
      </c>
      <c r="AV128" s="120">
        <v>0.23</v>
      </c>
      <c r="AW128" s="118">
        <v>0.94</v>
      </c>
      <c r="AX128" s="118">
        <v>0</v>
      </c>
      <c r="AY128" s="119">
        <v>1.17</v>
      </c>
      <c r="AZ128" s="120">
        <v>0.13</v>
      </c>
      <c r="BA128" s="118">
        <v>0.56999999999999995</v>
      </c>
      <c r="BB128" s="118">
        <v>7.0000000000000007E-2</v>
      </c>
      <c r="BC128" s="119">
        <v>0.78</v>
      </c>
      <c r="BD128" s="121">
        <v>0.3</v>
      </c>
      <c r="BE128" s="120">
        <v>0.14000000000000001</v>
      </c>
      <c r="BF128" s="118">
        <v>0</v>
      </c>
      <c r="BG128" s="118">
        <v>0.23</v>
      </c>
      <c r="BH128" s="119">
        <v>0.37</v>
      </c>
      <c r="BI128" s="120">
        <v>0.17</v>
      </c>
      <c r="BJ128" s="118">
        <v>0.19</v>
      </c>
      <c r="BK128" s="118">
        <v>0.3</v>
      </c>
      <c r="BL128" s="119">
        <v>0.66</v>
      </c>
      <c r="BM128" s="120">
        <v>0.89</v>
      </c>
      <c r="BN128" s="118">
        <v>0.51</v>
      </c>
      <c r="BO128" s="118">
        <v>0.66</v>
      </c>
      <c r="BP128" s="118">
        <v>0.93</v>
      </c>
      <c r="BQ128" s="118">
        <v>0.57999999999999996</v>
      </c>
      <c r="BR128" s="118">
        <v>0.87</v>
      </c>
      <c r="BS128" s="118">
        <v>2.2799999999999998</v>
      </c>
      <c r="BT128" s="118">
        <v>1.84</v>
      </c>
      <c r="BU128" s="119">
        <v>1.03</v>
      </c>
      <c r="BV128" s="74">
        <v>463600</v>
      </c>
      <c r="BW128" s="105">
        <v>100</v>
      </c>
      <c r="BX128" s="105">
        <v>488</v>
      </c>
      <c r="BY128" s="157">
        <v>24.5</v>
      </c>
      <c r="BZ128" s="106">
        <v>5.2</v>
      </c>
      <c r="CA128" s="115">
        <v>2.5999999999999999E-3</v>
      </c>
      <c r="CB128" s="105">
        <v>522</v>
      </c>
      <c r="CC128" s="114">
        <v>3.7200000000000002E-3</v>
      </c>
      <c r="CD128" s="105">
        <v>253</v>
      </c>
      <c r="CE128" s="99">
        <f t="shared" si="5"/>
        <v>3.016393442622951E-2</v>
      </c>
      <c r="CF128" s="100">
        <f t="shared" si="3"/>
        <v>0.68</v>
      </c>
    </row>
    <row r="129" spans="1:84" hidden="1" x14ac:dyDescent="0.25">
      <c r="A129" s="101">
        <v>128</v>
      </c>
      <c r="B129" s="102"/>
      <c r="C129" s="103" t="s">
        <v>341</v>
      </c>
      <c r="D129" s="104">
        <v>760</v>
      </c>
      <c r="E129" s="105">
        <v>610</v>
      </c>
      <c r="F129" s="106">
        <f t="shared" si="4"/>
        <v>463600</v>
      </c>
      <c r="G129" s="105">
        <v>100</v>
      </c>
      <c r="H129" s="105">
        <v>488</v>
      </c>
      <c r="I129" s="107">
        <v>1.25</v>
      </c>
      <c r="J129" s="155">
        <v>20.8</v>
      </c>
      <c r="K129" s="156">
        <v>16.899999999999999</v>
      </c>
      <c r="L129" s="157">
        <v>24.5</v>
      </c>
      <c r="M129" s="158">
        <v>0.34</v>
      </c>
      <c r="N129" s="106">
        <v>5.2</v>
      </c>
      <c r="O129" s="112" t="s">
        <v>210</v>
      </c>
      <c r="P129" s="113" t="s">
        <v>211</v>
      </c>
      <c r="Q129" s="114">
        <v>1.2999999999999999E-3</v>
      </c>
      <c r="R129" s="115">
        <v>0</v>
      </c>
      <c r="S129" s="115">
        <v>2.5999999999999999E-3</v>
      </c>
      <c r="T129" s="105">
        <v>522</v>
      </c>
      <c r="U129" s="116">
        <v>488</v>
      </c>
      <c r="V129" s="114">
        <v>3.7200000000000002E-3</v>
      </c>
      <c r="W129" s="105">
        <v>253</v>
      </c>
      <c r="X129" s="116">
        <v>152</v>
      </c>
      <c r="Y129" s="160">
        <v>2</v>
      </c>
      <c r="Z129" s="117">
        <v>1</v>
      </c>
      <c r="AA129" s="123" t="s">
        <v>212</v>
      </c>
      <c r="AB129" s="112" t="s">
        <v>212</v>
      </c>
      <c r="AC129" s="174">
        <v>2</v>
      </c>
      <c r="AD129" s="118">
        <v>0.68</v>
      </c>
      <c r="AE129" s="107">
        <v>0.74</v>
      </c>
      <c r="AF129" s="120">
        <v>0.43</v>
      </c>
      <c r="AG129" s="118">
        <v>0.38</v>
      </c>
      <c r="AH129" s="118">
        <v>0.5</v>
      </c>
      <c r="AI129" s="119">
        <v>0.76</v>
      </c>
      <c r="AJ129" s="120">
        <v>0.31</v>
      </c>
      <c r="AK129" s="118">
        <v>1.02</v>
      </c>
      <c r="AL129" s="118">
        <v>0</v>
      </c>
      <c r="AM129" s="119">
        <v>1.34</v>
      </c>
      <c r="AN129" s="120">
        <v>0.3</v>
      </c>
      <c r="AO129" s="118">
        <v>0.6</v>
      </c>
      <c r="AP129" s="118">
        <v>0.32</v>
      </c>
      <c r="AQ129" s="119">
        <v>1.03</v>
      </c>
      <c r="AR129" s="120">
        <v>0.28999999999999998</v>
      </c>
      <c r="AS129" s="118">
        <v>0.45</v>
      </c>
      <c r="AT129" s="118">
        <v>0.5</v>
      </c>
      <c r="AU129" s="119">
        <v>0.73</v>
      </c>
      <c r="AV129" s="120">
        <v>0.23</v>
      </c>
      <c r="AW129" s="118">
        <v>0.94</v>
      </c>
      <c r="AX129" s="118">
        <v>0</v>
      </c>
      <c r="AY129" s="119">
        <v>1.17</v>
      </c>
      <c r="AZ129" s="120">
        <v>0.13</v>
      </c>
      <c r="BA129" s="118">
        <v>0.56999999999999995</v>
      </c>
      <c r="BB129" s="118">
        <v>0.14000000000000001</v>
      </c>
      <c r="BC129" s="119">
        <v>0.85</v>
      </c>
      <c r="BD129" s="121">
        <v>0.3</v>
      </c>
      <c r="BE129" s="120">
        <v>0.14000000000000001</v>
      </c>
      <c r="BF129" s="118">
        <v>0</v>
      </c>
      <c r="BG129" s="118">
        <v>0.46</v>
      </c>
      <c r="BH129" s="119">
        <v>0.6</v>
      </c>
      <c r="BI129" s="120">
        <v>0.17</v>
      </c>
      <c r="BJ129" s="118">
        <v>0.19</v>
      </c>
      <c r="BK129" s="118">
        <v>0.6</v>
      </c>
      <c r="BL129" s="119">
        <v>0.96</v>
      </c>
      <c r="BM129" s="120">
        <v>0.98</v>
      </c>
      <c r="BN129" s="118">
        <v>0.55000000000000004</v>
      </c>
      <c r="BO129" s="118">
        <v>0.72</v>
      </c>
      <c r="BP129" s="118">
        <v>1.01</v>
      </c>
      <c r="BQ129" s="118">
        <v>0.63</v>
      </c>
      <c r="BR129" s="118">
        <v>0.87</v>
      </c>
      <c r="BS129" s="118">
        <v>2.4900000000000002</v>
      </c>
      <c r="BT129" s="118">
        <v>1.24</v>
      </c>
      <c r="BU129" s="119">
        <v>0.77</v>
      </c>
      <c r="BV129" s="74">
        <v>463600</v>
      </c>
      <c r="BW129" s="105">
        <v>100</v>
      </c>
      <c r="BX129" s="105">
        <v>488</v>
      </c>
      <c r="BY129" s="157">
        <v>24.5</v>
      </c>
      <c r="BZ129" s="106">
        <v>5.2</v>
      </c>
      <c r="CA129" s="115">
        <v>2.5999999999999999E-3</v>
      </c>
      <c r="CB129" s="105">
        <v>522</v>
      </c>
      <c r="CC129" s="114">
        <v>3.7200000000000002E-3</v>
      </c>
      <c r="CD129" s="105">
        <v>253</v>
      </c>
      <c r="CE129" s="99">
        <f t="shared" si="5"/>
        <v>2.0327868852459016E-2</v>
      </c>
      <c r="CF129" s="100">
        <f t="shared" si="3"/>
        <v>0.74</v>
      </c>
    </row>
    <row r="130" spans="1:84" hidden="1" x14ac:dyDescent="0.25">
      <c r="A130" s="101">
        <v>129</v>
      </c>
      <c r="B130" s="102"/>
      <c r="C130" s="103" t="s">
        <v>342</v>
      </c>
      <c r="D130" s="104">
        <v>760</v>
      </c>
      <c r="E130" s="105">
        <v>610</v>
      </c>
      <c r="F130" s="106">
        <f t="shared" si="4"/>
        <v>463600</v>
      </c>
      <c r="G130" s="105">
        <v>100</v>
      </c>
      <c r="H130" s="105">
        <v>488</v>
      </c>
      <c r="I130" s="107">
        <v>1.25</v>
      </c>
      <c r="J130" s="155">
        <v>20.8</v>
      </c>
      <c r="K130" s="156">
        <v>16.899999999999999</v>
      </c>
      <c r="L130" s="157">
        <v>24.5</v>
      </c>
      <c r="M130" s="158">
        <v>0.34</v>
      </c>
      <c r="N130" s="106">
        <v>5.2</v>
      </c>
      <c r="O130" s="112" t="s">
        <v>210</v>
      </c>
      <c r="P130" s="113" t="s">
        <v>211</v>
      </c>
      <c r="Q130" s="114">
        <v>1.2999999999999999E-3</v>
      </c>
      <c r="R130" s="115">
        <v>0</v>
      </c>
      <c r="S130" s="115">
        <v>2.5999999999999999E-3</v>
      </c>
      <c r="T130" s="105">
        <v>522</v>
      </c>
      <c r="U130" s="116">
        <v>488</v>
      </c>
      <c r="V130" s="114">
        <v>3.7200000000000002E-3</v>
      </c>
      <c r="W130" s="105">
        <v>253</v>
      </c>
      <c r="X130" s="116">
        <v>152</v>
      </c>
      <c r="Y130" s="160">
        <v>1</v>
      </c>
      <c r="Z130" s="117">
        <v>1</v>
      </c>
      <c r="AA130" s="123" t="s">
        <v>212</v>
      </c>
      <c r="AB130" s="112" t="s">
        <v>212</v>
      </c>
      <c r="AC130" s="174">
        <v>2</v>
      </c>
      <c r="AD130" s="118">
        <v>0.54</v>
      </c>
      <c r="AE130" s="107">
        <v>0.7</v>
      </c>
      <c r="AF130" s="120">
        <v>0.43</v>
      </c>
      <c r="AG130" s="118">
        <v>0.38</v>
      </c>
      <c r="AH130" s="118">
        <v>0.25</v>
      </c>
      <c r="AI130" s="119">
        <v>0.76</v>
      </c>
      <c r="AJ130" s="120">
        <v>0.31</v>
      </c>
      <c r="AK130" s="118">
        <v>1.02</v>
      </c>
      <c r="AL130" s="118">
        <v>0</v>
      </c>
      <c r="AM130" s="119">
        <v>1.34</v>
      </c>
      <c r="AN130" s="120">
        <v>0.3</v>
      </c>
      <c r="AO130" s="118">
        <v>0.6</v>
      </c>
      <c r="AP130" s="118">
        <v>0.2</v>
      </c>
      <c r="AQ130" s="119">
        <v>1.03</v>
      </c>
      <c r="AR130" s="120">
        <v>0.28999999999999998</v>
      </c>
      <c r="AS130" s="118">
        <v>0.45</v>
      </c>
      <c r="AT130" s="118">
        <v>0.25</v>
      </c>
      <c r="AU130" s="119">
        <v>0.73</v>
      </c>
      <c r="AV130" s="120">
        <v>0.23</v>
      </c>
      <c r="AW130" s="118">
        <v>0.94</v>
      </c>
      <c r="AX130" s="118">
        <v>0</v>
      </c>
      <c r="AY130" s="119">
        <v>1.17</v>
      </c>
      <c r="AZ130" s="120">
        <v>0.13</v>
      </c>
      <c r="BA130" s="118">
        <v>0.56999999999999995</v>
      </c>
      <c r="BB130" s="118">
        <v>7.0000000000000007E-2</v>
      </c>
      <c r="BC130" s="119">
        <v>0.78</v>
      </c>
      <c r="BD130" s="121">
        <v>0.3</v>
      </c>
      <c r="BE130" s="120">
        <v>0.14000000000000001</v>
      </c>
      <c r="BF130" s="118">
        <v>0</v>
      </c>
      <c r="BG130" s="118">
        <v>0.23</v>
      </c>
      <c r="BH130" s="119">
        <v>0.37</v>
      </c>
      <c r="BI130" s="120">
        <v>0.17</v>
      </c>
      <c r="BJ130" s="118">
        <v>0.19</v>
      </c>
      <c r="BK130" s="118">
        <v>0.3</v>
      </c>
      <c r="BL130" s="119">
        <v>0.66</v>
      </c>
      <c r="BM130" s="120">
        <v>0.93</v>
      </c>
      <c r="BN130" s="118">
        <v>0.53</v>
      </c>
      <c r="BO130" s="118">
        <v>0.68</v>
      </c>
      <c r="BP130" s="118">
        <v>0.96</v>
      </c>
      <c r="BQ130" s="118">
        <v>0.6</v>
      </c>
      <c r="BR130" s="118">
        <v>0.9</v>
      </c>
      <c r="BS130" s="118">
        <v>2.37</v>
      </c>
      <c r="BT130" s="118">
        <v>1.92</v>
      </c>
      <c r="BU130" s="119">
        <v>1.07</v>
      </c>
      <c r="BV130" s="74">
        <v>463600</v>
      </c>
      <c r="BW130" s="105">
        <v>100</v>
      </c>
      <c r="BX130" s="105">
        <v>488</v>
      </c>
      <c r="BY130" s="157">
        <v>24.5</v>
      </c>
      <c r="BZ130" s="106">
        <v>5.2</v>
      </c>
      <c r="CA130" s="115">
        <v>2.5999999999999999E-3</v>
      </c>
      <c r="CB130" s="105">
        <v>522</v>
      </c>
      <c r="CC130" s="114">
        <v>3.7200000000000002E-3</v>
      </c>
      <c r="CD130" s="105">
        <v>253</v>
      </c>
      <c r="CE130" s="99">
        <f t="shared" si="5"/>
        <v>3.1475409836065567E-2</v>
      </c>
      <c r="CF130" s="100">
        <f t="shared" ref="CF130:CF193" si="6">AE130</f>
        <v>0.7</v>
      </c>
    </row>
    <row r="131" spans="1:84" hidden="1" x14ac:dyDescent="0.25">
      <c r="A131" s="122">
        <v>130</v>
      </c>
      <c r="B131" s="102"/>
      <c r="C131" s="103" t="s">
        <v>343</v>
      </c>
      <c r="D131" s="127">
        <v>760</v>
      </c>
      <c r="E131" s="124">
        <v>610</v>
      </c>
      <c r="F131" s="106">
        <f t="shared" ref="F131:F194" si="7">E131*D131</f>
        <v>463600</v>
      </c>
      <c r="G131" s="105">
        <v>100</v>
      </c>
      <c r="H131" s="105">
        <v>488</v>
      </c>
      <c r="I131" s="107">
        <v>1.25</v>
      </c>
      <c r="J131" s="155">
        <v>20.8</v>
      </c>
      <c r="K131" s="156">
        <v>16.899999999999999</v>
      </c>
      <c r="L131" s="157">
        <v>24.5</v>
      </c>
      <c r="M131" s="158">
        <v>0.34</v>
      </c>
      <c r="N131" s="106">
        <v>5.2</v>
      </c>
      <c r="O131" s="112" t="s">
        <v>210</v>
      </c>
      <c r="P131" s="113" t="s">
        <v>211</v>
      </c>
      <c r="Q131" s="114">
        <v>1.2999999999999999E-3</v>
      </c>
      <c r="R131" s="115">
        <v>0</v>
      </c>
      <c r="S131" s="115">
        <v>2.5999999999999999E-3</v>
      </c>
      <c r="T131" s="105">
        <v>522</v>
      </c>
      <c r="U131" s="116">
        <v>488</v>
      </c>
      <c r="V131" s="114">
        <v>3.7200000000000002E-3</v>
      </c>
      <c r="W131" s="105">
        <v>253</v>
      </c>
      <c r="X131" s="116">
        <v>152</v>
      </c>
      <c r="Y131" s="160">
        <v>2</v>
      </c>
      <c r="Z131" s="117">
        <v>1</v>
      </c>
      <c r="AA131" s="123" t="s">
        <v>212</v>
      </c>
      <c r="AB131" s="112" t="s">
        <v>212</v>
      </c>
      <c r="AC131" s="174">
        <v>2</v>
      </c>
      <c r="AD131" s="118">
        <v>0.67</v>
      </c>
      <c r="AE131" s="107">
        <v>0.83</v>
      </c>
      <c r="AF131" s="120">
        <v>0.43</v>
      </c>
      <c r="AG131" s="118">
        <v>0.38</v>
      </c>
      <c r="AH131" s="118">
        <v>0.5</v>
      </c>
      <c r="AI131" s="119">
        <v>0.76</v>
      </c>
      <c r="AJ131" s="120">
        <v>0.31</v>
      </c>
      <c r="AK131" s="118">
        <v>1.02</v>
      </c>
      <c r="AL131" s="118">
        <v>0</v>
      </c>
      <c r="AM131" s="119">
        <v>1.34</v>
      </c>
      <c r="AN131" s="120">
        <v>0.3</v>
      </c>
      <c r="AO131" s="118">
        <v>0.6</v>
      </c>
      <c r="AP131" s="118">
        <v>0.32</v>
      </c>
      <c r="AQ131" s="119">
        <v>1.03</v>
      </c>
      <c r="AR131" s="120">
        <v>0.28999999999999998</v>
      </c>
      <c r="AS131" s="118">
        <v>0.45</v>
      </c>
      <c r="AT131" s="118">
        <v>0.5</v>
      </c>
      <c r="AU131" s="119">
        <v>0.73</v>
      </c>
      <c r="AV131" s="120">
        <v>0.23</v>
      </c>
      <c r="AW131" s="118">
        <v>0.94</v>
      </c>
      <c r="AX131" s="118">
        <v>0</v>
      </c>
      <c r="AY131" s="119">
        <v>1.17</v>
      </c>
      <c r="AZ131" s="120">
        <v>0.13</v>
      </c>
      <c r="BA131" s="118">
        <v>0.56999999999999995</v>
      </c>
      <c r="BB131" s="118">
        <v>0.14000000000000001</v>
      </c>
      <c r="BC131" s="119">
        <v>0.85</v>
      </c>
      <c r="BD131" s="121">
        <v>0.3</v>
      </c>
      <c r="BE131" s="120">
        <v>0.14000000000000001</v>
      </c>
      <c r="BF131" s="118">
        <v>0</v>
      </c>
      <c r="BG131" s="118">
        <v>0.46</v>
      </c>
      <c r="BH131" s="119">
        <v>0.6</v>
      </c>
      <c r="BI131" s="120">
        <v>0.17</v>
      </c>
      <c r="BJ131" s="118">
        <v>0.19</v>
      </c>
      <c r="BK131" s="118">
        <v>0.6</v>
      </c>
      <c r="BL131" s="119">
        <v>0.96</v>
      </c>
      <c r="BM131" s="120">
        <v>1.0900000000000001</v>
      </c>
      <c r="BN131" s="118">
        <v>0.62</v>
      </c>
      <c r="BO131" s="118">
        <v>0.81</v>
      </c>
      <c r="BP131" s="118">
        <v>1.1299999999999999</v>
      </c>
      <c r="BQ131" s="118">
        <v>0.71</v>
      </c>
      <c r="BR131" s="118">
        <v>0.98</v>
      </c>
      <c r="BS131" s="118">
        <v>2.79</v>
      </c>
      <c r="BT131" s="118">
        <v>1.39</v>
      </c>
      <c r="BU131" s="119">
        <v>0.86</v>
      </c>
      <c r="BV131" s="74">
        <v>463600</v>
      </c>
      <c r="BW131" s="105">
        <v>100</v>
      </c>
      <c r="BX131" s="105">
        <v>488</v>
      </c>
      <c r="BY131" s="157">
        <v>24.5</v>
      </c>
      <c r="BZ131" s="106">
        <v>5.2</v>
      </c>
      <c r="CA131" s="115">
        <v>2.5999999999999999E-3</v>
      </c>
      <c r="CB131" s="105">
        <v>522</v>
      </c>
      <c r="CC131" s="114">
        <v>3.7200000000000002E-3</v>
      </c>
      <c r="CD131" s="105">
        <v>253</v>
      </c>
      <c r="CE131" s="99">
        <f t="shared" ref="CE131:CE194" si="8">BT131/(G131*E131)*1000</f>
        <v>2.2786885245901636E-2</v>
      </c>
      <c r="CF131" s="100">
        <f t="shared" si="6"/>
        <v>0.83</v>
      </c>
    </row>
    <row r="132" spans="1:84" hidden="1" x14ac:dyDescent="0.25">
      <c r="A132" s="122">
        <v>131</v>
      </c>
      <c r="B132" s="102"/>
      <c r="C132" s="103" t="s">
        <v>344</v>
      </c>
      <c r="D132" s="127">
        <v>760</v>
      </c>
      <c r="E132" s="124">
        <v>610</v>
      </c>
      <c r="F132" s="106">
        <f t="shared" si="7"/>
        <v>463600</v>
      </c>
      <c r="G132" s="105">
        <v>100</v>
      </c>
      <c r="H132" s="105">
        <v>488</v>
      </c>
      <c r="I132" s="107">
        <v>1.25</v>
      </c>
      <c r="J132" s="155">
        <v>20.8</v>
      </c>
      <c r="K132" s="156">
        <v>16.899999999999999</v>
      </c>
      <c r="L132" s="157">
        <v>24.5</v>
      </c>
      <c r="M132" s="158">
        <v>0.34</v>
      </c>
      <c r="N132" s="106">
        <v>5.2</v>
      </c>
      <c r="O132" s="112" t="s">
        <v>210</v>
      </c>
      <c r="P132" s="113" t="s">
        <v>211</v>
      </c>
      <c r="Q132" s="114">
        <v>1.2999999999999999E-3</v>
      </c>
      <c r="R132" s="115">
        <v>0</v>
      </c>
      <c r="S132" s="115">
        <v>2.5999999999999999E-3</v>
      </c>
      <c r="T132" s="105">
        <v>522</v>
      </c>
      <c r="U132" s="116">
        <v>488</v>
      </c>
      <c r="V132" s="114">
        <v>3.7200000000000002E-3</v>
      </c>
      <c r="W132" s="105">
        <v>253</v>
      </c>
      <c r="X132" s="116">
        <v>152</v>
      </c>
      <c r="Y132" s="160">
        <v>1</v>
      </c>
      <c r="Z132" s="117">
        <v>1</v>
      </c>
      <c r="AA132" s="123" t="s">
        <v>212</v>
      </c>
      <c r="AB132" s="112" t="s">
        <v>212</v>
      </c>
      <c r="AC132" s="174">
        <v>2</v>
      </c>
      <c r="AD132" s="118">
        <v>0.46</v>
      </c>
      <c r="AE132" s="107">
        <v>0.54</v>
      </c>
      <c r="AF132" s="120">
        <v>0.43</v>
      </c>
      <c r="AG132" s="118">
        <v>0.38</v>
      </c>
      <c r="AH132" s="118">
        <v>0.25</v>
      </c>
      <c r="AI132" s="119">
        <v>0.76</v>
      </c>
      <c r="AJ132" s="120">
        <v>0.31</v>
      </c>
      <c r="AK132" s="118">
        <v>1.02</v>
      </c>
      <c r="AL132" s="118">
        <v>0</v>
      </c>
      <c r="AM132" s="119">
        <v>1.34</v>
      </c>
      <c r="AN132" s="120">
        <v>0.3</v>
      </c>
      <c r="AO132" s="118">
        <v>0.6</v>
      </c>
      <c r="AP132" s="118">
        <v>0.2</v>
      </c>
      <c r="AQ132" s="119">
        <v>1.03</v>
      </c>
      <c r="AR132" s="120">
        <v>0.28999999999999998</v>
      </c>
      <c r="AS132" s="118">
        <v>0.45</v>
      </c>
      <c r="AT132" s="118">
        <v>0.25</v>
      </c>
      <c r="AU132" s="119">
        <v>0.73</v>
      </c>
      <c r="AV132" s="120">
        <v>0.23</v>
      </c>
      <c r="AW132" s="118">
        <v>0.94</v>
      </c>
      <c r="AX132" s="118">
        <v>0</v>
      </c>
      <c r="AY132" s="119">
        <v>1.17</v>
      </c>
      <c r="AZ132" s="120">
        <v>0.13</v>
      </c>
      <c r="BA132" s="118">
        <v>0.56999999999999995</v>
      </c>
      <c r="BB132" s="118">
        <v>7.0000000000000007E-2</v>
      </c>
      <c r="BC132" s="119">
        <v>0.78</v>
      </c>
      <c r="BD132" s="121">
        <v>0.3</v>
      </c>
      <c r="BE132" s="120">
        <v>0.14000000000000001</v>
      </c>
      <c r="BF132" s="118">
        <v>0</v>
      </c>
      <c r="BG132" s="118">
        <v>0.23</v>
      </c>
      <c r="BH132" s="119">
        <v>0.37</v>
      </c>
      <c r="BI132" s="120">
        <v>0.17</v>
      </c>
      <c r="BJ132" s="118">
        <v>0.19</v>
      </c>
      <c r="BK132" s="118">
        <v>0.3</v>
      </c>
      <c r="BL132" s="119">
        <v>0.66</v>
      </c>
      <c r="BM132" s="120">
        <v>0.71</v>
      </c>
      <c r="BN132" s="118">
        <v>0.4</v>
      </c>
      <c r="BO132" s="118">
        <v>0.52</v>
      </c>
      <c r="BP132" s="118">
        <v>0.73</v>
      </c>
      <c r="BQ132" s="118">
        <v>0.46</v>
      </c>
      <c r="BR132" s="118">
        <v>0.69</v>
      </c>
      <c r="BS132" s="118">
        <v>1.8</v>
      </c>
      <c r="BT132" s="118">
        <v>1.46</v>
      </c>
      <c r="BU132" s="119">
        <v>0.81</v>
      </c>
      <c r="BV132" s="74">
        <v>463600</v>
      </c>
      <c r="BW132" s="105">
        <v>100</v>
      </c>
      <c r="BX132" s="105">
        <v>488</v>
      </c>
      <c r="BY132" s="157">
        <v>24.5</v>
      </c>
      <c r="BZ132" s="106">
        <v>5.2</v>
      </c>
      <c r="CA132" s="115">
        <v>2.5999999999999999E-3</v>
      </c>
      <c r="CB132" s="105">
        <v>522</v>
      </c>
      <c r="CC132" s="114">
        <v>3.7200000000000002E-3</v>
      </c>
      <c r="CD132" s="105">
        <v>253</v>
      </c>
      <c r="CE132" s="99">
        <f t="shared" si="8"/>
        <v>2.3934426229508195E-2</v>
      </c>
      <c r="CF132" s="100">
        <f t="shared" si="6"/>
        <v>0.54</v>
      </c>
    </row>
    <row r="133" spans="1:84" hidden="1" x14ac:dyDescent="0.25">
      <c r="A133" s="101">
        <v>132</v>
      </c>
      <c r="B133" s="102"/>
      <c r="C133" s="103" t="s">
        <v>345</v>
      </c>
      <c r="D133" s="104">
        <v>760</v>
      </c>
      <c r="E133" s="105">
        <v>610</v>
      </c>
      <c r="F133" s="106">
        <f t="shared" si="7"/>
        <v>463600</v>
      </c>
      <c r="G133" s="105">
        <v>100</v>
      </c>
      <c r="H133" s="105">
        <v>488</v>
      </c>
      <c r="I133" s="107">
        <v>1.25</v>
      </c>
      <c r="J133" s="155">
        <v>20.8</v>
      </c>
      <c r="K133" s="156">
        <v>16.899999999999999</v>
      </c>
      <c r="L133" s="157">
        <v>24.5</v>
      </c>
      <c r="M133" s="158">
        <v>0.34</v>
      </c>
      <c r="N133" s="106">
        <v>5.2</v>
      </c>
      <c r="O133" s="112" t="s">
        <v>210</v>
      </c>
      <c r="P133" s="113" t="s">
        <v>211</v>
      </c>
      <c r="Q133" s="114">
        <v>1.2999999999999999E-3</v>
      </c>
      <c r="R133" s="115">
        <v>0</v>
      </c>
      <c r="S133" s="115">
        <v>2.5999999999999999E-3</v>
      </c>
      <c r="T133" s="105">
        <v>522</v>
      </c>
      <c r="U133" s="116">
        <v>488</v>
      </c>
      <c r="V133" s="114">
        <v>3.7200000000000002E-3</v>
      </c>
      <c r="W133" s="105">
        <v>253</v>
      </c>
      <c r="X133" s="116">
        <v>152</v>
      </c>
      <c r="Y133" s="160">
        <v>2</v>
      </c>
      <c r="Z133" s="117">
        <v>1</v>
      </c>
      <c r="AA133" s="123" t="s">
        <v>212</v>
      </c>
      <c r="AB133" s="112" t="s">
        <v>212</v>
      </c>
      <c r="AC133" s="174">
        <v>2</v>
      </c>
      <c r="AD133" s="118">
        <v>0.63</v>
      </c>
      <c r="AE133" s="107">
        <v>0.81</v>
      </c>
      <c r="AF133" s="120">
        <v>0.43</v>
      </c>
      <c r="AG133" s="118">
        <v>0.38</v>
      </c>
      <c r="AH133" s="118">
        <v>0.5</v>
      </c>
      <c r="AI133" s="119">
        <v>0.76</v>
      </c>
      <c r="AJ133" s="120">
        <v>0.31</v>
      </c>
      <c r="AK133" s="118">
        <v>1.02</v>
      </c>
      <c r="AL133" s="118">
        <v>0</v>
      </c>
      <c r="AM133" s="119">
        <v>1.34</v>
      </c>
      <c r="AN133" s="120">
        <v>0.3</v>
      </c>
      <c r="AO133" s="118">
        <v>0.6</v>
      </c>
      <c r="AP133" s="118">
        <v>0.32</v>
      </c>
      <c r="AQ133" s="119">
        <v>1.03</v>
      </c>
      <c r="AR133" s="120">
        <v>0.28999999999999998</v>
      </c>
      <c r="AS133" s="118">
        <v>0.45</v>
      </c>
      <c r="AT133" s="118">
        <v>0.5</v>
      </c>
      <c r="AU133" s="119">
        <v>0.73</v>
      </c>
      <c r="AV133" s="120">
        <v>0.23</v>
      </c>
      <c r="AW133" s="118">
        <v>0.94</v>
      </c>
      <c r="AX133" s="118">
        <v>0</v>
      </c>
      <c r="AY133" s="119">
        <v>1.17</v>
      </c>
      <c r="AZ133" s="120">
        <v>0.13</v>
      </c>
      <c r="BA133" s="118">
        <v>0.56999999999999995</v>
      </c>
      <c r="BB133" s="118">
        <v>0.14000000000000001</v>
      </c>
      <c r="BC133" s="119">
        <v>0.85</v>
      </c>
      <c r="BD133" s="121">
        <v>0.3</v>
      </c>
      <c r="BE133" s="120">
        <v>0.14000000000000001</v>
      </c>
      <c r="BF133" s="118">
        <v>0</v>
      </c>
      <c r="BG133" s="118">
        <v>0.46</v>
      </c>
      <c r="BH133" s="119">
        <v>0.6</v>
      </c>
      <c r="BI133" s="120">
        <v>0.17</v>
      </c>
      <c r="BJ133" s="118">
        <v>0.19</v>
      </c>
      <c r="BK133" s="118">
        <v>0.6</v>
      </c>
      <c r="BL133" s="119">
        <v>0.96</v>
      </c>
      <c r="BM133" s="120">
        <v>1.07</v>
      </c>
      <c r="BN133" s="118">
        <v>0.6</v>
      </c>
      <c r="BO133" s="118">
        <v>0.79</v>
      </c>
      <c r="BP133" s="118">
        <v>1.1100000000000001</v>
      </c>
      <c r="BQ133" s="118">
        <v>0.69</v>
      </c>
      <c r="BR133" s="118">
        <v>0.95</v>
      </c>
      <c r="BS133" s="118">
        <v>2.72</v>
      </c>
      <c r="BT133" s="118">
        <v>1.35</v>
      </c>
      <c r="BU133" s="119">
        <v>0.84</v>
      </c>
      <c r="BV133" s="74">
        <v>463600</v>
      </c>
      <c r="BW133" s="105">
        <v>100</v>
      </c>
      <c r="BX133" s="105">
        <v>488</v>
      </c>
      <c r="BY133" s="157">
        <v>24.5</v>
      </c>
      <c r="BZ133" s="106">
        <v>5.2</v>
      </c>
      <c r="CA133" s="115">
        <v>2.5999999999999999E-3</v>
      </c>
      <c r="CB133" s="105">
        <v>522</v>
      </c>
      <c r="CC133" s="114">
        <v>3.7200000000000002E-3</v>
      </c>
      <c r="CD133" s="105">
        <v>253</v>
      </c>
      <c r="CE133" s="99">
        <f t="shared" si="8"/>
        <v>2.2131147540983605E-2</v>
      </c>
      <c r="CF133" s="100">
        <f t="shared" si="6"/>
        <v>0.81</v>
      </c>
    </row>
    <row r="134" spans="1:84" hidden="1" x14ac:dyDescent="0.25">
      <c r="A134" s="101">
        <v>133</v>
      </c>
      <c r="B134" s="102"/>
      <c r="C134" s="103" t="s">
        <v>346</v>
      </c>
      <c r="D134" s="104">
        <v>760</v>
      </c>
      <c r="E134" s="105">
        <v>610</v>
      </c>
      <c r="F134" s="106">
        <f t="shared" si="7"/>
        <v>463600</v>
      </c>
      <c r="G134" s="105">
        <v>100</v>
      </c>
      <c r="H134" s="105">
        <v>488</v>
      </c>
      <c r="I134" s="107">
        <v>1.25</v>
      </c>
      <c r="J134" s="155">
        <v>20.8</v>
      </c>
      <c r="K134" s="156">
        <v>16.899999999999999</v>
      </c>
      <c r="L134" s="157">
        <v>24.5</v>
      </c>
      <c r="M134" s="158">
        <v>0.34</v>
      </c>
      <c r="N134" s="106">
        <v>5.2</v>
      </c>
      <c r="O134" s="112" t="s">
        <v>210</v>
      </c>
      <c r="P134" s="113" t="s">
        <v>211</v>
      </c>
      <c r="Q134" s="114">
        <v>1.2999999999999999E-3</v>
      </c>
      <c r="R134" s="115">
        <v>0</v>
      </c>
      <c r="S134" s="115">
        <v>2.5999999999999999E-3</v>
      </c>
      <c r="T134" s="105">
        <v>522</v>
      </c>
      <c r="U134" s="116">
        <v>488</v>
      </c>
      <c r="V134" s="114">
        <v>3.7200000000000002E-3</v>
      </c>
      <c r="W134" s="105">
        <v>253</v>
      </c>
      <c r="X134" s="116">
        <v>152</v>
      </c>
      <c r="Y134" s="160">
        <v>1</v>
      </c>
      <c r="Z134" s="117">
        <v>1</v>
      </c>
      <c r="AA134" s="123" t="s">
        <v>212</v>
      </c>
      <c r="AB134" s="112" t="s">
        <v>212</v>
      </c>
      <c r="AC134" s="174">
        <v>2</v>
      </c>
      <c r="AD134" s="118">
        <v>0.53</v>
      </c>
      <c r="AE134" s="107">
        <v>0.72</v>
      </c>
      <c r="AF134" s="120">
        <v>0.43</v>
      </c>
      <c r="AG134" s="118">
        <v>0.38</v>
      </c>
      <c r="AH134" s="118">
        <v>0.25</v>
      </c>
      <c r="AI134" s="119">
        <v>0.76</v>
      </c>
      <c r="AJ134" s="120">
        <v>0.31</v>
      </c>
      <c r="AK134" s="118">
        <v>1.02</v>
      </c>
      <c r="AL134" s="118">
        <v>0</v>
      </c>
      <c r="AM134" s="119">
        <v>1.34</v>
      </c>
      <c r="AN134" s="120">
        <v>0.3</v>
      </c>
      <c r="AO134" s="118">
        <v>0.6</v>
      </c>
      <c r="AP134" s="118">
        <v>0.2</v>
      </c>
      <c r="AQ134" s="119">
        <v>1.03</v>
      </c>
      <c r="AR134" s="120">
        <v>0.28999999999999998</v>
      </c>
      <c r="AS134" s="118">
        <v>0.45</v>
      </c>
      <c r="AT134" s="118">
        <v>0.25</v>
      </c>
      <c r="AU134" s="119">
        <v>0.73</v>
      </c>
      <c r="AV134" s="120">
        <v>0.23</v>
      </c>
      <c r="AW134" s="118">
        <v>0.94</v>
      </c>
      <c r="AX134" s="118">
        <v>0</v>
      </c>
      <c r="AY134" s="119">
        <v>1.17</v>
      </c>
      <c r="AZ134" s="120">
        <v>0.13</v>
      </c>
      <c r="BA134" s="118">
        <v>0.56999999999999995</v>
      </c>
      <c r="BB134" s="118">
        <v>7.0000000000000007E-2</v>
      </c>
      <c r="BC134" s="119">
        <v>0.78</v>
      </c>
      <c r="BD134" s="121">
        <v>0.3</v>
      </c>
      <c r="BE134" s="120">
        <v>0.14000000000000001</v>
      </c>
      <c r="BF134" s="118">
        <v>0</v>
      </c>
      <c r="BG134" s="118">
        <v>0.23</v>
      </c>
      <c r="BH134" s="119">
        <v>0.37</v>
      </c>
      <c r="BI134" s="120">
        <v>0.17</v>
      </c>
      <c r="BJ134" s="118">
        <v>0.19</v>
      </c>
      <c r="BK134" s="118">
        <v>0.3</v>
      </c>
      <c r="BL134" s="119">
        <v>0.66</v>
      </c>
      <c r="BM134" s="120">
        <v>0.95</v>
      </c>
      <c r="BN134" s="118">
        <v>0.54</v>
      </c>
      <c r="BO134" s="118">
        <v>0.7</v>
      </c>
      <c r="BP134" s="118">
        <v>0.98</v>
      </c>
      <c r="BQ134" s="118">
        <v>0.61</v>
      </c>
      <c r="BR134" s="118">
        <v>0.92</v>
      </c>
      <c r="BS134" s="118">
        <v>2.42</v>
      </c>
      <c r="BT134" s="118">
        <v>1.95</v>
      </c>
      <c r="BU134" s="119">
        <v>1.0900000000000001</v>
      </c>
      <c r="BV134" s="74">
        <v>463600</v>
      </c>
      <c r="BW134" s="105">
        <v>100</v>
      </c>
      <c r="BX134" s="105">
        <v>488</v>
      </c>
      <c r="BY134" s="157">
        <v>24.5</v>
      </c>
      <c r="BZ134" s="106">
        <v>5.2</v>
      </c>
      <c r="CA134" s="115">
        <v>2.5999999999999999E-3</v>
      </c>
      <c r="CB134" s="105">
        <v>522</v>
      </c>
      <c r="CC134" s="114">
        <v>3.7200000000000002E-3</v>
      </c>
      <c r="CD134" s="105">
        <v>253</v>
      </c>
      <c r="CE134" s="99">
        <f t="shared" si="8"/>
        <v>3.1967213114754096E-2</v>
      </c>
      <c r="CF134" s="100">
        <f t="shared" si="6"/>
        <v>0.72</v>
      </c>
    </row>
    <row r="135" spans="1:84" hidden="1" x14ac:dyDescent="0.25">
      <c r="A135" s="101">
        <v>134</v>
      </c>
      <c r="B135" s="102"/>
      <c r="C135" s="103" t="s">
        <v>347</v>
      </c>
      <c r="D135" s="104">
        <v>760</v>
      </c>
      <c r="E135" s="105">
        <v>610</v>
      </c>
      <c r="F135" s="106">
        <f t="shared" si="7"/>
        <v>463600</v>
      </c>
      <c r="G135" s="105">
        <v>100</v>
      </c>
      <c r="H135" s="105">
        <v>488</v>
      </c>
      <c r="I135" s="107">
        <v>1.25</v>
      </c>
      <c r="J135" s="155">
        <v>20.8</v>
      </c>
      <c r="K135" s="156">
        <v>16.899999999999999</v>
      </c>
      <c r="L135" s="157">
        <v>24.5</v>
      </c>
      <c r="M135" s="158">
        <v>0.34</v>
      </c>
      <c r="N135" s="106">
        <v>5.2</v>
      </c>
      <c r="O135" s="112" t="s">
        <v>210</v>
      </c>
      <c r="P135" s="113" t="s">
        <v>211</v>
      </c>
      <c r="Q135" s="114">
        <v>1.2999999999999999E-3</v>
      </c>
      <c r="R135" s="115">
        <v>0</v>
      </c>
      <c r="S135" s="115">
        <v>2.5999999999999999E-3</v>
      </c>
      <c r="T135" s="105">
        <v>522</v>
      </c>
      <c r="U135" s="116">
        <v>488</v>
      </c>
      <c r="V135" s="114">
        <v>3.7200000000000002E-3</v>
      </c>
      <c r="W135" s="105">
        <v>253</v>
      </c>
      <c r="X135" s="116">
        <v>152</v>
      </c>
      <c r="Y135" s="160">
        <v>2</v>
      </c>
      <c r="Z135" s="117">
        <v>1</v>
      </c>
      <c r="AA135" s="123" t="s">
        <v>212</v>
      </c>
      <c r="AB135" s="112" t="s">
        <v>212</v>
      </c>
      <c r="AC135" s="174">
        <v>2</v>
      </c>
      <c r="AD135" s="118">
        <v>0.77</v>
      </c>
      <c r="AE135" s="107">
        <v>0.94</v>
      </c>
      <c r="AF135" s="120">
        <v>0.43</v>
      </c>
      <c r="AG135" s="118">
        <v>0.38</v>
      </c>
      <c r="AH135" s="118">
        <v>0.5</v>
      </c>
      <c r="AI135" s="119">
        <v>0.76</v>
      </c>
      <c r="AJ135" s="120">
        <v>0.31</v>
      </c>
      <c r="AK135" s="118">
        <v>1.02</v>
      </c>
      <c r="AL135" s="118">
        <v>0</v>
      </c>
      <c r="AM135" s="119">
        <v>1.34</v>
      </c>
      <c r="AN135" s="120">
        <v>0.3</v>
      </c>
      <c r="AO135" s="118">
        <v>0.6</v>
      </c>
      <c r="AP135" s="118">
        <v>0.32</v>
      </c>
      <c r="AQ135" s="119">
        <v>1.03</v>
      </c>
      <c r="AR135" s="120">
        <v>0.28999999999999998</v>
      </c>
      <c r="AS135" s="118">
        <v>0.45</v>
      </c>
      <c r="AT135" s="118">
        <v>0.5</v>
      </c>
      <c r="AU135" s="119">
        <v>0.73</v>
      </c>
      <c r="AV135" s="120">
        <v>0.23</v>
      </c>
      <c r="AW135" s="118">
        <v>0.94</v>
      </c>
      <c r="AX135" s="118">
        <v>0</v>
      </c>
      <c r="AY135" s="119">
        <v>1.17</v>
      </c>
      <c r="AZ135" s="120">
        <v>0.13</v>
      </c>
      <c r="BA135" s="118">
        <v>0.56999999999999995</v>
      </c>
      <c r="BB135" s="118">
        <v>0.14000000000000001</v>
      </c>
      <c r="BC135" s="119">
        <v>0.85</v>
      </c>
      <c r="BD135" s="121">
        <v>0.3</v>
      </c>
      <c r="BE135" s="120">
        <v>0.14000000000000001</v>
      </c>
      <c r="BF135" s="118">
        <v>0</v>
      </c>
      <c r="BG135" s="118">
        <v>0.46</v>
      </c>
      <c r="BH135" s="119">
        <v>0.6</v>
      </c>
      <c r="BI135" s="120">
        <v>0.17</v>
      </c>
      <c r="BJ135" s="118">
        <v>0.19</v>
      </c>
      <c r="BK135" s="118">
        <v>0.6</v>
      </c>
      <c r="BL135" s="119">
        <v>0.96</v>
      </c>
      <c r="BM135" s="120">
        <v>1.24</v>
      </c>
      <c r="BN135" s="118">
        <v>0.7</v>
      </c>
      <c r="BO135" s="118">
        <v>0.91</v>
      </c>
      <c r="BP135" s="118">
        <v>1.29</v>
      </c>
      <c r="BQ135" s="118">
        <v>0.8</v>
      </c>
      <c r="BR135" s="118">
        <v>1.1100000000000001</v>
      </c>
      <c r="BS135" s="118">
        <v>3.17</v>
      </c>
      <c r="BT135" s="118">
        <v>1.57</v>
      </c>
      <c r="BU135" s="119">
        <v>0.98</v>
      </c>
      <c r="BV135" s="74">
        <v>463600</v>
      </c>
      <c r="BW135" s="105">
        <v>100</v>
      </c>
      <c r="BX135" s="105">
        <v>488</v>
      </c>
      <c r="BY135" s="157">
        <v>24.5</v>
      </c>
      <c r="BZ135" s="106">
        <v>5.2</v>
      </c>
      <c r="CA135" s="115">
        <v>2.5999999999999999E-3</v>
      </c>
      <c r="CB135" s="105">
        <v>522</v>
      </c>
      <c r="CC135" s="114">
        <v>3.7200000000000002E-3</v>
      </c>
      <c r="CD135" s="105">
        <v>253</v>
      </c>
      <c r="CE135" s="99">
        <f t="shared" si="8"/>
        <v>2.5737704918032789E-2</v>
      </c>
      <c r="CF135" s="100">
        <f t="shared" si="6"/>
        <v>0.94</v>
      </c>
    </row>
    <row r="136" spans="1:84" hidden="1" x14ac:dyDescent="0.25">
      <c r="A136" s="101">
        <v>135</v>
      </c>
      <c r="B136" s="102"/>
      <c r="C136" s="103" t="s">
        <v>348</v>
      </c>
      <c r="D136" s="104">
        <v>760</v>
      </c>
      <c r="E136" s="105">
        <v>610</v>
      </c>
      <c r="F136" s="106">
        <f t="shared" si="7"/>
        <v>463600</v>
      </c>
      <c r="G136" s="105">
        <v>100</v>
      </c>
      <c r="H136" s="105">
        <v>488</v>
      </c>
      <c r="I136" s="107">
        <v>1.25</v>
      </c>
      <c r="J136" s="155">
        <v>20.8</v>
      </c>
      <c r="K136" s="156">
        <v>16.899999999999999</v>
      </c>
      <c r="L136" s="157">
        <v>24.5</v>
      </c>
      <c r="M136" s="158">
        <v>0.34</v>
      </c>
      <c r="N136" s="106">
        <v>5.2</v>
      </c>
      <c r="O136" s="112" t="s">
        <v>210</v>
      </c>
      <c r="P136" s="113" t="s">
        <v>211</v>
      </c>
      <c r="Q136" s="114">
        <v>1.2999999999999999E-3</v>
      </c>
      <c r="R136" s="115">
        <v>0</v>
      </c>
      <c r="S136" s="115">
        <v>2.5999999999999999E-3</v>
      </c>
      <c r="T136" s="105">
        <v>522</v>
      </c>
      <c r="U136" s="116">
        <v>488</v>
      </c>
      <c r="V136" s="114">
        <v>3.7200000000000002E-3</v>
      </c>
      <c r="W136" s="105">
        <v>253</v>
      </c>
      <c r="X136" s="116">
        <v>152</v>
      </c>
      <c r="Y136" s="160">
        <v>1</v>
      </c>
      <c r="Z136" s="117">
        <v>1</v>
      </c>
      <c r="AA136" s="123" t="s">
        <v>212</v>
      </c>
      <c r="AB136" s="112" t="s">
        <v>212</v>
      </c>
      <c r="AC136" s="174">
        <v>2</v>
      </c>
      <c r="AD136" s="118">
        <v>0.5</v>
      </c>
      <c r="AE136" s="107">
        <v>0.67</v>
      </c>
      <c r="AF136" s="120">
        <v>0.43</v>
      </c>
      <c r="AG136" s="118">
        <v>0.38</v>
      </c>
      <c r="AH136" s="118">
        <v>0.25</v>
      </c>
      <c r="AI136" s="119">
        <v>0.76</v>
      </c>
      <c r="AJ136" s="120">
        <v>0.31</v>
      </c>
      <c r="AK136" s="118">
        <v>1.02</v>
      </c>
      <c r="AL136" s="118">
        <v>0</v>
      </c>
      <c r="AM136" s="119">
        <v>1.34</v>
      </c>
      <c r="AN136" s="120">
        <v>0.3</v>
      </c>
      <c r="AO136" s="118">
        <v>0.6</v>
      </c>
      <c r="AP136" s="118">
        <v>0.2</v>
      </c>
      <c r="AQ136" s="119">
        <v>1.03</v>
      </c>
      <c r="AR136" s="120">
        <v>0.28999999999999998</v>
      </c>
      <c r="AS136" s="118">
        <v>0.45</v>
      </c>
      <c r="AT136" s="118">
        <v>0.25</v>
      </c>
      <c r="AU136" s="119">
        <v>0.73</v>
      </c>
      <c r="AV136" s="120">
        <v>0.23</v>
      </c>
      <c r="AW136" s="118">
        <v>0.94</v>
      </c>
      <c r="AX136" s="118">
        <v>0</v>
      </c>
      <c r="AY136" s="119">
        <v>1.17</v>
      </c>
      <c r="AZ136" s="120">
        <v>0.13</v>
      </c>
      <c r="BA136" s="118">
        <v>0.56999999999999995</v>
      </c>
      <c r="BB136" s="118">
        <v>7.0000000000000007E-2</v>
      </c>
      <c r="BC136" s="119">
        <v>0.78</v>
      </c>
      <c r="BD136" s="121">
        <v>0.3</v>
      </c>
      <c r="BE136" s="120">
        <v>0.14000000000000001</v>
      </c>
      <c r="BF136" s="118">
        <v>0</v>
      </c>
      <c r="BG136" s="118">
        <v>0.23</v>
      </c>
      <c r="BH136" s="119">
        <v>0.37</v>
      </c>
      <c r="BI136" s="120">
        <v>0.17</v>
      </c>
      <c r="BJ136" s="118">
        <v>0.19</v>
      </c>
      <c r="BK136" s="118">
        <v>0.3</v>
      </c>
      <c r="BL136" s="119">
        <v>0.66</v>
      </c>
      <c r="BM136" s="120">
        <v>0.88</v>
      </c>
      <c r="BN136" s="118">
        <v>0.5</v>
      </c>
      <c r="BO136" s="118">
        <v>0.65</v>
      </c>
      <c r="BP136" s="118">
        <v>0.91</v>
      </c>
      <c r="BQ136" s="118">
        <v>0.56999999999999995</v>
      </c>
      <c r="BR136" s="118">
        <v>0.86</v>
      </c>
      <c r="BS136" s="118">
        <v>2.2400000000000002</v>
      </c>
      <c r="BT136" s="118">
        <v>1.82</v>
      </c>
      <c r="BU136" s="119">
        <v>1.01</v>
      </c>
      <c r="BV136" s="74">
        <v>463600</v>
      </c>
      <c r="BW136" s="105">
        <v>100</v>
      </c>
      <c r="BX136" s="105">
        <v>488</v>
      </c>
      <c r="BY136" s="157">
        <v>24.5</v>
      </c>
      <c r="BZ136" s="106">
        <v>5.2</v>
      </c>
      <c r="CA136" s="115">
        <v>2.5999999999999999E-3</v>
      </c>
      <c r="CB136" s="105">
        <v>522</v>
      </c>
      <c r="CC136" s="114">
        <v>3.7200000000000002E-3</v>
      </c>
      <c r="CD136" s="105">
        <v>253</v>
      </c>
      <c r="CE136" s="99">
        <f t="shared" si="8"/>
        <v>2.9836065573770495E-2</v>
      </c>
      <c r="CF136" s="100">
        <f t="shared" si="6"/>
        <v>0.67</v>
      </c>
    </row>
    <row r="137" spans="1:84" hidden="1" x14ac:dyDescent="0.25">
      <c r="A137" s="101">
        <v>136</v>
      </c>
      <c r="B137" s="102"/>
      <c r="C137" s="103" t="s">
        <v>349</v>
      </c>
      <c r="D137" s="104">
        <v>760</v>
      </c>
      <c r="E137" s="105">
        <v>610</v>
      </c>
      <c r="F137" s="106">
        <f t="shared" si="7"/>
        <v>463600</v>
      </c>
      <c r="G137" s="105">
        <v>100</v>
      </c>
      <c r="H137" s="105">
        <v>488</v>
      </c>
      <c r="I137" s="107">
        <v>1.25</v>
      </c>
      <c r="J137" s="155">
        <v>20.8</v>
      </c>
      <c r="K137" s="156">
        <v>16.899999999999999</v>
      </c>
      <c r="L137" s="157">
        <v>24.5</v>
      </c>
      <c r="M137" s="158">
        <v>0.34</v>
      </c>
      <c r="N137" s="106">
        <v>5.2</v>
      </c>
      <c r="O137" s="112" t="s">
        <v>210</v>
      </c>
      <c r="P137" s="113" t="s">
        <v>211</v>
      </c>
      <c r="Q137" s="114">
        <v>1.2999999999999999E-3</v>
      </c>
      <c r="R137" s="115">
        <v>0</v>
      </c>
      <c r="S137" s="115">
        <v>2.5999999999999999E-3</v>
      </c>
      <c r="T137" s="105">
        <v>522</v>
      </c>
      <c r="U137" s="116">
        <v>488</v>
      </c>
      <c r="V137" s="114">
        <v>3.7200000000000002E-3</v>
      </c>
      <c r="W137" s="105">
        <v>253</v>
      </c>
      <c r="X137" s="116">
        <v>152</v>
      </c>
      <c r="Y137" s="160">
        <v>2</v>
      </c>
      <c r="Z137" s="117">
        <v>1</v>
      </c>
      <c r="AA137" s="123" t="s">
        <v>212</v>
      </c>
      <c r="AB137" s="112" t="s">
        <v>212</v>
      </c>
      <c r="AC137" s="174">
        <v>2</v>
      </c>
      <c r="AD137" s="118">
        <v>0.77</v>
      </c>
      <c r="AE137" s="107">
        <v>0.88</v>
      </c>
      <c r="AF137" s="120">
        <v>0.43</v>
      </c>
      <c r="AG137" s="118">
        <v>0.38</v>
      </c>
      <c r="AH137" s="118">
        <v>0.5</v>
      </c>
      <c r="AI137" s="119">
        <v>0.76</v>
      </c>
      <c r="AJ137" s="120">
        <v>0.31</v>
      </c>
      <c r="AK137" s="118">
        <v>1.02</v>
      </c>
      <c r="AL137" s="118">
        <v>0</v>
      </c>
      <c r="AM137" s="119">
        <v>1.34</v>
      </c>
      <c r="AN137" s="120">
        <v>0.3</v>
      </c>
      <c r="AO137" s="118">
        <v>0.6</v>
      </c>
      <c r="AP137" s="118">
        <v>0.32</v>
      </c>
      <c r="AQ137" s="119">
        <v>1.03</v>
      </c>
      <c r="AR137" s="120">
        <v>0.28999999999999998</v>
      </c>
      <c r="AS137" s="118">
        <v>0.45</v>
      </c>
      <c r="AT137" s="118">
        <v>0.5</v>
      </c>
      <c r="AU137" s="119">
        <v>0.73</v>
      </c>
      <c r="AV137" s="120">
        <v>0.23</v>
      </c>
      <c r="AW137" s="118">
        <v>0.94</v>
      </c>
      <c r="AX137" s="118">
        <v>0</v>
      </c>
      <c r="AY137" s="119">
        <v>1.17</v>
      </c>
      <c r="AZ137" s="120">
        <v>0.13</v>
      </c>
      <c r="BA137" s="118">
        <v>0.56999999999999995</v>
      </c>
      <c r="BB137" s="118">
        <v>0.14000000000000001</v>
      </c>
      <c r="BC137" s="119">
        <v>0.85</v>
      </c>
      <c r="BD137" s="121">
        <v>0.3</v>
      </c>
      <c r="BE137" s="120">
        <v>0.14000000000000001</v>
      </c>
      <c r="BF137" s="118">
        <v>0</v>
      </c>
      <c r="BG137" s="118">
        <v>0.46</v>
      </c>
      <c r="BH137" s="119">
        <v>0.6</v>
      </c>
      <c r="BI137" s="120">
        <v>0.17</v>
      </c>
      <c r="BJ137" s="118">
        <v>0.19</v>
      </c>
      <c r="BK137" s="118">
        <v>0.6</v>
      </c>
      <c r="BL137" s="119">
        <v>0.96</v>
      </c>
      <c r="BM137" s="120">
        <v>1.1599999999999999</v>
      </c>
      <c r="BN137" s="118">
        <v>0.66</v>
      </c>
      <c r="BO137" s="118">
        <v>0.86</v>
      </c>
      <c r="BP137" s="118">
        <v>1.21</v>
      </c>
      <c r="BQ137" s="118">
        <v>0.75</v>
      </c>
      <c r="BR137" s="118">
        <v>1.04</v>
      </c>
      <c r="BS137" s="118">
        <v>2.97</v>
      </c>
      <c r="BT137" s="118">
        <v>1.48</v>
      </c>
      <c r="BU137" s="119">
        <v>0.92</v>
      </c>
      <c r="BV137" s="74">
        <v>463600</v>
      </c>
      <c r="BW137" s="105">
        <v>100</v>
      </c>
      <c r="BX137" s="105">
        <v>488</v>
      </c>
      <c r="BY137" s="157">
        <v>24.5</v>
      </c>
      <c r="BZ137" s="106">
        <v>5.2</v>
      </c>
      <c r="CA137" s="115">
        <v>2.5999999999999999E-3</v>
      </c>
      <c r="CB137" s="105">
        <v>522</v>
      </c>
      <c r="CC137" s="114">
        <v>3.7200000000000002E-3</v>
      </c>
      <c r="CD137" s="105">
        <v>253</v>
      </c>
      <c r="CE137" s="99">
        <f t="shared" si="8"/>
        <v>2.426229508196721E-2</v>
      </c>
      <c r="CF137" s="100">
        <f t="shared" si="6"/>
        <v>0.88</v>
      </c>
    </row>
    <row r="138" spans="1:84" hidden="1" x14ac:dyDescent="0.25">
      <c r="A138" s="101">
        <v>137</v>
      </c>
      <c r="B138" s="102"/>
      <c r="C138" s="103" t="s">
        <v>350</v>
      </c>
      <c r="D138" s="104">
        <v>760</v>
      </c>
      <c r="E138" s="105">
        <v>610</v>
      </c>
      <c r="F138" s="106">
        <f t="shared" si="7"/>
        <v>463600</v>
      </c>
      <c r="G138" s="105">
        <v>100</v>
      </c>
      <c r="H138" s="105">
        <v>488</v>
      </c>
      <c r="I138" s="107">
        <v>1.25</v>
      </c>
      <c r="J138" s="155">
        <v>20.8</v>
      </c>
      <c r="K138" s="156">
        <v>16.899999999999999</v>
      </c>
      <c r="L138" s="157">
        <v>24.5</v>
      </c>
      <c r="M138" s="158">
        <v>0.34</v>
      </c>
      <c r="N138" s="106">
        <v>5.2</v>
      </c>
      <c r="O138" s="112" t="s">
        <v>210</v>
      </c>
      <c r="P138" s="113" t="s">
        <v>211</v>
      </c>
      <c r="Q138" s="114">
        <v>1.2999999999999999E-3</v>
      </c>
      <c r="R138" s="115">
        <v>0</v>
      </c>
      <c r="S138" s="115">
        <v>2.5999999999999999E-3</v>
      </c>
      <c r="T138" s="105">
        <v>522</v>
      </c>
      <c r="U138" s="116">
        <v>488</v>
      </c>
      <c r="V138" s="114">
        <v>3.7200000000000002E-3</v>
      </c>
      <c r="W138" s="105">
        <v>253</v>
      </c>
      <c r="X138" s="116">
        <v>152</v>
      </c>
      <c r="Y138" s="160">
        <v>1</v>
      </c>
      <c r="Z138" s="117">
        <v>1</v>
      </c>
      <c r="AA138" s="123" t="s">
        <v>212</v>
      </c>
      <c r="AB138" s="112" t="s">
        <v>212</v>
      </c>
      <c r="AC138" s="174">
        <v>2</v>
      </c>
      <c r="AD138" s="118">
        <v>0.56999999999999995</v>
      </c>
      <c r="AE138" s="107">
        <v>0.7</v>
      </c>
      <c r="AF138" s="120">
        <v>0.43</v>
      </c>
      <c r="AG138" s="118">
        <v>0.38</v>
      </c>
      <c r="AH138" s="118">
        <v>0.25</v>
      </c>
      <c r="AI138" s="119">
        <v>0.76</v>
      </c>
      <c r="AJ138" s="120">
        <v>0.31</v>
      </c>
      <c r="AK138" s="118">
        <v>1.02</v>
      </c>
      <c r="AL138" s="118">
        <v>0</v>
      </c>
      <c r="AM138" s="119">
        <v>1.34</v>
      </c>
      <c r="AN138" s="120">
        <v>0.3</v>
      </c>
      <c r="AO138" s="118">
        <v>0.6</v>
      </c>
      <c r="AP138" s="118">
        <v>0.2</v>
      </c>
      <c r="AQ138" s="119">
        <v>1.03</v>
      </c>
      <c r="AR138" s="120">
        <v>0.28999999999999998</v>
      </c>
      <c r="AS138" s="118">
        <v>0.45</v>
      </c>
      <c r="AT138" s="118">
        <v>0.25</v>
      </c>
      <c r="AU138" s="119">
        <v>0.73</v>
      </c>
      <c r="AV138" s="120">
        <v>0.23</v>
      </c>
      <c r="AW138" s="118">
        <v>0.94</v>
      </c>
      <c r="AX138" s="118">
        <v>0</v>
      </c>
      <c r="AY138" s="119">
        <v>1.17</v>
      </c>
      <c r="AZ138" s="120">
        <v>0.13</v>
      </c>
      <c r="BA138" s="118">
        <v>0.56999999999999995</v>
      </c>
      <c r="BB138" s="118">
        <v>7.0000000000000007E-2</v>
      </c>
      <c r="BC138" s="119">
        <v>0.78</v>
      </c>
      <c r="BD138" s="121">
        <v>0.3</v>
      </c>
      <c r="BE138" s="120">
        <v>0.14000000000000001</v>
      </c>
      <c r="BF138" s="118">
        <v>0</v>
      </c>
      <c r="BG138" s="118">
        <v>0.23</v>
      </c>
      <c r="BH138" s="119">
        <v>0.37</v>
      </c>
      <c r="BI138" s="120">
        <v>0.17</v>
      </c>
      <c r="BJ138" s="118">
        <v>0.19</v>
      </c>
      <c r="BK138" s="118">
        <v>0.3</v>
      </c>
      <c r="BL138" s="119">
        <v>0.66</v>
      </c>
      <c r="BM138" s="120">
        <v>0.93</v>
      </c>
      <c r="BN138" s="118">
        <v>0.52</v>
      </c>
      <c r="BO138" s="118">
        <v>0.68</v>
      </c>
      <c r="BP138" s="118">
        <v>0.96</v>
      </c>
      <c r="BQ138" s="118">
        <v>0.6</v>
      </c>
      <c r="BR138" s="118">
        <v>0.9</v>
      </c>
      <c r="BS138" s="118">
        <v>2.37</v>
      </c>
      <c r="BT138" s="118">
        <v>1.91</v>
      </c>
      <c r="BU138" s="119">
        <v>1.07</v>
      </c>
      <c r="BV138" s="74">
        <v>463600</v>
      </c>
      <c r="BW138" s="105">
        <v>100</v>
      </c>
      <c r="BX138" s="105">
        <v>488</v>
      </c>
      <c r="BY138" s="157">
        <v>24.5</v>
      </c>
      <c r="BZ138" s="106">
        <v>5.2</v>
      </c>
      <c r="CA138" s="115">
        <v>2.5999999999999999E-3</v>
      </c>
      <c r="CB138" s="105">
        <v>522</v>
      </c>
      <c r="CC138" s="114">
        <v>3.7200000000000002E-3</v>
      </c>
      <c r="CD138" s="105">
        <v>253</v>
      </c>
      <c r="CE138" s="99">
        <f t="shared" si="8"/>
        <v>3.1311475409836066E-2</v>
      </c>
      <c r="CF138" s="100">
        <f t="shared" si="6"/>
        <v>0.7</v>
      </c>
    </row>
    <row r="139" spans="1:84" hidden="1" x14ac:dyDescent="0.25">
      <c r="A139" s="128">
        <v>138</v>
      </c>
      <c r="B139" s="216"/>
      <c r="C139" s="217" t="s">
        <v>351</v>
      </c>
      <c r="D139" s="218">
        <v>760</v>
      </c>
      <c r="E139" s="219">
        <v>610</v>
      </c>
      <c r="F139" s="220">
        <f t="shared" si="7"/>
        <v>463600</v>
      </c>
      <c r="G139" s="219">
        <v>100</v>
      </c>
      <c r="H139" s="219">
        <v>488</v>
      </c>
      <c r="I139" s="221">
        <v>1.25</v>
      </c>
      <c r="J139" s="222">
        <v>20.8</v>
      </c>
      <c r="K139" s="156">
        <v>16.899999999999999</v>
      </c>
      <c r="L139" s="157">
        <v>24.5</v>
      </c>
      <c r="M139" s="223">
        <v>0.34</v>
      </c>
      <c r="N139" s="220">
        <v>5.2</v>
      </c>
      <c r="O139" s="224" t="s">
        <v>210</v>
      </c>
      <c r="P139" s="225" t="s">
        <v>211</v>
      </c>
      <c r="Q139" s="226">
        <v>1.2999999999999999E-3</v>
      </c>
      <c r="R139" s="227">
        <v>0</v>
      </c>
      <c r="S139" s="227">
        <v>2.5999999999999999E-3</v>
      </c>
      <c r="T139" s="219">
        <v>522</v>
      </c>
      <c r="U139" s="228">
        <v>488</v>
      </c>
      <c r="V139" s="226">
        <v>3.7200000000000002E-3</v>
      </c>
      <c r="W139" s="219">
        <v>253</v>
      </c>
      <c r="X139" s="228">
        <v>152</v>
      </c>
      <c r="Y139" s="229">
        <v>2</v>
      </c>
      <c r="Z139" s="230">
        <v>1</v>
      </c>
      <c r="AA139" s="193" t="s">
        <v>212</v>
      </c>
      <c r="AB139" s="139" t="s">
        <v>212</v>
      </c>
      <c r="AC139" s="231">
        <v>2</v>
      </c>
      <c r="AD139" s="232">
        <v>0.81</v>
      </c>
      <c r="AE139" s="221">
        <v>0.99</v>
      </c>
      <c r="AF139" s="147">
        <v>0.43</v>
      </c>
      <c r="AG139" s="145">
        <v>0.38</v>
      </c>
      <c r="AH139" s="145">
        <v>0.5</v>
      </c>
      <c r="AI139" s="146">
        <v>0.76</v>
      </c>
      <c r="AJ139" s="147">
        <v>0.31</v>
      </c>
      <c r="AK139" s="145">
        <v>1.02</v>
      </c>
      <c r="AL139" s="145">
        <v>0</v>
      </c>
      <c r="AM139" s="146">
        <v>1.34</v>
      </c>
      <c r="AN139" s="147">
        <v>0.3</v>
      </c>
      <c r="AO139" s="145">
        <v>0.6</v>
      </c>
      <c r="AP139" s="145">
        <v>0.32</v>
      </c>
      <c r="AQ139" s="146">
        <v>1.03</v>
      </c>
      <c r="AR139" s="147">
        <v>0.28999999999999998</v>
      </c>
      <c r="AS139" s="145">
        <v>0.45</v>
      </c>
      <c r="AT139" s="145">
        <v>0.5</v>
      </c>
      <c r="AU139" s="146">
        <v>0.73</v>
      </c>
      <c r="AV139" s="147">
        <v>0.23</v>
      </c>
      <c r="AW139" s="145">
        <v>0.94</v>
      </c>
      <c r="AX139" s="145">
        <v>0</v>
      </c>
      <c r="AY139" s="146">
        <v>1.17</v>
      </c>
      <c r="AZ139" s="147">
        <v>0.13</v>
      </c>
      <c r="BA139" s="145">
        <v>0.56999999999999995</v>
      </c>
      <c r="BB139" s="145">
        <v>0.14000000000000001</v>
      </c>
      <c r="BC139" s="146">
        <v>0.85</v>
      </c>
      <c r="BD139" s="148">
        <v>0.3</v>
      </c>
      <c r="BE139" s="147">
        <v>0.14000000000000001</v>
      </c>
      <c r="BF139" s="145">
        <v>0</v>
      </c>
      <c r="BG139" s="145">
        <v>0.46</v>
      </c>
      <c r="BH139" s="146">
        <v>0.6</v>
      </c>
      <c r="BI139" s="147">
        <v>0.17</v>
      </c>
      <c r="BJ139" s="145">
        <v>0.19</v>
      </c>
      <c r="BK139" s="145">
        <v>0.6</v>
      </c>
      <c r="BL139" s="146">
        <v>0.96</v>
      </c>
      <c r="BM139" s="147">
        <v>1.3</v>
      </c>
      <c r="BN139" s="145">
        <v>0.74</v>
      </c>
      <c r="BO139" s="145">
        <v>0.96</v>
      </c>
      <c r="BP139" s="145">
        <v>1.35</v>
      </c>
      <c r="BQ139" s="145">
        <v>0.84</v>
      </c>
      <c r="BR139" s="145">
        <v>1.1599999999999999</v>
      </c>
      <c r="BS139" s="145">
        <v>3.33</v>
      </c>
      <c r="BT139" s="145">
        <v>1.65</v>
      </c>
      <c r="BU139" s="146">
        <v>1.03</v>
      </c>
      <c r="BV139" s="74">
        <v>463600</v>
      </c>
      <c r="BW139" s="219">
        <v>100</v>
      </c>
      <c r="BX139" s="219">
        <v>488</v>
      </c>
      <c r="BY139" s="157">
        <v>24.5</v>
      </c>
      <c r="BZ139" s="220">
        <v>5.2</v>
      </c>
      <c r="CA139" s="227">
        <v>2.5999999999999999E-3</v>
      </c>
      <c r="CB139" s="219">
        <v>522</v>
      </c>
      <c r="CC139" s="226">
        <v>3.7200000000000002E-3</v>
      </c>
      <c r="CD139" s="219">
        <v>253</v>
      </c>
      <c r="CE139" s="99">
        <f t="shared" si="8"/>
        <v>2.7049180327868849E-2</v>
      </c>
      <c r="CF139" s="100">
        <f t="shared" si="6"/>
        <v>0.99</v>
      </c>
    </row>
    <row r="140" spans="1:84" ht="24" customHeight="1" x14ac:dyDescent="0.25">
      <c r="A140" s="78">
        <v>139</v>
      </c>
      <c r="B140" s="197" t="s">
        <v>99</v>
      </c>
      <c r="C140" s="198" t="s">
        <v>352</v>
      </c>
      <c r="D140" s="199">
        <v>1800</v>
      </c>
      <c r="E140" s="200">
        <v>1720</v>
      </c>
      <c r="F140" s="201">
        <f t="shared" si="7"/>
        <v>3096000</v>
      </c>
      <c r="G140" s="200">
        <v>150</v>
      </c>
      <c r="H140" s="200">
        <v>1655</v>
      </c>
      <c r="I140" s="202">
        <v>1.05</v>
      </c>
      <c r="J140" s="203">
        <v>24</v>
      </c>
      <c r="K140" s="204">
        <v>32.9</v>
      </c>
      <c r="L140" s="205">
        <v>32.9</v>
      </c>
      <c r="M140" s="206">
        <v>0.68</v>
      </c>
      <c r="N140" s="201">
        <v>9.5</v>
      </c>
      <c r="O140" s="207" t="s">
        <v>201</v>
      </c>
      <c r="P140" s="208" t="s">
        <v>211</v>
      </c>
      <c r="Q140" s="209">
        <v>3.0000000000000001E-3</v>
      </c>
      <c r="R140" s="210">
        <v>8.3000000000000001E-4</v>
      </c>
      <c r="S140" s="210">
        <v>8.3000000000000001E-4</v>
      </c>
      <c r="T140" s="200">
        <v>386</v>
      </c>
      <c r="U140" s="208" t="s">
        <v>212</v>
      </c>
      <c r="V140" s="209">
        <v>7.1000000000000002E-4</v>
      </c>
      <c r="W140" s="200">
        <v>386</v>
      </c>
      <c r="X140" s="208" t="s">
        <v>212</v>
      </c>
      <c r="Y140" s="212">
        <v>0</v>
      </c>
      <c r="Z140" s="233">
        <v>0.5</v>
      </c>
      <c r="AA140" s="123" t="s">
        <v>212</v>
      </c>
      <c r="AB140" s="112" t="s">
        <v>212</v>
      </c>
      <c r="AC140" s="214">
        <v>2</v>
      </c>
      <c r="AD140" s="207" t="s">
        <v>224</v>
      </c>
      <c r="AE140" s="208">
        <v>0.44</v>
      </c>
      <c r="AF140" s="97">
        <v>0.39</v>
      </c>
      <c r="AG140" s="95">
        <v>0.13</v>
      </c>
      <c r="AH140" s="95">
        <v>0</v>
      </c>
      <c r="AI140" s="96">
        <v>0.52</v>
      </c>
      <c r="AJ140" s="97">
        <v>0.21</v>
      </c>
      <c r="AK140" s="95">
        <v>0.25</v>
      </c>
      <c r="AL140" s="95">
        <v>0</v>
      </c>
      <c r="AM140" s="96">
        <v>0.46</v>
      </c>
      <c r="AN140" s="97">
        <v>0.48</v>
      </c>
      <c r="AO140" s="95">
        <v>0.18</v>
      </c>
      <c r="AP140" s="95">
        <v>0</v>
      </c>
      <c r="AQ140" s="96">
        <v>0.65</v>
      </c>
      <c r="AR140" s="97">
        <v>0.7</v>
      </c>
      <c r="AS140" s="95">
        <v>0.16</v>
      </c>
      <c r="AT140" s="95">
        <v>0</v>
      </c>
      <c r="AU140" s="96">
        <v>0.49</v>
      </c>
      <c r="AV140" s="97">
        <v>0.25</v>
      </c>
      <c r="AW140" s="95">
        <v>0.27</v>
      </c>
      <c r="AX140" s="95">
        <v>0</v>
      </c>
      <c r="AY140" s="96">
        <v>0.52</v>
      </c>
      <c r="AZ140" s="97">
        <v>0.28000000000000003</v>
      </c>
      <c r="BA140" s="95">
        <v>0.77</v>
      </c>
      <c r="BB140" s="95">
        <v>0</v>
      </c>
      <c r="BC140" s="96">
        <v>1.06</v>
      </c>
      <c r="BD140" s="98">
        <v>0.46</v>
      </c>
      <c r="BE140" s="97">
        <v>0.65</v>
      </c>
      <c r="BF140" s="95">
        <v>0</v>
      </c>
      <c r="BG140" s="95">
        <v>0</v>
      </c>
      <c r="BH140" s="96">
        <v>0.65</v>
      </c>
      <c r="BI140" s="97">
        <v>0.34</v>
      </c>
      <c r="BJ140" s="95">
        <v>0.16</v>
      </c>
      <c r="BK140" s="95">
        <v>0</v>
      </c>
      <c r="BL140" s="96">
        <v>0.51</v>
      </c>
      <c r="BM140" s="97">
        <v>0.88</v>
      </c>
      <c r="BN140" s="95">
        <v>1.01</v>
      </c>
      <c r="BO140" s="95">
        <v>0.71</v>
      </c>
      <c r="BP140" s="95">
        <v>0.93</v>
      </c>
      <c r="BQ140" s="95">
        <v>0.88</v>
      </c>
      <c r="BR140" s="95">
        <v>0.44</v>
      </c>
      <c r="BS140" s="95">
        <v>1.01</v>
      </c>
      <c r="BT140" s="95">
        <v>0.71</v>
      </c>
      <c r="BU140" s="96">
        <v>0.91</v>
      </c>
      <c r="BV140" s="74">
        <v>3096000</v>
      </c>
      <c r="BW140" s="200">
        <v>150</v>
      </c>
      <c r="BX140" s="200">
        <v>1655</v>
      </c>
      <c r="BY140" s="205">
        <v>32.9</v>
      </c>
      <c r="BZ140" s="201">
        <v>9.5</v>
      </c>
      <c r="CA140" s="210">
        <v>8.3000000000000001E-4</v>
      </c>
      <c r="CB140" s="200">
        <v>386</v>
      </c>
      <c r="CC140" s="209">
        <v>7.1000000000000002E-4</v>
      </c>
      <c r="CD140" s="200">
        <v>386</v>
      </c>
      <c r="CE140" s="99">
        <f t="shared" si="8"/>
        <v>2.7519379844961238E-3</v>
      </c>
      <c r="CF140" s="100">
        <f t="shared" si="6"/>
        <v>0.44</v>
      </c>
    </row>
    <row r="141" spans="1:84" ht="24" x14ac:dyDescent="0.25">
      <c r="A141" s="101">
        <v>140</v>
      </c>
      <c r="B141" s="102"/>
      <c r="C141" s="103" t="s">
        <v>353</v>
      </c>
      <c r="D141" s="104">
        <v>1800</v>
      </c>
      <c r="E141" s="105">
        <v>1720</v>
      </c>
      <c r="F141" s="106">
        <f t="shared" si="7"/>
        <v>3096000</v>
      </c>
      <c r="G141" s="105">
        <v>150</v>
      </c>
      <c r="H141" s="105">
        <v>1655</v>
      </c>
      <c r="I141" s="107">
        <v>1.05</v>
      </c>
      <c r="J141" s="155">
        <v>24</v>
      </c>
      <c r="K141" s="156">
        <v>32.9</v>
      </c>
      <c r="L141" s="157">
        <v>32.9</v>
      </c>
      <c r="M141" s="158">
        <v>0.96</v>
      </c>
      <c r="N141" s="106">
        <v>15.6</v>
      </c>
      <c r="O141" s="112" t="s">
        <v>201</v>
      </c>
      <c r="P141" s="113" t="s">
        <v>211</v>
      </c>
      <c r="Q141" s="114">
        <v>3.7000000000000002E-3</v>
      </c>
      <c r="R141" s="115">
        <v>8.3000000000000001E-4</v>
      </c>
      <c r="S141" s="115">
        <v>8.3000000000000001E-4</v>
      </c>
      <c r="T141" s="105">
        <v>386</v>
      </c>
      <c r="U141" s="113" t="s">
        <v>212</v>
      </c>
      <c r="V141" s="114">
        <v>7.1000000000000002E-4</v>
      </c>
      <c r="W141" s="105">
        <v>386</v>
      </c>
      <c r="X141" s="113" t="s">
        <v>212</v>
      </c>
      <c r="Y141" s="160">
        <v>0</v>
      </c>
      <c r="Z141" s="110">
        <v>0.5</v>
      </c>
      <c r="AA141" s="123" t="s">
        <v>212</v>
      </c>
      <c r="AB141" s="112" t="s">
        <v>212</v>
      </c>
      <c r="AC141" s="174">
        <v>2</v>
      </c>
      <c r="AD141" s="112" t="s">
        <v>224</v>
      </c>
      <c r="AE141" s="113">
        <v>0.61</v>
      </c>
      <c r="AF141" s="120">
        <v>0.5</v>
      </c>
      <c r="AG141" s="118">
        <v>0.13</v>
      </c>
      <c r="AH141" s="118">
        <v>0</v>
      </c>
      <c r="AI141" s="119">
        <v>0.63</v>
      </c>
      <c r="AJ141" s="120">
        <v>0.21</v>
      </c>
      <c r="AK141" s="118">
        <v>0.25</v>
      </c>
      <c r="AL141" s="118">
        <v>0</v>
      </c>
      <c r="AM141" s="119">
        <v>0.46</v>
      </c>
      <c r="AN141" s="120">
        <v>0.61</v>
      </c>
      <c r="AO141" s="118">
        <v>0.18</v>
      </c>
      <c r="AP141" s="118">
        <v>0</v>
      </c>
      <c r="AQ141" s="119">
        <v>0.79</v>
      </c>
      <c r="AR141" s="120">
        <v>0.9</v>
      </c>
      <c r="AS141" s="118">
        <v>0.16</v>
      </c>
      <c r="AT141" s="118">
        <v>0</v>
      </c>
      <c r="AU141" s="119">
        <v>0.63</v>
      </c>
      <c r="AV141" s="120">
        <v>0.32</v>
      </c>
      <c r="AW141" s="118">
        <v>0.27</v>
      </c>
      <c r="AX141" s="118">
        <v>0</v>
      </c>
      <c r="AY141" s="119">
        <v>0.59</v>
      </c>
      <c r="AZ141" s="120">
        <v>0.37</v>
      </c>
      <c r="BA141" s="118">
        <v>0.77</v>
      </c>
      <c r="BB141" s="118">
        <v>0</v>
      </c>
      <c r="BC141" s="119">
        <v>1.1399999999999999</v>
      </c>
      <c r="BD141" s="121">
        <v>0.59</v>
      </c>
      <c r="BE141" s="120">
        <v>0.92</v>
      </c>
      <c r="BF141" s="118">
        <v>0</v>
      </c>
      <c r="BG141" s="118">
        <v>0</v>
      </c>
      <c r="BH141" s="119">
        <v>0.92</v>
      </c>
      <c r="BI141" s="120">
        <v>0.48</v>
      </c>
      <c r="BJ141" s="118">
        <v>0.16</v>
      </c>
      <c r="BK141" s="118">
        <v>0</v>
      </c>
      <c r="BL141" s="119">
        <v>0.65</v>
      </c>
      <c r="BM141" s="120">
        <v>1.01</v>
      </c>
      <c r="BN141" s="118">
        <v>1.4</v>
      </c>
      <c r="BO141" s="118">
        <v>0.81</v>
      </c>
      <c r="BP141" s="118">
        <v>1.01</v>
      </c>
      <c r="BQ141" s="118">
        <v>1.08</v>
      </c>
      <c r="BR141" s="118">
        <v>0.56000000000000005</v>
      </c>
      <c r="BS141" s="118">
        <v>1.0900000000000001</v>
      </c>
      <c r="BT141" s="118">
        <v>0.69</v>
      </c>
      <c r="BU141" s="119">
        <v>0.99</v>
      </c>
      <c r="BV141" s="74">
        <v>3096000</v>
      </c>
      <c r="BW141" s="105">
        <v>150</v>
      </c>
      <c r="BX141" s="105">
        <v>1655</v>
      </c>
      <c r="BY141" s="157">
        <v>32.9</v>
      </c>
      <c r="BZ141" s="106">
        <v>15.6</v>
      </c>
      <c r="CA141" s="115">
        <v>8.3000000000000001E-4</v>
      </c>
      <c r="CB141" s="105">
        <v>386</v>
      </c>
      <c r="CC141" s="114">
        <v>7.1000000000000002E-4</v>
      </c>
      <c r="CD141" s="105">
        <v>386</v>
      </c>
      <c r="CE141" s="99">
        <f t="shared" si="8"/>
        <v>2.6744186046511625E-3</v>
      </c>
      <c r="CF141" s="100">
        <f t="shared" si="6"/>
        <v>0.61</v>
      </c>
    </row>
    <row r="142" spans="1:84" ht="24" x14ac:dyDescent="0.25">
      <c r="A142" s="101">
        <v>141</v>
      </c>
      <c r="B142" s="102"/>
      <c r="C142" s="103" t="s">
        <v>354</v>
      </c>
      <c r="D142" s="104">
        <v>1800</v>
      </c>
      <c r="E142" s="105">
        <v>1320</v>
      </c>
      <c r="F142" s="106">
        <f t="shared" si="7"/>
        <v>2376000</v>
      </c>
      <c r="G142" s="105">
        <v>150</v>
      </c>
      <c r="H142" s="105">
        <v>1255</v>
      </c>
      <c r="I142" s="107">
        <v>1.36</v>
      </c>
      <c r="J142" s="155">
        <v>24</v>
      </c>
      <c r="K142" s="156">
        <v>32.9</v>
      </c>
      <c r="L142" s="157">
        <v>32.9</v>
      </c>
      <c r="M142" s="158">
        <v>0.68</v>
      </c>
      <c r="N142" s="106">
        <v>9.5</v>
      </c>
      <c r="O142" s="112" t="s">
        <v>201</v>
      </c>
      <c r="P142" s="113" t="s">
        <v>211</v>
      </c>
      <c r="Q142" s="114">
        <v>3.9100000000000003E-3</v>
      </c>
      <c r="R142" s="115">
        <v>7.2000000000000005E-4</v>
      </c>
      <c r="S142" s="115">
        <v>7.2000000000000005E-4</v>
      </c>
      <c r="T142" s="105">
        <v>386</v>
      </c>
      <c r="U142" s="113" t="s">
        <v>212</v>
      </c>
      <c r="V142" s="114">
        <v>7.1000000000000002E-4</v>
      </c>
      <c r="W142" s="105">
        <v>386</v>
      </c>
      <c r="X142" s="113" t="s">
        <v>212</v>
      </c>
      <c r="Y142" s="160">
        <v>0</v>
      </c>
      <c r="Z142" s="110">
        <v>0.5</v>
      </c>
      <c r="AA142" s="123" t="s">
        <v>212</v>
      </c>
      <c r="AB142" s="112" t="s">
        <v>212</v>
      </c>
      <c r="AC142" s="174">
        <v>2</v>
      </c>
      <c r="AD142" s="112" t="s">
        <v>224</v>
      </c>
      <c r="AE142" s="113">
        <v>0.46</v>
      </c>
      <c r="AF142" s="120">
        <v>0.35</v>
      </c>
      <c r="AG142" s="118">
        <v>0.13</v>
      </c>
      <c r="AH142" s="118">
        <v>0</v>
      </c>
      <c r="AI142" s="119">
        <v>0.48</v>
      </c>
      <c r="AJ142" s="120">
        <v>0.21</v>
      </c>
      <c r="AK142" s="118">
        <v>0.25</v>
      </c>
      <c r="AL142" s="118">
        <v>0</v>
      </c>
      <c r="AM142" s="119">
        <v>0.46</v>
      </c>
      <c r="AN142" s="120">
        <v>0.43</v>
      </c>
      <c r="AO142" s="118">
        <v>0.18</v>
      </c>
      <c r="AP142" s="118">
        <v>0</v>
      </c>
      <c r="AQ142" s="119">
        <v>0.61</v>
      </c>
      <c r="AR142" s="120">
        <v>0.62</v>
      </c>
      <c r="AS142" s="118">
        <v>0.16</v>
      </c>
      <c r="AT142" s="118">
        <v>0</v>
      </c>
      <c r="AU142" s="119">
        <v>0.49</v>
      </c>
      <c r="AV142" s="120">
        <v>0.21</v>
      </c>
      <c r="AW142" s="118">
        <v>0.27</v>
      </c>
      <c r="AX142" s="118">
        <v>0</v>
      </c>
      <c r="AY142" s="119">
        <v>0.49</v>
      </c>
      <c r="AZ142" s="120">
        <v>0.3</v>
      </c>
      <c r="BA142" s="118">
        <v>0.74</v>
      </c>
      <c r="BB142" s="118">
        <v>0</v>
      </c>
      <c r="BC142" s="119">
        <v>1.04</v>
      </c>
      <c r="BD142" s="121">
        <v>0.44</v>
      </c>
      <c r="BE142" s="120">
        <v>0.5</v>
      </c>
      <c r="BF142" s="118">
        <v>0</v>
      </c>
      <c r="BG142" s="118">
        <v>0</v>
      </c>
      <c r="BH142" s="119">
        <v>0.5</v>
      </c>
      <c r="BI142" s="120">
        <v>0.34</v>
      </c>
      <c r="BJ142" s="118">
        <v>0.16</v>
      </c>
      <c r="BK142" s="118">
        <v>0</v>
      </c>
      <c r="BL142" s="119">
        <v>0.51</v>
      </c>
      <c r="BM142" s="120">
        <v>1.29</v>
      </c>
      <c r="BN142" s="118">
        <v>1.36</v>
      </c>
      <c r="BO142" s="118">
        <v>1.02</v>
      </c>
      <c r="BP142" s="118">
        <v>1.26</v>
      </c>
      <c r="BQ142" s="118">
        <v>1.28</v>
      </c>
      <c r="BR142" s="118">
        <v>0.6</v>
      </c>
      <c r="BS142" s="118">
        <v>1.42</v>
      </c>
      <c r="BT142" s="118">
        <v>1.24</v>
      </c>
      <c r="BU142" s="119">
        <v>1.23</v>
      </c>
      <c r="BV142" s="74">
        <v>2376000</v>
      </c>
      <c r="BW142" s="105">
        <v>150</v>
      </c>
      <c r="BX142" s="105">
        <v>1255</v>
      </c>
      <c r="BY142" s="157">
        <v>32.9</v>
      </c>
      <c r="BZ142" s="106">
        <v>9.5</v>
      </c>
      <c r="CA142" s="115">
        <v>7.2000000000000005E-4</v>
      </c>
      <c r="CB142" s="105">
        <v>386</v>
      </c>
      <c r="CC142" s="114">
        <v>7.1000000000000002E-4</v>
      </c>
      <c r="CD142" s="105">
        <v>386</v>
      </c>
      <c r="CE142" s="99">
        <f t="shared" si="8"/>
        <v>6.2626262626262631E-3</v>
      </c>
      <c r="CF142" s="100">
        <f t="shared" si="6"/>
        <v>0.46</v>
      </c>
    </row>
    <row r="143" spans="1:84" ht="24" x14ac:dyDescent="0.25">
      <c r="A143" s="101">
        <v>142</v>
      </c>
      <c r="B143" s="102"/>
      <c r="C143" s="103" t="s">
        <v>355</v>
      </c>
      <c r="D143" s="104">
        <v>1800</v>
      </c>
      <c r="E143" s="105">
        <v>1320</v>
      </c>
      <c r="F143" s="106">
        <f t="shared" si="7"/>
        <v>2376000</v>
      </c>
      <c r="G143" s="105">
        <v>150</v>
      </c>
      <c r="H143" s="105">
        <v>1255</v>
      </c>
      <c r="I143" s="107">
        <v>1.36</v>
      </c>
      <c r="J143" s="155">
        <v>24</v>
      </c>
      <c r="K143" s="156">
        <v>32.9</v>
      </c>
      <c r="L143" s="157">
        <v>32.9</v>
      </c>
      <c r="M143" s="158">
        <v>0.96</v>
      </c>
      <c r="N143" s="106">
        <v>15.6</v>
      </c>
      <c r="O143" s="112" t="s">
        <v>201</v>
      </c>
      <c r="P143" s="113" t="s">
        <v>211</v>
      </c>
      <c r="Q143" s="114">
        <v>3.5699999999999998E-3</v>
      </c>
      <c r="R143" s="115">
        <v>7.2000000000000005E-4</v>
      </c>
      <c r="S143" s="115">
        <v>7.2000000000000005E-4</v>
      </c>
      <c r="T143" s="105">
        <v>386</v>
      </c>
      <c r="U143" s="113" t="s">
        <v>212</v>
      </c>
      <c r="V143" s="114">
        <v>7.1000000000000002E-4</v>
      </c>
      <c r="W143" s="105">
        <v>386</v>
      </c>
      <c r="X143" s="113" t="s">
        <v>212</v>
      </c>
      <c r="Y143" s="160">
        <v>0</v>
      </c>
      <c r="Z143" s="110">
        <v>0.5</v>
      </c>
      <c r="AA143" s="123" t="s">
        <v>212</v>
      </c>
      <c r="AB143" s="112" t="s">
        <v>212</v>
      </c>
      <c r="AC143" s="174">
        <v>2</v>
      </c>
      <c r="AD143" s="112" t="s">
        <v>224</v>
      </c>
      <c r="AE143" s="113">
        <v>0.6</v>
      </c>
      <c r="AF143" s="120">
        <v>0.45</v>
      </c>
      <c r="AG143" s="118">
        <v>0.13</v>
      </c>
      <c r="AH143" s="118">
        <v>0</v>
      </c>
      <c r="AI143" s="119">
        <v>0.57999999999999996</v>
      </c>
      <c r="AJ143" s="120">
        <v>0.21</v>
      </c>
      <c r="AK143" s="118">
        <v>0.25</v>
      </c>
      <c r="AL143" s="118">
        <v>0</v>
      </c>
      <c r="AM143" s="119">
        <v>0.46</v>
      </c>
      <c r="AN143" s="120">
        <v>0.56000000000000005</v>
      </c>
      <c r="AO143" s="118">
        <v>0.18</v>
      </c>
      <c r="AP143" s="118">
        <v>0</v>
      </c>
      <c r="AQ143" s="119">
        <v>0.73</v>
      </c>
      <c r="AR143" s="120">
        <v>0.79</v>
      </c>
      <c r="AS143" s="118">
        <v>0.16</v>
      </c>
      <c r="AT143" s="118">
        <v>0</v>
      </c>
      <c r="AU143" s="119">
        <v>0.63</v>
      </c>
      <c r="AV143" s="120">
        <v>0.27</v>
      </c>
      <c r="AW143" s="118">
        <v>0.27</v>
      </c>
      <c r="AX143" s="118">
        <v>0</v>
      </c>
      <c r="AY143" s="119">
        <v>0.55000000000000004</v>
      </c>
      <c r="AZ143" s="120">
        <v>0.36</v>
      </c>
      <c r="BA143" s="118">
        <v>0.74</v>
      </c>
      <c r="BB143" s="118">
        <v>0</v>
      </c>
      <c r="BC143" s="119">
        <v>1.0900000000000001</v>
      </c>
      <c r="BD143" s="121">
        <v>0.56000000000000005</v>
      </c>
      <c r="BE143" s="120">
        <v>0.71</v>
      </c>
      <c r="BF143" s="118">
        <v>0</v>
      </c>
      <c r="BG143" s="118">
        <v>0</v>
      </c>
      <c r="BH143" s="119">
        <v>0.71</v>
      </c>
      <c r="BI143" s="120">
        <v>0.48</v>
      </c>
      <c r="BJ143" s="118">
        <v>0.16</v>
      </c>
      <c r="BK143" s="118">
        <v>0</v>
      </c>
      <c r="BL143" s="119">
        <v>0.65</v>
      </c>
      <c r="BM143" s="120">
        <v>1.4</v>
      </c>
      <c r="BN143" s="118">
        <v>1.78</v>
      </c>
      <c r="BO143" s="118">
        <v>1.1100000000000001</v>
      </c>
      <c r="BP143" s="118">
        <v>1.28</v>
      </c>
      <c r="BQ143" s="118">
        <v>1.49</v>
      </c>
      <c r="BR143" s="118">
        <v>0.74</v>
      </c>
      <c r="BS143" s="118">
        <v>1.45</v>
      </c>
      <c r="BT143" s="118">
        <v>1.1499999999999999</v>
      </c>
      <c r="BU143" s="119">
        <v>1.26</v>
      </c>
      <c r="BV143" s="74">
        <v>2376000</v>
      </c>
      <c r="BW143" s="105">
        <v>150</v>
      </c>
      <c r="BX143" s="105">
        <v>1255</v>
      </c>
      <c r="BY143" s="157">
        <v>32.9</v>
      </c>
      <c r="BZ143" s="106">
        <v>15.6</v>
      </c>
      <c r="CA143" s="115">
        <v>7.2000000000000005E-4</v>
      </c>
      <c r="CB143" s="105">
        <v>386</v>
      </c>
      <c r="CC143" s="114">
        <v>7.1000000000000002E-4</v>
      </c>
      <c r="CD143" s="105">
        <v>386</v>
      </c>
      <c r="CE143" s="99">
        <f t="shared" si="8"/>
        <v>5.8080808080808082E-3</v>
      </c>
      <c r="CF143" s="100">
        <f t="shared" si="6"/>
        <v>0.6</v>
      </c>
    </row>
    <row r="144" spans="1:84" ht="24" x14ac:dyDescent="0.25">
      <c r="A144" s="101">
        <v>143</v>
      </c>
      <c r="B144" s="102"/>
      <c r="C144" s="103" t="s">
        <v>356</v>
      </c>
      <c r="D144" s="104">
        <v>1800</v>
      </c>
      <c r="E144" s="105">
        <v>920</v>
      </c>
      <c r="F144" s="106">
        <f t="shared" si="7"/>
        <v>1656000</v>
      </c>
      <c r="G144" s="105">
        <v>150</v>
      </c>
      <c r="H144" s="105">
        <v>855</v>
      </c>
      <c r="I144" s="107">
        <v>1.96</v>
      </c>
      <c r="J144" s="155">
        <v>24</v>
      </c>
      <c r="K144" s="156">
        <v>32.9</v>
      </c>
      <c r="L144" s="157">
        <v>32.9</v>
      </c>
      <c r="M144" s="158">
        <v>0.68</v>
      </c>
      <c r="N144" s="106">
        <v>9.5</v>
      </c>
      <c r="O144" s="112" t="s">
        <v>201</v>
      </c>
      <c r="P144" s="113" t="s">
        <v>211</v>
      </c>
      <c r="Q144" s="114">
        <v>5.6100000000000004E-3</v>
      </c>
      <c r="R144" s="115">
        <v>1.0300000000000001E-3</v>
      </c>
      <c r="S144" s="115">
        <v>1.0300000000000001E-3</v>
      </c>
      <c r="T144" s="105">
        <v>386</v>
      </c>
      <c r="U144" s="113" t="s">
        <v>212</v>
      </c>
      <c r="V144" s="114">
        <v>7.1000000000000002E-4</v>
      </c>
      <c r="W144" s="105">
        <v>386</v>
      </c>
      <c r="X144" s="113" t="s">
        <v>212</v>
      </c>
      <c r="Y144" s="160">
        <v>0</v>
      </c>
      <c r="Z144" s="110">
        <v>0.5</v>
      </c>
      <c r="AA144" s="123" t="s">
        <v>212</v>
      </c>
      <c r="AB144" s="112" t="s">
        <v>212</v>
      </c>
      <c r="AC144" s="174">
        <v>2</v>
      </c>
      <c r="AD144" s="112" t="s">
        <v>224</v>
      </c>
      <c r="AE144" s="113">
        <v>0.56999999999999995</v>
      </c>
      <c r="AF144" s="120">
        <v>0.28999999999999998</v>
      </c>
      <c r="AG144" s="118">
        <v>0.13</v>
      </c>
      <c r="AH144" s="118">
        <v>0</v>
      </c>
      <c r="AI144" s="119">
        <v>0.42</v>
      </c>
      <c r="AJ144" s="120">
        <v>0.21</v>
      </c>
      <c r="AK144" s="118">
        <v>0.25</v>
      </c>
      <c r="AL144" s="118">
        <v>0</v>
      </c>
      <c r="AM144" s="119">
        <v>0.46</v>
      </c>
      <c r="AN144" s="120">
        <v>0.36</v>
      </c>
      <c r="AO144" s="118">
        <v>0.18</v>
      </c>
      <c r="AP144" s="118">
        <v>0</v>
      </c>
      <c r="AQ144" s="119">
        <v>0.54</v>
      </c>
      <c r="AR144" s="120">
        <v>0.47</v>
      </c>
      <c r="AS144" s="118">
        <v>0.15</v>
      </c>
      <c r="AT144" s="118">
        <v>0</v>
      </c>
      <c r="AU144" s="119">
        <v>0.49</v>
      </c>
      <c r="AV144" s="120">
        <v>0.15</v>
      </c>
      <c r="AW144" s="118">
        <v>0.27</v>
      </c>
      <c r="AX144" s="118">
        <v>0</v>
      </c>
      <c r="AY144" s="119">
        <v>0.43</v>
      </c>
      <c r="AZ144" s="120">
        <v>0.32</v>
      </c>
      <c r="BA144" s="118">
        <v>0.79</v>
      </c>
      <c r="BB144" s="118">
        <v>0</v>
      </c>
      <c r="BC144" s="119">
        <v>1.1100000000000001</v>
      </c>
      <c r="BD144" s="121">
        <v>0.4</v>
      </c>
      <c r="BE144" s="120">
        <v>0.35</v>
      </c>
      <c r="BF144" s="118">
        <v>0</v>
      </c>
      <c r="BG144" s="118">
        <v>0</v>
      </c>
      <c r="BH144" s="119">
        <v>0.35</v>
      </c>
      <c r="BI144" s="120">
        <v>0.34</v>
      </c>
      <c r="BJ144" s="118">
        <v>0.16</v>
      </c>
      <c r="BK144" s="118">
        <v>0</v>
      </c>
      <c r="BL144" s="119">
        <v>0.51</v>
      </c>
      <c r="BM144" s="120">
        <v>2.69</v>
      </c>
      <c r="BN144" s="118">
        <v>2.44</v>
      </c>
      <c r="BO144" s="118">
        <v>2.08</v>
      </c>
      <c r="BP144" s="118">
        <v>2.2599999999999998</v>
      </c>
      <c r="BQ144" s="118">
        <v>2.61</v>
      </c>
      <c r="BR144" s="118">
        <v>1.01</v>
      </c>
      <c r="BS144" s="118">
        <v>2.78</v>
      </c>
      <c r="BT144" s="118">
        <v>3.2</v>
      </c>
      <c r="BU144" s="119">
        <v>2.21</v>
      </c>
      <c r="BV144" s="74">
        <v>1656000</v>
      </c>
      <c r="BW144" s="105">
        <v>150</v>
      </c>
      <c r="BX144" s="105">
        <v>855</v>
      </c>
      <c r="BY144" s="157">
        <v>32.9</v>
      </c>
      <c r="BZ144" s="106">
        <v>9.5</v>
      </c>
      <c r="CA144" s="115">
        <v>1.0300000000000001E-3</v>
      </c>
      <c r="CB144" s="105">
        <v>386</v>
      </c>
      <c r="CC144" s="114">
        <v>7.1000000000000002E-4</v>
      </c>
      <c r="CD144" s="105">
        <v>386</v>
      </c>
      <c r="CE144" s="99">
        <f t="shared" si="8"/>
        <v>2.318840579710145E-2</v>
      </c>
      <c r="CF144" s="100">
        <f t="shared" si="6"/>
        <v>0.56999999999999995</v>
      </c>
    </row>
    <row r="145" spans="1:84" ht="24" x14ac:dyDescent="0.25">
      <c r="A145" s="101">
        <v>144</v>
      </c>
      <c r="B145" s="102"/>
      <c r="C145" s="103" t="s">
        <v>357</v>
      </c>
      <c r="D145" s="104">
        <v>1800</v>
      </c>
      <c r="E145" s="105">
        <v>920</v>
      </c>
      <c r="F145" s="106">
        <f t="shared" si="7"/>
        <v>1656000</v>
      </c>
      <c r="G145" s="105">
        <v>150</v>
      </c>
      <c r="H145" s="105">
        <v>855</v>
      </c>
      <c r="I145" s="107">
        <v>1.96</v>
      </c>
      <c r="J145" s="155">
        <v>24</v>
      </c>
      <c r="K145" s="156">
        <v>32.9</v>
      </c>
      <c r="L145" s="157">
        <v>32.9</v>
      </c>
      <c r="M145" s="158">
        <v>0.96</v>
      </c>
      <c r="N145" s="106">
        <v>15.6</v>
      </c>
      <c r="O145" s="112" t="s">
        <v>201</v>
      </c>
      <c r="P145" s="113" t="s">
        <v>211</v>
      </c>
      <c r="Q145" s="114">
        <v>3.6700000000000001E-3</v>
      </c>
      <c r="R145" s="115">
        <v>1.0300000000000001E-3</v>
      </c>
      <c r="S145" s="115">
        <v>1.0300000000000001E-3</v>
      </c>
      <c r="T145" s="105">
        <v>386</v>
      </c>
      <c r="U145" s="113" t="s">
        <v>212</v>
      </c>
      <c r="V145" s="114">
        <v>7.1000000000000002E-4</v>
      </c>
      <c r="W145" s="105">
        <v>386</v>
      </c>
      <c r="X145" s="113" t="s">
        <v>212</v>
      </c>
      <c r="Y145" s="160">
        <v>0</v>
      </c>
      <c r="Z145" s="110">
        <v>0.5</v>
      </c>
      <c r="AA145" s="123" t="s">
        <v>212</v>
      </c>
      <c r="AB145" s="112" t="s">
        <v>212</v>
      </c>
      <c r="AC145" s="174">
        <v>2</v>
      </c>
      <c r="AD145" s="112" t="s">
        <v>224</v>
      </c>
      <c r="AE145" s="113">
        <v>0.53</v>
      </c>
      <c r="AF145" s="120">
        <v>0.37</v>
      </c>
      <c r="AG145" s="118">
        <v>0.13</v>
      </c>
      <c r="AH145" s="118">
        <v>0</v>
      </c>
      <c r="AI145" s="119">
        <v>0.5</v>
      </c>
      <c r="AJ145" s="120">
        <v>0.21</v>
      </c>
      <c r="AK145" s="118">
        <v>0.25</v>
      </c>
      <c r="AL145" s="118">
        <v>0</v>
      </c>
      <c r="AM145" s="119">
        <v>0.46</v>
      </c>
      <c r="AN145" s="120">
        <v>0.46</v>
      </c>
      <c r="AO145" s="118">
        <v>0.18</v>
      </c>
      <c r="AP145" s="118">
        <v>0</v>
      </c>
      <c r="AQ145" s="119">
        <v>0.64</v>
      </c>
      <c r="AR145" s="120">
        <v>0.6</v>
      </c>
      <c r="AS145" s="118">
        <v>0.15</v>
      </c>
      <c r="AT145" s="118">
        <v>0</v>
      </c>
      <c r="AU145" s="119">
        <v>0.63</v>
      </c>
      <c r="AV145" s="120">
        <v>0.2</v>
      </c>
      <c r="AW145" s="118">
        <v>0.27</v>
      </c>
      <c r="AX145" s="118">
        <v>0</v>
      </c>
      <c r="AY145" s="119">
        <v>0.47</v>
      </c>
      <c r="AZ145" s="120">
        <v>0.35</v>
      </c>
      <c r="BA145" s="118">
        <v>0.79</v>
      </c>
      <c r="BB145" s="118">
        <v>0</v>
      </c>
      <c r="BC145" s="119">
        <v>1.1399999999999999</v>
      </c>
      <c r="BD145" s="121">
        <v>0.51</v>
      </c>
      <c r="BE145" s="120">
        <v>0.49</v>
      </c>
      <c r="BF145" s="118">
        <v>0</v>
      </c>
      <c r="BG145" s="118">
        <v>0</v>
      </c>
      <c r="BH145" s="119">
        <v>0.49</v>
      </c>
      <c r="BI145" s="120">
        <v>0.48</v>
      </c>
      <c r="BJ145" s="118">
        <v>0.16</v>
      </c>
      <c r="BK145" s="118">
        <v>0</v>
      </c>
      <c r="BL145" s="119">
        <v>0.65</v>
      </c>
      <c r="BM145" s="120">
        <v>2.09</v>
      </c>
      <c r="BN145" s="118">
        <v>2.27</v>
      </c>
      <c r="BO145" s="118">
        <v>1.63</v>
      </c>
      <c r="BP145" s="118">
        <v>1.64</v>
      </c>
      <c r="BQ145" s="118">
        <v>2.2000000000000002</v>
      </c>
      <c r="BR145" s="118">
        <v>0.91</v>
      </c>
      <c r="BS145" s="118">
        <v>2.02</v>
      </c>
      <c r="BT145" s="118">
        <v>2.1</v>
      </c>
      <c r="BU145" s="119">
        <v>1.6</v>
      </c>
      <c r="BV145" s="74">
        <v>1656000</v>
      </c>
      <c r="BW145" s="105">
        <v>150</v>
      </c>
      <c r="BX145" s="105">
        <v>855</v>
      </c>
      <c r="BY145" s="157">
        <v>32.9</v>
      </c>
      <c r="BZ145" s="106">
        <v>15.6</v>
      </c>
      <c r="CA145" s="115">
        <v>1.0300000000000001E-3</v>
      </c>
      <c r="CB145" s="105">
        <v>386</v>
      </c>
      <c r="CC145" s="114">
        <v>7.1000000000000002E-4</v>
      </c>
      <c r="CD145" s="105">
        <v>386</v>
      </c>
      <c r="CE145" s="99">
        <f t="shared" si="8"/>
        <v>1.5217391304347827E-2</v>
      </c>
      <c r="CF145" s="100">
        <f t="shared" si="6"/>
        <v>0.53</v>
      </c>
    </row>
    <row r="146" spans="1:84" ht="24" x14ac:dyDescent="0.25">
      <c r="A146" s="101">
        <v>145</v>
      </c>
      <c r="B146" s="102"/>
      <c r="C146" s="103" t="s">
        <v>358</v>
      </c>
      <c r="D146" s="104">
        <v>1800</v>
      </c>
      <c r="E146" s="105">
        <v>1320</v>
      </c>
      <c r="F146" s="106">
        <f t="shared" si="7"/>
        <v>2376000</v>
      </c>
      <c r="G146" s="105">
        <v>150</v>
      </c>
      <c r="H146" s="105">
        <v>1255</v>
      </c>
      <c r="I146" s="107">
        <v>1.36</v>
      </c>
      <c r="J146" s="155">
        <v>24</v>
      </c>
      <c r="K146" s="156">
        <v>32.9</v>
      </c>
      <c r="L146" s="157">
        <v>32.9</v>
      </c>
      <c r="M146" s="158">
        <v>0.68</v>
      </c>
      <c r="N146" s="106">
        <v>9.5</v>
      </c>
      <c r="O146" s="112" t="s">
        <v>201</v>
      </c>
      <c r="P146" s="113" t="s">
        <v>211</v>
      </c>
      <c r="Q146" s="114">
        <v>3.9100000000000003E-3</v>
      </c>
      <c r="R146" s="115">
        <v>7.2000000000000005E-4</v>
      </c>
      <c r="S146" s="115">
        <v>7.2000000000000005E-4</v>
      </c>
      <c r="T146" s="105">
        <v>386</v>
      </c>
      <c r="U146" s="113" t="s">
        <v>212</v>
      </c>
      <c r="V146" s="114">
        <v>0</v>
      </c>
      <c r="W146" s="105">
        <v>386</v>
      </c>
      <c r="X146" s="113" t="s">
        <v>212</v>
      </c>
      <c r="Y146" s="160">
        <v>0</v>
      </c>
      <c r="Z146" s="110">
        <v>0.5</v>
      </c>
      <c r="AA146" s="123" t="s">
        <v>212</v>
      </c>
      <c r="AB146" s="112" t="s">
        <v>212</v>
      </c>
      <c r="AC146" s="174">
        <v>2</v>
      </c>
      <c r="AD146" s="112" t="s">
        <v>224</v>
      </c>
      <c r="AE146" s="113">
        <v>0.3</v>
      </c>
      <c r="AF146" s="120">
        <v>0.35</v>
      </c>
      <c r="AG146" s="118">
        <v>0</v>
      </c>
      <c r="AH146" s="118">
        <v>0</v>
      </c>
      <c r="AI146" s="119">
        <v>0.35</v>
      </c>
      <c r="AJ146" s="120">
        <v>0.21</v>
      </c>
      <c r="AK146" s="118">
        <v>0</v>
      </c>
      <c r="AL146" s="118">
        <v>0</v>
      </c>
      <c r="AM146" s="119">
        <v>0.21</v>
      </c>
      <c r="AN146" s="120">
        <v>0.43</v>
      </c>
      <c r="AO146" s="118">
        <v>0</v>
      </c>
      <c r="AP146" s="118">
        <v>0</v>
      </c>
      <c r="AQ146" s="119">
        <v>0.43</v>
      </c>
      <c r="AR146" s="120">
        <v>0.62</v>
      </c>
      <c r="AS146" s="118">
        <v>0</v>
      </c>
      <c r="AT146" s="118">
        <v>0</v>
      </c>
      <c r="AU146" s="119">
        <v>0.49</v>
      </c>
      <c r="AV146" s="120">
        <v>0.21</v>
      </c>
      <c r="AW146" s="118">
        <v>0</v>
      </c>
      <c r="AX146" s="118">
        <v>0</v>
      </c>
      <c r="AY146" s="119">
        <v>0.21</v>
      </c>
      <c r="AZ146" s="120">
        <v>0.3</v>
      </c>
      <c r="BA146" s="118">
        <v>0.37</v>
      </c>
      <c r="BB146" s="118">
        <v>0</v>
      </c>
      <c r="BC146" s="119">
        <v>0.67</v>
      </c>
      <c r="BD146" s="121">
        <v>0.22</v>
      </c>
      <c r="BE146" s="120">
        <v>0.5</v>
      </c>
      <c r="BF146" s="118">
        <v>0</v>
      </c>
      <c r="BG146" s="118">
        <v>0</v>
      </c>
      <c r="BH146" s="119">
        <v>0.5</v>
      </c>
      <c r="BI146" s="120">
        <v>0.34</v>
      </c>
      <c r="BJ146" s="118">
        <v>0</v>
      </c>
      <c r="BK146" s="118">
        <v>0</v>
      </c>
      <c r="BL146" s="119">
        <v>0.34</v>
      </c>
      <c r="BM146" s="120">
        <v>1.1499999999999999</v>
      </c>
      <c r="BN146" s="118">
        <v>1.92</v>
      </c>
      <c r="BO146" s="118">
        <v>0.93</v>
      </c>
      <c r="BP146" s="118">
        <v>0.82</v>
      </c>
      <c r="BQ146" s="118">
        <v>1.9</v>
      </c>
      <c r="BR146" s="118">
        <v>0.6</v>
      </c>
      <c r="BS146" s="118">
        <v>1.87</v>
      </c>
      <c r="BT146" s="118">
        <v>0.8</v>
      </c>
      <c r="BU146" s="119">
        <v>1.18</v>
      </c>
      <c r="BV146" s="74">
        <v>2376000</v>
      </c>
      <c r="BW146" s="105">
        <v>150</v>
      </c>
      <c r="BX146" s="105">
        <v>1255</v>
      </c>
      <c r="BY146" s="157">
        <v>32.9</v>
      </c>
      <c r="BZ146" s="106">
        <v>9.5</v>
      </c>
      <c r="CA146" s="115">
        <v>7.2000000000000005E-4</v>
      </c>
      <c r="CB146" s="105">
        <v>386</v>
      </c>
      <c r="CC146" s="114">
        <v>0</v>
      </c>
      <c r="CD146" s="105">
        <v>386</v>
      </c>
      <c r="CE146" s="99">
        <f t="shared" si="8"/>
        <v>4.0404040404040404E-3</v>
      </c>
      <c r="CF146" s="100">
        <f t="shared" si="6"/>
        <v>0.3</v>
      </c>
    </row>
    <row r="147" spans="1:84" ht="24" x14ac:dyDescent="0.25">
      <c r="A147" s="101">
        <v>146</v>
      </c>
      <c r="B147" s="102"/>
      <c r="C147" s="103" t="s">
        <v>359</v>
      </c>
      <c r="D147" s="104">
        <v>1800</v>
      </c>
      <c r="E147" s="105">
        <v>1320</v>
      </c>
      <c r="F147" s="106">
        <f t="shared" si="7"/>
        <v>2376000</v>
      </c>
      <c r="G147" s="105">
        <v>150</v>
      </c>
      <c r="H147" s="105">
        <v>1255</v>
      </c>
      <c r="I147" s="107">
        <v>1.36</v>
      </c>
      <c r="J147" s="155">
        <v>24</v>
      </c>
      <c r="K147" s="156">
        <v>32.9</v>
      </c>
      <c r="L147" s="157">
        <v>32.9</v>
      </c>
      <c r="M147" s="158">
        <v>0.68</v>
      </c>
      <c r="N147" s="106">
        <v>9.5</v>
      </c>
      <c r="O147" s="112" t="s">
        <v>201</v>
      </c>
      <c r="P147" s="113" t="s">
        <v>211</v>
      </c>
      <c r="Q147" s="114">
        <v>3.9100000000000003E-3</v>
      </c>
      <c r="R147" s="115">
        <v>7.2000000000000005E-4</v>
      </c>
      <c r="S147" s="115">
        <v>7.2000000000000005E-4</v>
      </c>
      <c r="T147" s="105">
        <v>386</v>
      </c>
      <c r="U147" s="113" t="s">
        <v>212</v>
      </c>
      <c r="V147" s="114">
        <v>0</v>
      </c>
      <c r="W147" s="105">
        <v>386</v>
      </c>
      <c r="X147" s="113" t="s">
        <v>212</v>
      </c>
      <c r="Y147" s="160">
        <v>0</v>
      </c>
      <c r="Z147" s="110">
        <v>0.5</v>
      </c>
      <c r="AA147" s="123" t="s">
        <v>212</v>
      </c>
      <c r="AB147" s="112" t="s">
        <v>212</v>
      </c>
      <c r="AC147" s="174">
        <v>2</v>
      </c>
      <c r="AD147" s="112" t="s">
        <v>224</v>
      </c>
      <c r="AE147" s="113">
        <v>0.37</v>
      </c>
      <c r="AF147" s="120">
        <v>0.35</v>
      </c>
      <c r="AG147" s="118">
        <v>0</v>
      </c>
      <c r="AH147" s="118">
        <v>0</v>
      </c>
      <c r="AI147" s="119">
        <v>0.35</v>
      </c>
      <c r="AJ147" s="120">
        <v>0.21</v>
      </c>
      <c r="AK147" s="118">
        <v>0</v>
      </c>
      <c r="AL147" s="118">
        <v>0</v>
      </c>
      <c r="AM147" s="119">
        <v>0.21</v>
      </c>
      <c r="AN147" s="120">
        <v>0.43</v>
      </c>
      <c r="AO147" s="118">
        <v>0</v>
      </c>
      <c r="AP147" s="118">
        <v>0</v>
      </c>
      <c r="AQ147" s="119">
        <v>0.43</v>
      </c>
      <c r="AR147" s="120">
        <v>0.62</v>
      </c>
      <c r="AS147" s="118">
        <v>0</v>
      </c>
      <c r="AT147" s="118">
        <v>0</v>
      </c>
      <c r="AU147" s="119">
        <v>0.49</v>
      </c>
      <c r="AV147" s="120">
        <v>0.21</v>
      </c>
      <c r="AW147" s="118">
        <v>0</v>
      </c>
      <c r="AX147" s="118">
        <v>0</v>
      </c>
      <c r="AY147" s="119">
        <v>0.21</v>
      </c>
      <c r="AZ147" s="120">
        <v>0.3</v>
      </c>
      <c r="BA147" s="118">
        <v>0.37</v>
      </c>
      <c r="BB147" s="118">
        <v>0</v>
      </c>
      <c r="BC147" s="119">
        <v>0.67</v>
      </c>
      <c r="BD147" s="121">
        <v>0.22</v>
      </c>
      <c r="BE147" s="120">
        <v>0.5</v>
      </c>
      <c r="BF147" s="118">
        <v>0</v>
      </c>
      <c r="BG147" s="118">
        <v>0</v>
      </c>
      <c r="BH147" s="119">
        <v>0.5</v>
      </c>
      <c r="BI147" s="120">
        <v>0.34</v>
      </c>
      <c r="BJ147" s="118">
        <v>0</v>
      </c>
      <c r="BK147" s="118">
        <v>0</v>
      </c>
      <c r="BL147" s="119">
        <v>0.34</v>
      </c>
      <c r="BM147" s="120">
        <v>1.42</v>
      </c>
      <c r="BN147" s="118">
        <v>2.37</v>
      </c>
      <c r="BO147" s="118">
        <v>1.1499999999999999</v>
      </c>
      <c r="BP147" s="118">
        <v>1.01</v>
      </c>
      <c r="BQ147" s="118">
        <v>2.35</v>
      </c>
      <c r="BR147" s="118">
        <v>0.75</v>
      </c>
      <c r="BS147" s="118">
        <v>2.31</v>
      </c>
      <c r="BT147" s="118">
        <v>0.99</v>
      </c>
      <c r="BU147" s="119">
        <v>1.46</v>
      </c>
      <c r="BV147" s="74">
        <v>2376000</v>
      </c>
      <c r="BW147" s="105">
        <v>150</v>
      </c>
      <c r="BX147" s="105">
        <v>1255</v>
      </c>
      <c r="BY147" s="157">
        <v>32.9</v>
      </c>
      <c r="BZ147" s="106">
        <v>9.5</v>
      </c>
      <c r="CA147" s="115">
        <v>7.2000000000000005E-4</v>
      </c>
      <c r="CB147" s="105">
        <v>386</v>
      </c>
      <c r="CC147" s="114">
        <v>0</v>
      </c>
      <c r="CD147" s="105">
        <v>386</v>
      </c>
      <c r="CE147" s="99">
        <f t="shared" si="8"/>
        <v>4.9999999999999992E-3</v>
      </c>
      <c r="CF147" s="100">
        <f t="shared" si="6"/>
        <v>0.37</v>
      </c>
    </row>
    <row r="148" spans="1:84" ht="24" x14ac:dyDescent="0.25">
      <c r="A148" s="101">
        <v>147</v>
      </c>
      <c r="B148" s="102"/>
      <c r="C148" s="103" t="s">
        <v>360</v>
      </c>
      <c r="D148" s="104">
        <v>1800</v>
      </c>
      <c r="E148" s="105">
        <v>1320</v>
      </c>
      <c r="F148" s="106">
        <f t="shared" si="7"/>
        <v>2376000</v>
      </c>
      <c r="G148" s="105">
        <v>150</v>
      </c>
      <c r="H148" s="105">
        <v>1255</v>
      </c>
      <c r="I148" s="107">
        <v>1.36</v>
      </c>
      <c r="J148" s="155">
        <v>24</v>
      </c>
      <c r="K148" s="156">
        <v>32.9</v>
      </c>
      <c r="L148" s="157">
        <v>32.9</v>
      </c>
      <c r="M148" s="158">
        <v>0.68</v>
      </c>
      <c r="N148" s="106">
        <v>9.5</v>
      </c>
      <c r="O148" s="112" t="s">
        <v>201</v>
      </c>
      <c r="P148" s="113" t="s">
        <v>211</v>
      </c>
      <c r="Q148" s="114">
        <v>3.9100000000000003E-3</v>
      </c>
      <c r="R148" s="115">
        <v>7.2000000000000005E-4</v>
      </c>
      <c r="S148" s="115">
        <v>7.2000000000000005E-4</v>
      </c>
      <c r="T148" s="105">
        <v>386</v>
      </c>
      <c r="U148" s="113" t="s">
        <v>212</v>
      </c>
      <c r="V148" s="114">
        <v>7.1000000000000002E-4</v>
      </c>
      <c r="W148" s="105">
        <v>386</v>
      </c>
      <c r="X148" s="113" t="s">
        <v>212</v>
      </c>
      <c r="Y148" s="160">
        <v>0</v>
      </c>
      <c r="Z148" s="110">
        <v>0.5</v>
      </c>
      <c r="AA148" s="123" t="s">
        <v>212</v>
      </c>
      <c r="AB148" s="112" t="s">
        <v>212</v>
      </c>
      <c r="AC148" s="174">
        <v>2</v>
      </c>
      <c r="AD148" s="112" t="s">
        <v>224</v>
      </c>
      <c r="AE148" s="113">
        <v>0.42</v>
      </c>
      <c r="AF148" s="120">
        <v>0.35</v>
      </c>
      <c r="AG148" s="118">
        <v>0.13</v>
      </c>
      <c r="AH148" s="118">
        <v>0</v>
      </c>
      <c r="AI148" s="119">
        <v>0.48</v>
      </c>
      <c r="AJ148" s="120">
        <v>0.21</v>
      </c>
      <c r="AK148" s="118">
        <v>0.25</v>
      </c>
      <c r="AL148" s="118">
        <v>0</v>
      </c>
      <c r="AM148" s="119">
        <v>0.46</v>
      </c>
      <c r="AN148" s="120">
        <v>0.43</v>
      </c>
      <c r="AO148" s="118">
        <v>0.18</v>
      </c>
      <c r="AP148" s="118">
        <v>0</v>
      </c>
      <c r="AQ148" s="119">
        <v>0.61</v>
      </c>
      <c r="AR148" s="120">
        <v>0.62</v>
      </c>
      <c r="AS148" s="118">
        <v>0.16</v>
      </c>
      <c r="AT148" s="118">
        <v>0</v>
      </c>
      <c r="AU148" s="119">
        <v>0.49</v>
      </c>
      <c r="AV148" s="120">
        <v>0.21</v>
      </c>
      <c r="AW148" s="118">
        <v>0.27</v>
      </c>
      <c r="AX148" s="118">
        <v>0</v>
      </c>
      <c r="AY148" s="119">
        <v>0.49</v>
      </c>
      <c r="AZ148" s="120">
        <v>0.3</v>
      </c>
      <c r="BA148" s="118">
        <v>0.74</v>
      </c>
      <c r="BB148" s="118">
        <v>0</v>
      </c>
      <c r="BC148" s="119">
        <v>1.04</v>
      </c>
      <c r="BD148" s="121">
        <v>0.44</v>
      </c>
      <c r="BE148" s="120">
        <v>0.5</v>
      </c>
      <c r="BF148" s="118">
        <v>0</v>
      </c>
      <c r="BG148" s="118">
        <v>0</v>
      </c>
      <c r="BH148" s="119">
        <v>0.5</v>
      </c>
      <c r="BI148" s="120">
        <v>0.34</v>
      </c>
      <c r="BJ148" s="118">
        <v>0.16</v>
      </c>
      <c r="BK148" s="118">
        <v>0</v>
      </c>
      <c r="BL148" s="119">
        <v>0.51</v>
      </c>
      <c r="BM148" s="120">
        <v>1.18</v>
      </c>
      <c r="BN148" s="118">
        <v>1.24</v>
      </c>
      <c r="BO148" s="118">
        <v>0.93</v>
      </c>
      <c r="BP148" s="118">
        <v>1.1499999999999999</v>
      </c>
      <c r="BQ148" s="118">
        <v>1.17</v>
      </c>
      <c r="BR148" s="118">
        <v>0.55000000000000004</v>
      </c>
      <c r="BS148" s="118">
        <v>1.3</v>
      </c>
      <c r="BT148" s="118">
        <v>1.1299999999999999</v>
      </c>
      <c r="BU148" s="119">
        <v>1.1200000000000001</v>
      </c>
      <c r="BV148" s="74">
        <v>2376000</v>
      </c>
      <c r="BW148" s="105">
        <v>150</v>
      </c>
      <c r="BX148" s="105">
        <v>1255</v>
      </c>
      <c r="BY148" s="157">
        <v>32.9</v>
      </c>
      <c r="BZ148" s="106">
        <v>9.5</v>
      </c>
      <c r="CA148" s="115">
        <v>7.2000000000000005E-4</v>
      </c>
      <c r="CB148" s="105">
        <v>386</v>
      </c>
      <c r="CC148" s="114">
        <v>7.1000000000000002E-4</v>
      </c>
      <c r="CD148" s="105">
        <v>386</v>
      </c>
      <c r="CE148" s="99">
        <f t="shared" si="8"/>
        <v>5.7070707070707065E-3</v>
      </c>
      <c r="CF148" s="100">
        <f t="shared" si="6"/>
        <v>0.42</v>
      </c>
    </row>
    <row r="149" spans="1:84" ht="27.75" customHeight="1" x14ac:dyDescent="0.25">
      <c r="A149" s="101">
        <v>148</v>
      </c>
      <c r="B149" s="102"/>
      <c r="C149" s="103" t="s">
        <v>361</v>
      </c>
      <c r="D149" s="104">
        <v>1800</v>
      </c>
      <c r="E149" s="105">
        <v>1320</v>
      </c>
      <c r="F149" s="106">
        <f t="shared" si="7"/>
        <v>2376000</v>
      </c>
      <c r="G149" s="105">
        <v>150</v>
      </c>
      <c r="H149" s="105">
        <v>1255</v>
      </c>
      <c r="I149" s="107">
        <v>1.36</v>
      </c>
      <c r="J149" s="155">
        <v>24</v>
      </c>
      <c r="K149" s="156">
        <v>32.9</v>
      </c>
      <c r="L149" s="157">
        <v>32.9</v>
      </c>
      <c r="M149" s="158">
        <v>0.68</v>
      </c>
      <c r="N149" s="106">
        <v>9.5</v>
      </c>
      <c r="O149" s="112" t="s">
        <v>201</v>
      </c>
      <c r="P149" s="113" t="s">
        <v>211</v>
      </c>
      <c r="Q149" s="114">
        <v>3.9100000000000003E-3</v>
      </c>
      <c r="R149" s="115">
        <v>7.2000000000000005E-4</v>
      </c>
      <c r="S149" s="115">
        <v>7.2000000000000005E-4</v>
      </c>
      <c r="T149" s="105">
        <v>386</v>
      </c>
      <c r="U149" s="113" t="s">
        <v>212</v>
      </c>
      <c r="V149" s="114">
        <v>1.48E-3</v>
      </c>
      <c r="W149" s="105">
        <v>386</v>
      </c>
      <c r="X149" s="113" t="s">
        <v>212</v>
      </c>
      <c r="Y149" s="160">
        <v>0</v>
      </c>
      <c r="Z149" s="110">
        <v>0.5</v>
      </c>
      <c r="AA149" s="123" t="s">
        <v>212</v>
      </c>
      <c r="AB149" s="112" t="s">
        <v>212</v>
      </c>
      <c r="AC149" s="174">
        <v>2</v>
      </c>
      <c r="AD149" s="112" t="s">
        <v>224</v>
      </c>
      <c r="AE149" s="113">
        <v>0.45</v>
      </c>
      <c r="AF149" s="120">
        <v>0.35</v>
      </c>
      <c r="AG149" s="118">
        <v>0.27</v>
      </c>
      <c r="AH149" s="118">
        <v>0</v>
      </c>
      <c r="AI149" s="119">
        <v>0.62</v>
      </c>
      <c r="AJ149" s="120">
        <v>0.21</v>
      </c>
      <c r="AK149" s="118">
        <v>0.51</v>
      </c>
      <c r="AL149" s="118">
        <v>0</v>
      </c>
      <c r="AM149" s="119">
        <v>0.72</v>
      </c>
      <c r="AN149" s="120">
        <v>0.43</v>
      </c>
      <c r="AO149" s="118">
        <v>0.37</v>
      </c>
      <c r="AP149" s="118">
        <v>0</v>
      </c>
      <c r="AQ149" s="119">
        <v>0.8</v>
      </c>
      <c r="AR149" s="120">
        <v>0.62</v>
      </c>
      <c r="AS149" s="118">
        <v>0.33</v>
      </c>
      <c r="AT149" s="118">
        <v>0</v>
      </c>
      <c r="AU149" s="119">
        <v>0.49</v>
      </c>
      <c r="AV149" s="120">
        <v>0.21</v>
      </c>
      <c r="AW149" s="118">
        <v>0.56999999999999995</v>
      </c>
      <c r="AX149" s="118">
        <v>0</v>
      </c>
      <c r="AY149" s="119">
        <v>0.78</v>
      </c>
      <c r="AZ149" s="120">
        <v>0.3</v>
      </c>
      <c r="BA149" s="118">
        <v>0.9</v>
      </c>
      <c r="BB149" s="118">
        <v>0</v>
      </c>
      <c r="BC149" s="119">
        <v>1.2</v>
      </c>
      <c r="BD149" s="121">
        <v>0.44</v>
      </c>
      <c r="BE149" s="120">
        <v>0.5</v>
      </c>
      <c r="BF149" s="118">
        <v>0</v>
      </c>
      <c r="BG149" s="118">
        <v>0</v>
      </c>
      <c r="BH149" s="119">
        <v>0.5</v>
      </c>
      <c r="BI149" s="120">
        <v>0.34</v>
      </c>
      <c r="BJ149" s="118">
        <v>0.34</v>
      </c>
      <c r="BK149" s="118">
        <v>0</v>
      </c>
      <c r="BL149" s="119">
        <v>0.68</v>
      </c>
      <c r="BM149" s="120">
        <v>0.99</v>
      </c>
      <c r="BN149" s="118">
        <v>0.85</v>
      </c>
      <c r="BO149" s="118">
        <v>0.77</v>
      </c>
      <c r="BP149" s="118">
        <v>1.24</v>
      </c>
      <c r="BQ149" s="118">
        <v>0.78</v>
      </c>
      <c r="BR149" s="118">
        <v>0.51</v>
      </c>
      <c r="BS149" s="118">
        <v>1.41</v>
      </c>
      <c r="BT149" s="118">
        <v>1.23</v>
      </c>
      <c r="BU149" s="119">
        <v>0.9</v>
      </c>
      <c r="BV149" s="74">
        <v>2376000</v>
      </c>
      <c r="BW149" s="105">
        <v>150</v>
      </c>
      <c r="BX149" s="105">
        <v>1255</v>
      </c>
      <c r="BY149" s="157">
        <v>32.9</v>
      </c>
      <c r="BZ149" s="106">
        <v>9.5</v>
      </c>
      <c r="CA149" s="115">
        <v>7.2000000000000005E-4</v>
      </c>
      <c r="CB149" s="105">
        <v>386</v>
      </c>
      <c r="CC149" s="114">
        <v>1.48E-3</v>
      </c>
      <c r="CD149" s="105">
        <v>386</v>
      </c>
      <c r="CE149" s="99">
        <f t="shared" si="8"/>
        <v>6.2121212121212114E-3</v>
      </c>
      <c r="CF149" s="100">
        <f t="shared" si="6"/>
        <v>0.45</v>
      </c>
    </row>
    <row r="150" spans="1:84" ht="23.25" customHeight="1" x14ac:dyDescent="0.25">
      <c r="A150" s="101">
        <v>149</v>
      </c>
      <c r="B150" s="102"/>
      <c r="C150" s="103" t="s">
        <v>362</v>
      </c>
      <c r="D150" s="104">
        <v>1800</v>
      </c>
      <c r="E150" s="105">
        <v>1320</v>
      </c>
      <c r="F150" s="106">
        <f t="shared" si="7"/>
        <v>2376000</v>
      </c>
      <c r="G150" s="105">
        <v>150</v>
      </c>
      <c r="H150" s="105">
        <v>1255</v>
      </c>
      <c r="I150" s="107">
        <v>1.36</v>
      </c>
      <c r="J150" s="155">
        <v>24</v>
      </c>
      <c r="K150" s="156">
        <v>32.9</v>
      </c>
      <c r="L150" s="157">
        <v>32.9</v>
      </c>
      <c r="M150" s="158">
        <v>0.68</v>
      </c>
      <c r="N150" s="106">
        <v>9.5</v>
      </c>
      <c r="O150" s="112" t="s">
        <v>201</v>
      </c>
      <c r="P150" s="113" t="s">
        <v>211</v>
      </c>
      <c r="Q150" s="114">
        <v>3.9100000000000003E-3</v>
      </c>
      <c r="R150" s="115">
        <v>7.2000000000000005E-4</v>
      </c>
      <c r="S150" s="115">
        <v>7.2000000000000005E-4</v>
      </c>
      <c r="T150" s="105">
        <v>386</v>
      </c>
      <c r="U150" s="113" t="s">
        <v>212</v>
      </c>
      <c r="V150" s="114">
        <v>2.2200000000000002E-3</v>
      </c>
      <c r="W150" s="105">
        <v>386</v>
      </c>
      <c r="X150" s="113" t="s">
        <v>212</v>
      </c>
      <c r="Y150" s="160">
        <v>0</v>
      </c>
      <c r="Z150" s="110">
        <v>0.5</v>
      </c>
      <c r="AA150" s="123" t="s">
        <v>212</v>
      </c>
      <c r="AB150" s="112" t="s">
        <v>212</v>
      </c>
      <c r="AC150" s="174">
        <v>2</v>
      </c>
      <c r="AD150" s="112" t="s">
        <v>224</v>
      </c>
      <c r="AE150" s="113">
        <v>0.56000000000000005</v>
      </c>
      <c r="AF150" s="120">
        <v>0.35</v>
      </c>
      <c r="AG150" s="118">
        <v>0.41</v>
      </c>
      <c r="AH150" s="118">
        <v>0</v>
      </c>
      <c r="AI150" s="119">
        <v>0.76</v>
      </c>
      <c r="AJ150" s="120">
        <v>0.21</v>
      </c>
      <c r="AK150" s="118">
        <v>0.77</v>
      </c>
      <c r="AL150" s="118">
        <v>0</v>
      </c>
      <c r="AM150" s="119">
        <v>0.98</v>
      </c>
      <c r="AN150" s="120">
        <v>0.43</v>
      </c>
      <c r="AO150" s="118">
        <v>0.55000000000000004</v>
      </c>
      <c r="AP150" s="118">
        <v>0</v>
      </c>
      <c r="AQ150" s="119">
        <v>0.98</v>
      </c>
      <c r="AR150" s="120">
        <v>0.62</v>
      </c>
      <c r="AS150" s="118">
        <v>0.49</v>
      </c>
      <c r="AT150" s="118">
        <v>0</v>
      </c>
      <c r="AU150" s="119">
        <v>0.49</v>
      </c>
      <c r="AV150" s="120">
        <v>0.21</v>
      </c>
      <c r="AW150" s="118">
        <v>0.86</v>
      </c>
      <c r="AX150" s="118">
        <v>0</v>
      </c>
      <c r="AY150" s="119">
        <v>1.07</v>
      </c>
      <c r="AZ150" s="120">
        <v>0.3</v>
      </c>
      <c r="BA150" s="118">
        <v>1.02</v>
      </c>
      <c r="BB150" s="118">
        <v>0</v>
      </c>
      <c r="BC150" s="119">
        <v>1.32</v>
      </c>
      <c r="BD150" s="121">
        <v>0.44</v>
      </c>
      <c r="BE150" s="120">
        <v>0.5</v>
      </c>
      <c r="BF150" s="118">
        <v>0</v>
      </c>
      <c r="BG150" s="118">
        <v>0</v>
      </c>
      <c r="BH150" s="119">
        <v>0.5</v>
      </c>
      <c r="BI150" s="120">
        <v>0.34</v>
      </c>
      <c r="BJ150" s="118">
        <v>0.22</v>
      </c>
      <c r="BK150" s="118">
        <v>0</v>
      </c>
      <c r="BL150" s="119">
        <v>0.56000000000000005</v>
      </c>
      <c r="BM150" s="120">
        <v>1.01</v>
      </c>
      <c r="BN150" s="118">
        <v>0.78</v>
      </c>
      <c r="BO150" s="118">
        <v>0.78</v>
      </c>
      <c r="BP150" s="118">
        <v>1.55</v>
      </c>
      <c r="BQ150" s="118">
        <v>0.72</v>
      </c>
      <c r="BR150" s="118">
        <v>0.57999999999999996</v>
      </c>
      <c r="BS150" s="118">
        <v>1.75</v>
      </c>
      <c r="BT150" s="118">
        <v>1.53</v>
      </c>
      <c r="BU150" s="119">
        <v>1.36</v>
      </c>
      <c r="BV150" s="74">
        <v>2376000</v>
      </c>
      <c r="BW150" s="105">
        <v>150</v>
      </c>
      <c r="BX150" s="105">
        <v>1255</v>
      </c>
      <c r="BY150" s="157">
        <v>32.9</v>
      </c>
      <c r="BZ150" s="106">
        <v>9.5</v>
      </c>
      <c r="CA150" s="115">
        <v>7.2000000000000005E-4</v>
      </c>
      <c r="CB150" s="105">
        <v>386</v>
      </c>
      <c r="CC150" s="114">
        <v>2.2200000000000002E-3</v>
      </c>
      <c r="CD150" s="105">
        <v>386</v>
      </c>
      <c r="CE150" s="99">
        <f t="shared" si="8"/>
        <v>7.7272727272727276E-3</v>
      </c>
      <c r="CF150" s="100">
        <f t="shared" si="6"/>
        <v>0.56000000000000005</v>
      </c>
    </row>
    <row r="151" spans="1:84" ht="24" x14ac:dyDescent="0.25">
      <c r="A151" s="101">
        <v>150</v>
      </c>
      <c r="B151" s="102"/>
      <c r="C151" s="103" t="s">
        <v>363</v>
      </c>
      <c r="D151" s="104">
        <v>1800</v>
      </c>
      <c r="E151" s="105">
        <v>1320</v>
      </c>
      <c r="F151" s="106">
        <f t="shared" si="7"/>
        <v>2376000</v>
      </c>
      <c r="G151" s="105">
        <v>150</v>
      </c>
      <c r="H151" s="105">
        <v>1255</v>
      </c>
      <c r="I151" s="107">
        <v>1.36</v>
      </c>
      <c r="J151" s="155">
        <v>24</v>
      </c>
      <c r="K151" s="156">
        <v>32.9</v>
      </c>
      <c r="L151" s="157">
        <v>32.9</v>
      </c>
      <c r="M151" s="158">
        <v>0.96</v>
      </c>
      <c r="N151" s="106">
        <v>15.6</v>
      </c>
      <c r="O151" s="112" t="s">
        <v>201</v>
      </c>
      <c r="P151" s="113" t="s">
        <v>211</v>
      </c>
      <c r="Q151" s="114">
        <v>3.9100000000000003E-3</v>
      </c>
      <c r="R151" s="115">
        <v>7.2000000000000005E-4</v>
      </c>
      <c r="S151" s="115">
        <v>7.2000000000000005E-4</v>
      </c>
      <c r="T151" s="105">
        <v>386</v>
      </c>
      <c r="U151" s="113" t="s">
        <v>212</v>
      </c>
      <c r="V151" s="114">
        <v>7.1000000000000002E-4</v>
      </c>
      <c r="W151" s="105">
        <v>386</v>
      </c>
      <c r="X151" s="113" t="s">
        <v>212</v>
      </c>
      <c r="Y151" s="160">
        <v>0.49</v>
      </c>
      <c r="Z151" s="110">
        <v>0.5</v>
      </c>
      <c r="AA151" s="123" t="s">
        <v>212</v>
      </c>
      <c r="AB151" s="112" t="s">
        <v>212</v>
      </c>
      <c r="AC151" s="174">
        <v>2</v>
      </c>
      <c r="AD151" s="112" t="s">
        <v>224</v>
      </c>
      <c r="AE151" s="113">
        <v>0.69</v>
      </c>
      <c r="AF151" s="120">
        <v>0.45</v>
      </c>
      <c r="AG151" s="118">
        <v>0.13</v>
      </c>
      <c r="AH151" s="118">
        <v>0.12</v>
      </c>
      <c r="AI151" s="119">
        <v>0.7</v>
      </c>
      <c r="AJ151" s="120">
        <v>0.35</v>
      </c>
      <c r="AK151" s="118">
        <v>0.25</v>
      </c>
      <c r="AL151" s="118">
        <v>0</v>
      </c>
      <c r="AM151" s="119">
        <v>0.59</v>
      </c>
      <c r="AN151" s="120">
        <v>0.56000000000000005</v>
      </c>
      <c r="AO151" s="118">
        <v>0.18</v>
      </c>
      <c r="AP151" s="118">
        <v>0.3</v>
      </c>
      <c r="AQ151" s="119">
        <v>1.03</v>
      </c>
      <c r="AR151" s="120">
        <v>0.79</v>
      </c>
      <c r="AS151" s="118">
        <v>0.16</v>
      </c>
      <c r="AT151" s="118">
        <v>0.12</v>
      </c>
      <c r="AU151" s="119">
        <v>0.63</v>
      </c>
      <c r="AV151" s="120">
        <v>0.27</v>
      </c>
      <c r="AW151" s="118">
        <v>0.27</v>
      </c>
      <c r="AX151" s="118">
        <v>0</v>
      </c>
      <c r="AY151" s="119">
        <v>0.55000000000000004</v>
      </c>
      <c r="AZ151" s="120">
        <v>0.37</v>
      </c>
      <c r="BA151" s="118">
        <v>0.74</v>
      </c>
      <c r="BB151" s="118">
        <v>0.04</v>
      </c>
      <c r="BC151" s="119">
        <v>1.1399999999999999</v>
      </c>
      <c r="BD151" s="121">
        <v>0.56000000000000005</v>
      </c>
      <c r="BE151" s="120">
        <v>0.71</v>
      </c>
      <c r="BF151" s="118">
        <v>0</v>
      </c>
      <c r="BG151" s="118">
        <v>0.11</v>
      </c>
      <c r="BH151" s="119">
        <v>0.82</v>
      </c>
      <c r="BI151" s="120">
        <v>0.48</v>
      </c>
      <c r="BJ151" s="118">
        <v>0.16</v>
      </c>
      <c r="BK151" s="118">
        <v>0.15</v>
      </c>
      <c r="BL151" s="119">
        <v>0.79</v>
      </c>
      <c r="BM151" s="120">
        <v>1.34</v>
      </c>
      <c r="BN151" s="118">
        <v>1.59</v>
      </c>
      <c r="BO151" s="118">
        <v>0.91</v>
      </c>
      <c r="BP151" s="118">
        <v>1.49</v>
      </c>
      <c r="BQ151" s="118">
        <v>1.73</v>
      </c>
      <c r="BR151" s="118">
        <v>0.82</v>
      </c>
      <c r="BS151" s="118">
        <v>1.68</v>
      </c>
      <c r="BT151" s="118">
        <v>1.1499999999999999</v>
      </c>
      <c r="BU151" s="119">
        <v>1.19</v>
      </c>
      <c r="BV151" s="74">
        <v>2376000</v>
      </c>
      <c r="BW151" s="105">
        <v>150</v>
      </c>
      <c r="BX151" s="105">
        <v>1255</v>
      </c>
      <c r="BY151" s="157">
        <v>32.9</v>
      </c>
      <c r="BZ151" s="106">
        <v>15.6</v>
      </c>
      <c r="CA151" s="115">
        <v>7.2000000000000005E-4</v>
      </c>
      <c r="CB151" s="105">
        <v>386</v>
      </c>
      <c r="CC151" s="114">
        <v>7.1000000000000002E-4</v>
      </c>
      <c r="CD151" s="105">
        <v>386</v>
      </c>
      <c r="CE151" s="99">
        <f t="shared" si="8"/>
        <v>5.8080808080808082E-3</v>
      </c>
      <c r="CF151" s="100">
        <f t="shared" si="6"/>
        <v>0.69</v>
      </c>
    </row>
    <row r="152" spans="1:84" ht="24" x14ac:dyDescent="0.25">
      <c r="A152" s="101">
        <v>151</v>
      </c>
      <c r="B152" s="102"/>
      <c r="C152" s="103" t="s">
        <v>364</v>
      </c>
      <c r="D152" s="104">
        <v>1800</v>
      </c>
      <c r="E152" s="105">
        <v>1320</v>
      </c>
      <c r="F152" s="106">
        <f t="shared" si="7"/>
        <v>2376000</v>
      </c>
      <c r="G152" s="105">
        <v>150</v>
      </c>
      <c r="H152" s="105">
        <v>1255</v>
      </c>
      <c r="I152" s="107">
        <v>1.36</v>
      </c>
      <c r="J152" s="155">
        <v>24</v>
      </c>
      <c r="K152" s="156">
        <v>32.9</v>
      </c>
      <c r="L152" s="157">
        <v>32.9</v>
      </c>
      <c r="M152" s="158">
        <v>0.96</v>
      </c>
      <c r="N152" s="106">
        <v>15.6</v>
      </c>
      <c r="O152" s="112" t="s">
        <v>201</v>
      </c>
      <c r="P152" s="113" t="s">
        <v>211</v>
      </c>
      <c r="Q152" s="114">
        <v>3.9100000000000003E-3</v>
      </c>
      <c r="R152" s="115">
        <v>7.2000000000000005E-4</v>
      </c>
      <c r="S152" s="115">
        <v>7.2000000000000005E-4</v>
      </c>
      <c r="T152" s="105">
        <v>386</v>
      </c>
      <c r="U152" s="113" t="s">
        <v>212</v>
      </c>
      <c r="V152" s="114">
        <v>7.1000000000000002E-4</v>
      </c>
      <c r="W152" s="105">
        <v>386</v>
      </c>
      <c r="X152" s="113" t="s">
        <v>212</v>
      </c>
      <c r="Y152" s="160">
        <v>0.98</v>
      </c>
      <c r="Z152" s="110">
        <v>0.5</v>
      </c>
      <c r="AA152" s="123" t="s">
        <v>212</v>
      </c>
      <c r="AB152" s="112" t="s">
        <v>212</v>
      </c>
      <c r="AC152" s="174">
        <v>2</v>
      </c>
      <c r="AD152" s="112" t="s">
        <v>224</v>
      </c>
      <c r="AE152" s="113">
        <v>0.72</v>
      </c>
      <c r="AF152" s="120">
        <v>0.45</v>
      </c>
      <c r="AG152" s="118">
        <v>0.13</v>
      </c>
      <c r="AH152" s="118">
        <v>0.25</v>
      </c>
      <c r="AI152" s="119">
        <v>0.83</v>
      </c>
      <c r="AJ152" s="120">
        <v>0.48</v>
      </c>
      <c r="AK152" s="118">
        <v>0.25</v>
      </c>
      <c r="AL152" s="118">
        <v>0</v>
      </c>
      <c r="AM152" s="119">
        <v>0.73</v>
      </c>
      <c r="AN152" s="120">
        <v>0.56000000000000005</v>
      </c>
      <c r="AO152" s="118">
        <v>0.18</v>
      </c>
      <c r="AP152" s="118">
        <v>0.59</v>
      </c>
      <c r="AQ152" s="119">
        <v>1.32</v>
      </c>
      <c r="AR152" s="120">
        <v>0.79</v>
      </c>
      <c r="AS152" s="118">
        <v>0.16</v>
      </c>
      <c r="AT152" s="118">
        <v>0.25</v>
      </c>
      <c r="AU152" s="119">
        <v>0.63</v>
      </c>
      <c r="AV152" s="120">
        <v>0.27</v>
      </c>
      <c r="AW152" s="118">
        <v>0.27</v>
      </c>
      <c r="AX152" s="118">
        <v>0</v>
      </c>
      <c r="AY152" s="119">
        <v>0.55000000000000004</v>
      </c>
      <c r="AZ152" s="120">
        <v>0.37</v>
      </c>
      <c r="BA152" s="118">
        <v>0.74</v>
      </c>
      <c r="BB152" s="118">
        <v>0.08</v>
      </c>
      <c r="BC152" s="119">
        <v>1.18</v>
      </c>
      <c r="BD152" s="121">
        <v>0.56000000000000005</v>
      </c>
      <c r="BE152" s="120">
        <v>0.71</v>
      </c>
      <c r="BF152" s="118">
        <v>0</v>
      </c>
      <c r="BG152" s="118">
        <v>0.23</v>
      </c>
      <c r="BH152" s="119">
        <v>0.93</v>
      </c>
      <c r="BI152" s="120">
        <v>0.48</v>
      </c>
      <c r="BJ152" s="118">
        <v>0.16</v>
      </c>
      <c r="BK152" s="118">
        <v>0.28999999999999998</v>
      </c>
      <c r="BL152" s="119">
        <v>0.94</v>
      </c>
      <c r="BM152" s="120">
        <v>1.19</v>
      </c>
      <c r="BN152" s="118">
        <v>1.34</v>
      </c>
      <c r="BO152" s="118">
        <v>0.74</v>
      </c>
      <c r="BP152" s="118">
        <v>1.55</v>
      </c>
      <c r="BQ152" s="118">
        <v>1.8</v>
      </c>
      <c r="BR152" s="118">
        <v>0.83</v>
      </c>
      <c r="BS152" s="118">
        <v>1.76</v>
      </c>
      <c r="BT152" s="118">
        <v>1.05</v>
      </c>
      <c r="BU152" s="119">
        <v>1.04</v>
      </c>
      <c r="BV152" s="74">
        <v>2376000</v>
      </c>
      <c r="BW152" s="105">
        <v>150</v>
      </c>
      <c r="BX152" s="105">
        <v>1255</v>
      </c>
      <c r="BY152" s="157">
        <v>32.9</v>
      </c>
      <c r="BZ152" s="106">
        <v>15.6</v>
      </c>
      <c r="CA152" s="115">
        <v>7.2000000000000005E-4</v>
      </c>
      <c r="CB152" s="105">
        <v>386</v>
      </c>
      <c r="CC152" s="114">
        <v>7.1000000000000002E-4</v>
      </c>
      <c r="CD152" s="105">
        <v>386</v>
      </c>
      <c r="CE152" s="99">
        <f t="shared" si="8"/>
        <v>5.3030303030303034E-3</v>
      </c>
      <c r="CF152" s="100">
        <f t="shared" si="6"/>
        <v>0.72</v>
      </c>
    </row>
    <row r="153" spans="1:84" ht="24" x14ac:dyDescent="0.25">
      <c r="A153" s="101">
        <v>152</v>
      </c>
      <c r="B153" s="102"/>
      <c r="C153" s="103" t="s">
        <v>365</v>
      </c>
      <c r="D153" s="104">
        <v>1800</v>
      </c>
      <c r="E153" s="105">
        <v>1320</v>
      </c>
      <c r="F153" s="106">
        <f t="shared" si="7"/>
        <v>2376000</v>
      </c>
      <c r="G153" s="105">
        <v>150</v>
      </c>
      <c r="H153" s="105">
        <v>1255</v>
      </c>
      <c r="I153" s="107">
        <v>1.36</v>
      </c>
      <c r="J153" s="155">
        <v>24</v>
      </c>
      <c r="K153" s="156">
        <v>32.9</v>
      </c>
      <c r="L153" s="157">
        <v>32.9</v>
      </c>
      <c r="M153" s="158">
        <v>0.96</v>
      </c>
      <c r="N153" s="106">
        <v>15.6</v>
      </c>
      <c r="O153" s="112" t="s">
        <v>201</v>
      </c>
      <c r="P153" s="113" t="s">
        <v>211</v>
      </c>
      <c r="Q153" s="114">
        <v>3.9100000000000003E-3</v>
      </c>
      <c r="R153" s="115">
        <v>7.2000000000000005E-4</v>
      </c>
      <c r="S153" s="115">
        <v>7.2000000000000005E-4</v>
      </c>
      <c r="T153" s="105">
        <v>386</v>
      </c>
      <c r="U153" s="113" t="s">
        <v>212</v>
      </c>
      <c r="V153" s="114">
        <v>7.1000000000000002E-4</v>
      </c>
      <c r="W153" s="105">
        <v>386</v>
      </c>
      <c r="X153" s="113" t="s">
        <v>212</v>
      </c>
      <c r="Y153" s="160">
        <v>1.47</v>
      </c>
      <c r="Z153" s="110">
        <v>0.5</v>
      </c>
      <c r="AA153" s="123" t="s">
        <v>212</v>
      </c>
      <c r="AB153" s="112" t="s">
        <v>212</v>
      </c>
      <c r="AC153" s="174">
        <v>2</v>
      </c>
      <c r="AD153" s="112" t="s">
        <v>224</v>
      </c>
      <c r="AE153" s="113">
        <v>0.91</v>
      </c>
      <c r="AF153" s="120">
        <v>0.45</v>
      </c>
      <c r="AG153" s="118">
        <v>0.13</v>
      </c>
      <c r="AH153" s="118">
        <v>0.37</v>
      </c>
      <c r="AI153" s="119">
        <v>0.95</v>
      </c>
      <c r="AJ153" s="120">
        <v>0.62</v>
      </c>
      <c r="AK153" s="118">
        <v>0.25</v>
      </c>
      <c r="AL153" s="118">
        <v>0</v>
      </c>
      <c r="AM153" s="119">
        <v>0.87</v>
      </c>
      <c r="AN153" s="120">
        <v>0.56000000000000005</v>
      </c>
      <c r="AO153" s="118">
        <v>0.18</v>
      </c>
      <c r="AP153" s="118">
        <v>0.86</v>
      </c>
      <c r="AQ153" s="119">
        <v>1.6</v>
      </c>
      <c r="AR153" s="120">
        <v>0.79</v>
      </c>
      <c r="AS153" s="118">
        <v>0.16</v>
      </c>
      <c r="AT153" s="118">
        <v>0.37</v>
      </c>
      <c r="AU153" s="119">
        <v>0.63</v>
      </c>
      <c r="AV153" s="120">
        <v>0.27</v>
      </c>
      <c r="AW153" s="118">
        <v>0.27</v>
      </c>
      <c r="AX153" s="118">
        <v>0</v>
      </c>
      <c r="AY153" s="119">
        <v>0.55000000000000004</v>
      </c>
      <c r="AZ153" s="120">
        <v>0.37</v>
      </c>
      <c r="BA153" s="118">
        <v>0.74</v>
      </c>
      <c r="BB153" s="118">
        <v>0.12</v>
      </c>
      <c r="BC153" s="119">
        <v>1.22</v>
      </c>
      <c r="BD153" s="121">
        <v>0.56000000000000005</v>
      </c>
      <c r="BE153" s="120">
        <v>0.71</v>
      </c>
      <c r="BF153" s="118">
        <v>0</v>
      </c>
      <c r="BG153" s="118">
        <v>0.34</v>
      </c>
      <c r="BH153" s="119">
        <v>1.05</v>
      </c>
      <c r="BI153" s="120">
        <v>0.48</v>
      </c>
      <c r="BJ153" s="118">
        <v>0.16</v>
      </c>
      <c r="BK153" s="118">
        <v>0.44</v>
      </c>
      <c r="BL153" s="119">
        <v>1.0900000000000001</v>
      </c>
      <c r="BM153" s="120">
        <v>1.3</v>
      </c>
      <c r="BN153" s="118">
        <v>1.42</v>
      </c>
      <c r="BO153" s="118">
        <v>0.77</v>
      </c>
      <c r="BP153" s="118">
        <v>1.95</v>
      </c>
      <c r="BQ153" s="118">
        <v>2.2599999999999998</v>
      </c>
      <c r="BR153" s="118">
        <v>1.01</v>
      </c>
      <c r="BS153" s="118">
        <v>2.21</v>
      </c>
      <c r="BT153" s="118">
        <v>1.18</v>
      </c>
      <c r="BU153" s="119">
        <v>1.1299999999999999</v>
      </c>
      <c r="BV153" s="74">
        <v>2376000</v>
      </c>
      <c r="BW153" s="105">
        <v>150</v>
      </c>
      <c r="BX153" s="105">
        <v>1255</v>
      </c>
      <c r="BY153" s="157">
        <v>32.9</v>
      </c>
      <c r="BZ153" s="106">
        <v>15.6</v>
      </c>
      <c r="CA153" s="115">
        <v>7.2000000000000005E-4</v>
      </c>
      <c r="CB153" s="105">
        <v>386</v>
      </c>
      <c r="CC153" s="114">
        <v>7.1000000000000002E-4</v>
      </c>
      <c r="CD153" s="105">
        <v>386</v>
      </c>
      <c r="CE153" s="99">
        <f t="shared" si="8"/>
        <v>5.9595959595959598E-3</v>
      </c>
      <c r="CF153" s="100">
        <f t="shared" si="6"/>
        <v>0.91</v>
      </c>
    </row>
    <row r="154" spans="1:84" ht="24" x14ac:dyDescent="0.25">
      <c r="A154" s="101">
        <v>153</v>
      </c>
      <c r="B154" s="102"/>
      <c r="C154" s="103" t="s">
        <v>366</v>
      </c>
      <c r="D154" s="104">
        <v>1800</v>
      </c>
      <c r="E154" s="105">
        <v>1370</v>
      </c>
      <c r="F154" s="106">
        <f t="shared" si="7"/>
        <v>2466000</v>
      </c>
      <c r="G154" s="105">
        <v>150</v>
      </c>
      <c r="H154" s="105">
        <v>1293</v>
      </c>
      <c r="I154" s="107">
        <v>1.31</v>
      </c>
      <c r="J154" s="155">
        <v>24</v>
      </c>
      <c r="K154" s="156">
        <v>32.9</v>
      </c>
      <c r="L154" s="157">
        <v>32.9</v>
      </c>
      <c r="M154" s="158">
        <v>0.59</v>
      </c>
      <c r="N154" s="106">
        <v>8.1</v>
      </c>
      <c r="O154" s="112" t="s">
        <v>201</v>
      </c>
      <c r="P154" s="113" t="s">
        <v>211</v>
      </c>
      <c r="Q154" s="114">
        <v>3.7699999999999999E-3</v>
      </c>
      <c r="R154" s="115">
        <v>6.8999999999999997E-4</v>
      </c>
      <c r="S154" s="115">
        <v>6.8999999999999997E-4</v>
      </c>
      <c r="T154" s="105">
        <v>386</v>
      </c>
      <c r="U154" s="113" t="s">
        <v>212</v>
      </c>
      <c r="V154" s="114">
        <v>0</v>
      </c>
      <c r="W154" s="105">
        <v>386</v>
      </c>
      <c r="X154" s="113" t="s">
        <v>212</v>
      </c>
      <c r="Y154" s="160">
        <v>0.49</v>
      </c>
      <c r="Z154" s="110">
        <v>0.5</v>
      </c>
      <c r="AA154" s="123" t="s">
        <v>212</v>
      </c>
      <c r="AB154" s="112" t="s">
        <v>212</v>
      </c>
      <c r="AC154" s="174">
        <v>2</v>
      </c>
      <c r="AD154" s="112" t="s">
        <v>224</v>
      </c>
      <c r="AE154" s="113">
        <v>0.47</v>
      </c>
      <c r="AF154" s="120">
        <v>0.33</v>
      </c>
      <c r="AG154" s="118">
        <v>0</v>
      </c>
      <c r="AH154" s="118">
        <v>0.12</v>
      </c>
      <c r="AI154" s="119">
        <v>0.45</v>
      </c>
      <c r="AJ154" s="120">
        <v>0.35</v>
      </c>
      <c r="AK154" s="118">
        <v>0</v>
      </c>
      <c r="AL154" s="118">
        <v>0</v>
      </c>
      <c r="AM154" s="119">
        <v>0.35</v>
      </c>
      <c r="AN154" s="120">
        <v>0.41</v>
      </c>
      <c r="AO154" s="118">
        <v>0</v>
      </c>
      <c r="AP154" s="118">
        <v>0.3</v>
      </c>
      <c r="AQ154" s="119">
        <v>0.71</v>
      </c>
      <c r="AR154" s="120">
        <v>0.57999999999999996</v>
      </c>
      <c r="AS154" s="118">
        <v>0</v>
      </c>
      <c r="AT154" s="118">
        <v>0.12</v>
      </c>
      <c r="AU154" s="119">
        <v>0.46</v>
      </c>
      <c r="AV154" s="120">
        <v>0.2</v>
      </c>
      <c r="AW154" s="118">
        <v>0</v>
      </c>
      <c r="AX154" s="118">
        <v>0</v>
      </c>
      <c r="AY154" s="119">
        <v>0.2</v>
      </c>
      <c r="AZ154" s="120">
        <v>0.28000000000000003</v>
      </c>
      <c r="BA154" s="118">
        <v>0.36</v>
      </c>
      <c r="BB154" s="118">
        <v>0.04</v>
      </c>
      <c r="BC154" s="119">
        <v>0.68</v>
      </c>
      <c r="BD154" s="121">
        <v>0.22</v>
      </c>
      <c r="BE154" s="120">
        <v>0.45</v>
      </c>
      <c r="BF154" s="118">
        <v>0</v>
      </c>
      <c r="BG154" s="118">
        <v>0.11</v>
      </c>
      <c r="BH154" s="119">
        <v>0.56000000000000005</v>
      </c>
      <c r="BI154" s="120">
        <v>0.3</v>
      </c>
      <c r="BJ154" s="118">
        <v>0</v>
      </c>
      <c r="BK154" s="118">
        <v>0.15</v>
      </c>
      <c r="BL154" s="119">
        <v>0.44</v>
      </c>
      <c r="BM154" s="120">
        <v>1.37</v>
      </c>
      <c r="BN154" s="118">
        <v>1.78</v>
      </c>
      <c r="BO154" s="118">
        <v>0.87</v>
      </c>
      <c r="BP154" s="118">
        <v>1.36</v>
      </c>
      <c r="BQ154" s="118">
        <v>3.1</v>
      </c>
      <c r="BR154" s="118">
        <v>0.91</v>
      </c>
      <c r="BS154" s="118">
        <v>2.84</v>
      </c>
      <c r="BT154" s="118">
        <v>1.1000000000000001</v>
      </c>
      <c r="BU154" s="119">
        <v>1.39</v>
      </c>
      <c r="BV154" s="74">
        <v>2466000</v>
      </c>
      <c r="BW154" s="105">
        <v>150</v>
      </c>
      <c r="BX154" s="105">
        <v>1293</v>
      </c>
      <c r="BY154" s="157">
        <v>32.9</v>
      </c>
      <c r="BZ154" s="106">
        <v>8.1</v>
      </c>
      <c r="CA154" s="115">
        <v>6.8999999999999997E-4</v>
      </c>
      <c r="CB154" s="105">
        <v>386</v>
      </c>
      <c r="CC154" s="114">
        <v>0</v>
      </c>
      <c r="CD154" s="105">
        <v>386</v>
      </c>
      <c r="CE154" s="99">
        <f t="shared" si="8"/>
        <v>5.3527980535279813E-3</v>
      </c>
      <c r="CF154" s="100">
        <f t="shared" si="6"/>
        <v>0.47</v>
      </c>
    </row>
    <row r="155" spans="1:84" ht="24" x14ac:dyDescent="0.25">
      <c r="A155" s="101">
        <v>154</v>
      </c>
      <c r="B155" s="102"/>
      <c r="C155" s="103" t="s">
        <v>367</v>
      </c>
      <c r="D155" s="104">
        <v>1800</v>
      </c>
      <c r="E155" s="105">
        <v>1370</v>
      </c>
      <c r="F155" s="106">
        <f t="shared" si="7"/>
        <v>2466000</v>
      </c>
      <c r="G155" s="105">
        <v>150</v>
      </c>
      <c r="H155" s="105">
        <v>1293</v>
      </c>
      <c r="I155" s="107">
        <v>1.31</v>
      </c>
      <c r="J155" s="155">
        <v>24</v>
      </c>
      <c r="K155" s="156">
        <v>32.9</v>
      </c>
      <c r="L155" s="157">
        <v>32.9</v>
      </c>
      <c r="M155" s="158">
        <v>0.59</v>
      </c>
      <c r="N155" s="106">
        <v>8.1</v>
      </c>
      <c r="O155" s="112" t="s">
        <v>201</v>
      </c>
      <c r="P155" s="113" t="s">
        <v>211</v>
      </c>
      <c r="Q155" s="114">
        <v>3.7699999999999999E-3</v>
      </c>
      <c r="R155" s="115">
        <v>6.8999999999999997E-4</v>
      </c>
      <c r="S155" s="115">
        <v>6.8999999999999997E-4</v>
      </c>
      <c r="T155" s="105">
        <v>386</v>
      </c>
      <c r="U155" s="113" t="s">
        <v>212</v>
      </c>
      <c r="V155" s="114">
        <v>1.48E-3</v>
      </c>
      <c r="W155" s="105">
        <v>386</v>
      </c>
      <c r="X155" s="113" t="s">
        <v>212</v>
      </c>
      <c r="Y155" s="160">
        <v>0.49</v>
      </c>
      <c r="Z155" s="110">
        <v>0.5</v>
      </c>
      <c r="AA155" s="123" t="s">
        <v>212</v>
      </c>
      <c r="AB155" s="112" t="s">
        <v>212</v>
      </c>
      <c r="AC155" s="174">
        <v>2</v>
      </c>
      <c r="AD155" s="112" t="s">
        <v>224</v>
      </c>
      <c r="AE155" s="113">
        <v>0.74</v>
      </c>
      <c r="AF155" s="120">
        <v>0.33</v>
      </c>
      <c r="AG155" s="118">
        <v>0.27</v>
      </c>
      <c r="AH155" s="118">
        <v>0.12</v>
      </c>
      <c r="AI155" s="119">
        <v>0.72</v>
      </c>
      <c r="AJ155" s="120">
        <v>0.35</v>
      </c>
      <c r="AK155" s="118">
        <v>0.51</v>
      </c>
      <c r="AL155" s="118">
        <v>0</v>
      </c>
      <c r="AM155" s="119">
        <v>0.86</v>
      </c>
      <c r="AN155" s="120">
        <v>0.41</v>
      </c>
      <c r="AO155" s="118">
        <v>0.37</v>
      </c>
      <c r="AP155" s="118">
        <v>0.3</v>
      </c>
      <c r="AQ155" s="119">
        <v>1.07</v>
      </c>
      <c r="AR155" s="120">
        <v>0.57999999999999996</v>
      </c>
      <c r="AS155" s="118">
        <v>0.32</v>
      </c>
      <c r="AT155" s="118">
        <v>0.12</v>
      </c>
      <c r="AU155" s="119">
        <v>0.46</v>
      </c>
      <c r="AV155" s="120">
        <v>0.2</v>
      </c>
      <c r="AW155" s="118">
        <v>0.56999999999999995</v>
      </c>
      <c r="AX155" s="118">
        <v>0</v>
      </c>
      <c r="AY155" s="119">
        <v>0.77</v>
      </c>
      <c r="AZ155" s="120">
        <v>0.28000000000000003</v>
      </c>
      <c r="BA155" s="118">
        <v>0.89</v>
      </c>
      <c r="BB155" s="118">
        <v>0.04</v>
      </c>
      <c r="BC155" s="119">
        <v>1.21</v>
      </c>
      <c r="BD155" s="121">
        <v>0.4</v>
      </c>
      <c r="BE155" s="120">
        <v>0.45</v>
      </c>
      <c r="BF155" s="118">
        <v>0</v>
      </c>
      <c r="BG155" s="118">
        <v>0.11</v>
      </c>
      <c r="BH155" s="119">
        <v>0.56000000000000005</v>
      </c>
      <c r="BI155" s="120">
        <v>0.3</v>
      </c>
      <c r="BJ155" s="118">
        <v>0.34</v>
      </c>
      <c r="BK155" s="118">
        <v>0.15</v>
      </c>
      <c r="BL155" s="119">
        <v>0.79</v>
      </c>
      <c r="BM155" s="120">
        <v>1.35</v>
      </c>
      <c r="BN155" s="118">
        <v>1.1299999999999999</v>
      </c>
      <c r="BO155" s="118">
        <v>0.91</v>
      </c>
      <c r="BP155" s="118">
        <v>2.13</v>
      </c>
      <c r="BQ155" s="118">
        <v>1.26</v>
      </c>
      <c r="BR155" s="118">
        <v>0.81</v>
      </c>
      <c r="BS155" s="118">
        <v>2.4</v>
      </c>
      <c r="BT155" s="118">
        <v>1.73</v>
      </c>
      <c r="BU155" s="119">
        <v>1.24</v>
      </c>
      <c r="BV155" s="74">
        <v>2466000</v>
      </c>
      <c r="BW155" s="105">
        <v>150</v>
      </c>
      <c r="BX155" s="105">
        <v>1293</v>
      </c>
      <c r="BY155" s="157">
        <v>32.9</v>
      </c>
      <c r="BZ155" s="106">
        <v>8.1</v>
      </c>
      <c r="CA155" s="115">
        <v>6.8999999999999997E-4</v>
      </c>
      <c r="CB155" s="105">
        <v>386</v>
      </c>
      <c r="CC155" s="114">
        <v>1.48E-3</v>
      </c>
      <c r="CD155" s="105">
        <v>386</v>
      </c>
      <c r="CE155" s="99">
        <f t="shared" si="8"/>
        <v>8.4184914841849146E-3</v>
      </c>
      <c r="CF155" s="100">
        <f t="shared" si="6"/>
        <v>0.74</v>
      </c>
    </row>
    <row r="156" spans="1:84" ht="24" x14ac:dyDescent="0.25">
      <c r="A156" s="101">
        <v>155</v>
      </c>
      <c r="B156" s="102"/>
      <c r="C156" s="103" t="s">
        <v>368</v>
      </c>
      <c r="D156" s="104">
        <v>1800</v>
      </c>
      <c r="E156" s="105">
        <v>1370</v>
      </c>
      <c r="F156" s="106">
        <f t="shared" si="7"/>
        <v>2466000</v>
      </c>
      <c r="G156" s="105">
        <v>150</v>
      </c>
      <c r="H156" s="105">
        <v>1293</v>
      </c>
      <c r="I156" s="107">
        <v>1.31</v>
      </c>
      <c r="J156" s="155">
        <v>24</v>
      </c>
      <c r="K156" s="156">
        <v>32.9</v>
      </c>
      <c r="L156" s="157">
        <v>32.9</v>
      </c>
      <c r="M156" s="158">
        <v>0.59</v>
      </c>
      <c r="N156" s="106">
        <v>8.1</v>
      </c>
      <c r="O156" s="112" t="s">
        <v>201</v>
      </c>
      <c r="P156" s="113" t="s">
        <v>211</v>
      </c>
      <c r="Q156" s="114">
        <v>3.7699999999999999E-3</v>
      </c>
      <c r="R156" s="115">
        <v>6.8999999999999997E-4</v>
      </c>
      <c r="S156" s="115">
        <v>6.8999999999999997E-4</v>
      </c>
      <c r="T156" s="105">
        <v>386</v>
      </c>
      <c r="U156" s="113" t="s">
        <v>212</v>
      </c>
      <c r="V156" s="114">
        <v>2.2200000000000002E-3</v>
      </c>
      <c r="W156" s="105">
        <v>386</v>
      </c>
      <c r="X156" s="113" t="s">
        <v>212</v>
      </c>
      <c r="Y156" s="160">
        <v>0.49</v>
      </c>
      <c r="Z156" s="110">
        <v>0.5</v>
      </c>
      <c r="AA156" s="123" t="s">
        <v>212</v>
      </c>
      <c r="AB156" s="112" t="s">
        <v>212</v>
      </c>
      <c r="AC156" s="174">
        <v>2</v>
      </c>
      <c r="AD156" s="112" t="s">
        <v>224</v>
      </c>
      <c r="AE156" s="113">
        <v>0.84</v>
      </c>
      <c r="AF156" s="120">
        <v>0.33</v>
      </c>
      <c r="AG156" s="118">
        <v>0.4</v>
      </c>
      <c r="AH156" s="118">
        <v>0.12</v>
      </c>
      <c r="AI156" s="119">
        <v>0.86</v>
      </c>
      <c r="AJ156" s="120">
        <v>0.35</v>
      </c>
      <c r="AK156" s="118">
        <v>0.77</v>
      </c>
      <c r="AL156" s="118">
        <v>0</v>
      </c>
      <c r="AM156" s="119">
        <v>1.1200000000000001</v>
      </c>
      <c r="AN156" s="120">
        <v>0.41</v>
      </c>
      <c r="AO156" s="118">
        <v>0.55000000000000004</v>
      </c>
      <c r="AP156" s="118">
        <v>0.3</v>
      </c>
      <c r="AQ156" s="119">
        <v>1.26</v>
      </c>
      <c r="AR156" s="120">
        <v>0.57999999999999996</v>
      </c>
      <c r="AS156" s="118">
        <v>0.48</v>
      </c>
      <c r="AT156" s="118">
        <v>0.12</v>
      </c>
      <c r="AU156" s="119">
        <v>0.46</v>
      </c>
      <c r="AV156" s="120">
        <v>0.2</v>
      </c>
      <c r="AW156" s="118">
        <v>0.86</v>
      </c>
      <c r="AX156" s="118">
        <v>0</v>
      </c>
      <c r="AY156" s="119">
        <v>1.06</v>
      </c>
      <c r="AZ156" s="120">
        <v>0.28000000000000003</v>
      </c>
      <c r="BA156" s="118">
        <v>1.01</v>
      </c>
      <c r="BB156" s="118">
        <v>0.04</v>
      </c>
      <c r="BC156" s="119">
        <v>1.32</v>
      </c>
      <c r="BD156" s="121">
        <v>0.4</v>
      </c>
      <c r="BE156" s="120">
        <v>0.45</v>
      </c>
      <c r="BF156" s="118">
        <v>0</v>
      </c>
      <c r="BG156" s="118">
        <v>0.11</v>
      </c>
      <c r="BH156" s="119">
        <v>0.56000000000000005</v>
      </c>
      <c r="BI156" s="120">
        <v>0.3</v>
      </c>
      <c r="BJ156" s="118">
        <v>0.22</v>
      </c>
      <c r="BK156" s="118">
        <v>0.15</v>
      </c>
      <c r="BL156" s="119">
        <v>0.66</v>
      </c>
      <c r="BM156" s="120">
        <v>1.29</v>
      </c>
      <c r="BN156" s="118">
        <v>0.99</v>
      </c>
      <c r="BO156" s="118">
        <v>0.88</v>
      </c>
      <c r="BP156" s="118">
        <v>2.42</v>
      </c>
      <c r="BQ156" s="118">
        <v>1.05</v>
      </c>
      <c r="BR156" s="118">
        <v>0.83</v>
      </c>
      <c r="BS156" s="118">
        <v>2.73</v>
      </c>
      <c r="BT156" s="118">
        <v>1.96</v>
      </c>
      <c r="BU156" s="119">
        <v>1.66</v>
      </c>
      <c r="BV156" s="74">
        <v>2466000</v>
      </c>
      <c r="BW156" s="105">
        <v>150</v>
      </c>
      <c r="BX156" s="105">
        <v>1293</v>
      </c>
      <c r="BY156" s="157">
        <v>32.9</v>
      </c>
      <c r="BZ156" s="106">
        <v>8.1</v>
      </c>
      <c r="CA156" s="115">
        <v>6.8999999999999997E-4</v>
      </c>
      <c r="CB156" s="105">
        <v>386</v>
      </c>
      <c r="CC156" s="114">
        <v>2.2200000000000002E-3</v>
      </c>
      <c r="CD156" s="105">
        <v>386</v>
      </c>
      <c r="CE156" s="99">
        <f t="shared" si="8"/>
        <v>9.5377128953771286E-3</v>
      </c>
      <c r="CF156" s="100">
        <f t="shared" si="6"/>
        <v>0.84</v>
      </c>
    </row>
    <row r="157" spans="1:84" ht="24" x14ac:dyDescent="0.25">
      <c r="A157" s="101">
        <v>156</v>
      </c>
      <c r="B157" s="102"/>
      <c r="C157" s="103" t="s">
        <v>369</v>
      </c>
      <c r="D157" s="104">
        <v>1800</v>
      </c>
      <c r="E157" s="105">
        <v>1370</v>
      </c>
      <c r="F157" s="106">
        <f t="shared" si="7"/>
        <v>2466000</v>
      </c>
      <c r="G157" s="105">
        <v>150</v>
      </c>
      <c r="H157" s="105">
        <v>1293</v>
      </c>
      <c r="I157" s="107">
        <v>1.31</v>
      </c>
      <c r="J157" s="155">
        <v>24</v>
      </c>
      <c r="K157" s="156">
        <v>32.9</v>
      </c>
      <c r="L157" s="157">
        <v>32.9</v>
      </c>
      <c r="M157" s="158">
        <v>0.59</v>
      </c>
      <c r="N157" s="106">
        <v>8.1</v>
      </c>
      <c r="O157" s="112" t="s">
        <v>201</v>
      </c>
      <c r="P157" s="113" t="s">
        <v>211</v>
      </c>
      <c r="Q157" s="114">
        <v>3.7699999999999999E-3</v>
      </c>
      <c r="R157" s="115">
        <v>6.8999999999999997E-4</v>
      </c>
      <c r="S157" s="115">
        <v>6.8999999999999997E-4</v>
      </c>
      <c r="T157" s="105">
        <v>386</v>
      </c>
      <c r="U157" s="113" t="s">
        <v>212</v>
      </c>
      <c r="V157" s="114">
        <v>3.3500000000000001E-3</v>
      </c>
      <c r="W157" s="105">
        <v>386</v>
      </c>
      <c r="X157" s="113" t="s">
        <v>212</v>
      </c>
      <c r="Y157" s="160">
        <v>0.49</v>
      </c>
      <c r="Z157" s="110">
        <v>0.5</v>
      </c>
      <c r="AA157" s="123" t="s">
        <v>212</v>
      </c>
      <c r="AB157" s="112" t="s">
        <v>212</v>
      </c>
      <c r="AC157" s="174">
        <v>2</v>
      </c>
      <c r="AD157" s="112" t="s">
        <v>224</v>
      </c>
      <c r="AE157" s="113">
        <v>0.95</v>
      </c>
      <c r="AF157" s="120">
        <v>0.33</v>
      </c>
      <c r="AG157" s="118">
        <v>0.61</v>
      </c>
      <c r="AH157" s="118">
        <v>0.12</v>
      </c>
      <c r="AI157" s="119">
        <v>1.06</v>
      </c>
      <c r="AJ157" s="120">
        <v>0.35</v>
      </c>
      <c r="AK157" s="118">
        <v>1.1599999999999999</v>
      </c>
      <c r="AL157" s="118">
        <v>0</v>
      </c>
      <c r="AM157" s="119">
        <v>1.51</v>
      </c>
      <c r="AN157" s="120">
        <v>0.41</v>
      </c>
      <c r="AO157" s="118">
        <v>0.83</v>
      </c>
      <c r="AP157" s="118">
        <v>0.3</v>
      </c>
      <c r="AQ157" s="119">
        <v>1.28</v>
      </c>
      <c r="AR157" s="120">
        <v>0.57999999999999996</v>
      </c>
      <c r="AS157" s="118">
        <v>0.73</v>
      </c>
      <c r="AT157" s="118">
        <v>0.12</v>
      </c>
      <c r="AU157" s="119">
        <v>0.46</v>
      </c>
      <c r="AV157" s="120">
        <v>0.2</v>
      </c>
      <c r="AW157" s="118">
        <v>1.29</v>
      </c>
      <c r="AX157" s="118">
        <v>0</v>
      </c>
      <c r="AY157" s="119">
        <v>1.49</v>
      </c>
      <c r="AZ157" s="120">
        <v>0.28000000000000003</v>
      </c>
      <c r="BA157" s="118">
        <v>1.1499999999999999</v>
      </c>
      <c r="BB157" s="118">
        <v>0.04</v>
      </c>
      <c r="BC157" s="119">
        <v>1.47</v>
      </c>
      <c r="BD157" s="121">
        <v>0.4</v>
      </c>
      <c r="BE157" s="120">
        <v>0.45</v>
      </c>
      <c r="BF157" s="118">
        <v>0</v>
      </c>
      <c r="BG157" s="118">
        <v>0.11</v>
      </c>
      <c r="BH157" s="119">
        <v>0.56000000000000005</v>
      </c>
      <c r="BI157" s="120">
        <v>0.3</v>
      </c>
      <c r="BJ157" s="118">
        <v>0.26</v>
      </c>
      <c r="BK157" s="118">
        <v>0.15</v>
      </c>
      <c r="BL157" s="119">
        <v>0.7</v>
      </c>
      <c r="BM157" s="120">
        <v>1.18</v>
      </c>
      <c r="BN157" s="118">
        <v>0.83</v>
      </c>
      <c r="BO157" s="118">
        <v>0.97</v>
      </c>
      <c r="BP157" s="118">
        <v>2.74</v>
      </c>
      <c r="BQ157" s="118">
        <v>0.84</v>
      </c>
      <c r="BR157" s="118">
        <v>0.85</v>
      </c>
      <c r="BS157" s="118">
        <v>3.08</v>
      </c>
      <c r="BT157" s="118">
        <v>2.2200000000000002</v>
      </c>
      <c r="BU157" s="119">
        <v>1.78</v>
      </c>
      <c r="BV157" s="74">
        <v>2466000</v>
      </c>
      <c r="BW157" s="105">
        <v>150</v>
      </c>
      <c r="BX157" s="105">
        <v>1293</v>
      </c>
      <c r="BY157" s="157">
        <v>32.9</v>
      </c>
      <c r="BZ157" s="106">
        <v>8.1</v>
      </c>
      <c r="CA157" s="115">
        <v>6.8999999999999997E-4</v>
      </c>
      <c r="CB157" s="105">
        <v>386</v>
      </c>
      <c r="CC157" s="114">
        <v>3.3500000000000001E-3</v>
      </c>
      <c r="CD157" s="105">
        <v>386</v>
      </c>
      <c r="CE157" s="99">
        <f t="shared" si="8"/>
        <v>1.0802919708029197E-2</v>
      </c>
      <c r="CF157" s="100">
        <f t="shared" si="6"/>
        <v>0.95</v>
      </c>
    </row>
    <row r="158" spans="1:84" ht="24" x14ac:dyDescent="0.25">
      <c r="A158" s="101">
        <v>157</v>
      </c>
      <c r="B158" s="102"/>
      <c r="C158" s="103" t="s">
        <v>370</v>
      </c>
      <c r="D158" s="104">
        <v>1800</v>
      </c>
      <c r="E158" s="105">
        <v>1370</v>
      </c>
      <c r="F158" s="106">
        <f t="shared" si="7"/>
        <v>2466000</v>
      </c>
      <c r="G158" s="105">
        <v>150</v>
      </c>
      <c r="H158" s="105">
        <v>1293</v>
      </c>
      <c r="I158" s="107">
        <v>1.31</v>
      </c>
      <c r="J158" s="155">
        <v>24</v>
      </c>
      <c r="K158" s="156">
        <v>32.9</v>
      </c>
      <c r="L158" s="157">
        <v>32.9</v>
      </c>
      <c r="M158" s="158">
        <v>0.59</v>
      </c>
      <c r="N158" s="106">
        <v>8.1</v>
      </c>
      <c r="O158" s="112" t="s">
        <v>201</v>
      </c>
      <c r="P158" s="113" t="s">
        <v>211</v>
      </c>
      <c r="Q158" s="114">
        <v>1.4E-3</v>
      </c>
      <c r="R158" s="115">
        <v>6.8999999999999997E-4</v>
      </c>
      <c r="S158" s="115">
        <v>6.8999999999999997E-4</v>
      </c>
      <c r="T158" s="105">
        <v>386</v>
      </c>
      <c r="U158" s="113" t="s">
        <v>212</v>
      </c>
      <c r="V158" s="114">
        <v>7.1000000000000002E-4</v>
      </c>
      <c r="W158" s="105">
        <v>386</v>
      </c>
      <c r="X158" s="113" t="s">
        <v>212</v>
      </c>
      <c r="Y158" s="160">
        <v>0.49</v>
      </c>
      <c r="Z158" s="110">
        <v>0.5</v>
      </c>
      <c r="AA158" s="123" t="s">
        <v>212</v>
      </c>
      <c r="AB158" s="112" t="s">
        <v>212</v>
      </c>
      <c r="AC158" s="174">
        <v>2</v>
      </c>
      <c r="AD158" s="112" t="s">
        <v>224</v>
      </c>
      <c r="AE158" s="113">
        <v>0.68</v>
      </c>
      <c r="AF158" s="120">
        <v>0.33</v>
      </c>
      <c r="AG158" s="118">
        <v>0.13</v>
      </c>
      <c r="AH158" s="118">
        <v>0.12</v>
      </c>
      <c r="AI158" s="119">
        <v>0.57999999999999996</v>
      </c>
      <c r="AJ158" s="120">
        <v>0.35</v>
      </c>
      <c r="AK158" s="118">
        <v>0.25</v>
      </c>
      <c r="AL158" s="118">
        <v>0</v>
      </c>
      <c r="AM158" s="119">
        <v>0.59</v>
      </c>
      <c r="AN158" s="120">
        <v>0.41</v>
      </c>
      <c r="AO158" s="118">
        <v>0.18</v>
      </c>
      <c r="AP158" s="118">
        <v>0.3</v>
      </c>
      <c r="AQ158" s="119">
        <v>0.88</v>
      </c>
      <c r="AR158" s="120">
        <v>0.57999999999999996</v>
      </c>
      <c r="AS158" s="118">
        <v>0.16</v>
      </c>
      <c r="AT158" s="118">
        <v>0.12</v>
      </c>
      <c r="AU158" s="119">
        <v>0.46</v>
      </c>
      <c r="AV158" s="120">
        <v>0.2</v>
      </c>
      <c r="AW158" s="118">
        <v>0.27</v>
      </c>
      <c r="AX158" s="118">
        <v>0</v>
      </c>
      <c r="AY158" s="119">
        <v>0.47</v>
      </c>
      <c r="AZ158" s="120">
        <v>0.22</v>
      </c>
      <c r="BA158" s="118">
        <v>0.72</v>
      </c>
      <c r="BB158" s="118">
        <v>0.04</v>
      </c>
      <c r="BC158" s="119">
        <v>0.99</v>
      </c>
      <c r="BD158" s="121">
        <v>0.4</v>
      </c>
      <c r="BE158" s="120">
        <v>0.45</v>
      </c>
      <c r="BF158" s="118">
        <v>0</v>
      </c>
      <c r="BG158" s="118">
        <v>0.11</v>
      </c>
      <c r="BH158" s="119">
        <v>0.56000000000000005</v>
      </c>
      <c r="BI158" s="120">
        <v>0.3</v>
      </c>
      <c r="BJ158" s="118">
        <v>0.16</v>
      </c>
      <c r="BK158" s="118">
        <v>0.15</v>
      </c>
      <c r="BL158" s="119">
        <v>0.61</v>
      </c>
      <c r="BM158" s="120">
        <v>1.53</v>
      </c>
      <c r="BN158" s="118">
        <v>1.49</v>
      </c>
      <c r="BO158" s="118">
        <v>1</v>
      </c>
      <c r="BP158" s="118">
        <v>1.95</v>
      </c>
      <c r="BQ158" s="118">
        <v>1.87</v>
      </c>
      <c r="BR158" s="118">
        <v>0.9</v>
      </c>
      <c r="BS158" s="118">
        <v>2.19</v>
      </c>
      <c r="BT158" s="118">
        <v>1.57</v>
      </c>
      <c r="BU158" s="119">
        <v>1.46</v>
      </c>
      <c r="BV158" s="74">
        <v>2466000</v>
      </c>
      <c r="BW158" s="105">
        <v>150</v>
      </c>
      <c r="BX158" s="105">
        <v>1293</v>
      </c>
      <c r="BY158" s="157">
        <v>32.9</v>
      </c>
      <c r="BZ158" s="106">
        <v>8.1</v>
      </c>
      <c r="CA158" s="115">
        <v>6.8999999999999997E-4</v>
      </c>
      <c r="CB158" s="105">
        <v>386</v>
      </c>
      <c r="CC158" s="114">
        <v>7.1000000000000002E-4</v>
      </c>
      <c r="CD158" s="105">
        <v>386</v>
      </c>
      <c r="CE158" s="99">
        <f t="shared" si="8"/>
        <v>7.6399026763990276E-3</v>
      </c>
      <c r="CF158" s="100">
        <f t="shared" si="6"/>
        <v>0.68</v>
      </c>
    </row>
    <row r="159" spans="1:84" ht="24" x14ac:dyDescent="0.25">
      <c r="A159" s="101">
        <v>158</v>
      </c>
      <c r="B159" s="102"/>
      <c r="C159" s="103" t="s">
        <v>371</v>
      </c>
      <c r="D159" s="104">
        <v>1800</v>
      </c>
      <c r="E159" s="105">
        <v>1320</v>
      </c>
      <c r="F159" s="106">
        <f t="shared" si="7"/>
        <v>2376000</v>
      </c>
      <c r="G159" s="105">
        <v>150</v>
      </c>
      <c r="H159" s="105">
        <v>1255</v>
      </c>
      <c r="I159" s="107">
        <v>1.36</v>
      </c>
      <c r="J159" s="155">
        <v>24</v>
      </c>
      <c r="K159" s="156">
        <v>32.9</v>
      </c>
      <c r="L159" s="157">
        <v>32.9</v>
      </c>
      <c r="M159" s="158">
        <v>0.96</v>
      </c>
      <c r="N159" s="106">
        <v>15.6</v>
      </c>
      <c r="O159" s="112" t="s">
        <v>201</v>
      </c>
      <c r="P159" s="113" t="s">
        <v>211</v>
      </c>
      <c r="Q159" s="114">
        <v>3.9100000000000003E-3</v>
      </c>
      <c r="R159" s="115">
        <v>7.2000000000000005E-4</v>
      </c>
      <c r="S159" s="115">
        <v>7.2000000000000005E-4</v>
      </c>
      <c r="T159" s="105">
        <v>386</v>
      </c>
      <c r="U159" s="113" t="s">
        <v>212</v>
      </c>
      <c r="V159" s="114">
        <v>0</v>
      </c>
      <c r="W159" s="105">
        <v>386</v>
      </c>
      <c r="X159" s="113" t="s">
        <v>212</v>
      </c>
      <c r="Y159" s="160">
        <v>0.98</v>
      </c>
      <c r="Z159" s="110">
        <v>0.5</v>
      </c>
      <c r="AA159" s="123" t="s">
        <v>212</v>
      </c>
      <c r="AB159" s="112" t="s">
        <v>212</v>
      </c>
      <c r="AC159" s="174">
        <v>2</v>
      </c>
      <c r="AD159" s="112" t="s">
        <v>224</v>
      </c>
      <c r="AE159" s="113">
        <v>0.8</v>
      </c>
      <c r="AF159" s="120">
        <v>0.45</v>
      </c>
      <c r="AG159" s="118">
        <v>0</v>
      </c>
      <c r="AH159" s="118">
        <v>0.25</v>
      </c>
      <c r="AI159" s="119">
        <v>0.7</v>
      </c>
      <c r="AJ159" s="120">
        <v>0.48</v>
      </c>
      <c r="AK159" s="118">
        <v>0</v>
      </c>
      <c r="AL159" s="118">
        <v>0</v>
      </c>
      <c r="AM159" s="119">
        <v>0.48</v>
      </c>
      <c r="AN159" s="120">
        <v>0.56000000000000005</v>
      </c>
      <c r="AO159" s="118">
        <v>0</v>
      </c>
      <c r="AP159" s="118">
        <v>0.59</v>
      </c>
      <c r="AQ159" s="119">
        <v>1.1399999999999999</v>
      </c>
      <c r="AR159" s="120">
        <v>0.79</v>
      </c>
      <c r="AS159" s="118">
        <v>0</v>
      </c>
      <c r="AT159" s="118">
        <v>0.25</v>
      </c>
      <c r="AU159" s="119">
        <v>0.63</v>
      </c>
      <c r="AV159" s="120">
        <v>0.27</v>
      </c>
      <c r="AW159" s="118">
        <v>0</v>
      </c>
      <c r="AX159" s="118">
        <v>0</v>
      </c>
      <c r="AY159" s="119">
        <v>0.27</v>
      </c>
      <c r="AZ159" s="120">
        <v>0.37</v>
      </c>
      <c r="BA159" s="118">
        <v>0.37</v>
      </c>
      <c r="BB159" s="118">
        <v>0.08</v>
      </c>
      <c r="BC159" s="119">
        <v>0.82</v>
      </c>
      <c r="BD159" s="121">
        <v>0.22</v>
      </c>
      <c r="BE159" s="120">
        <v>0.71</v>
      </c>
      <c r="BF159" s="118">
        <v>0</v>
      </c>
      <c r="BG159" s="118">
        <v>0.23</v>
      </c>
      <c r="BH159" s="119">
        <v>0.93</v>
      </c>
      <c r="BI159" s="120">
        <v>0.48</v>
      </c>
      <c r="BJ159" s="118">
        <v>0</v>
      </c>
      <c r="BK159" s="118">
        <v>0.28999999999999998</v>
      </c>
      <c r="BL159" s="119">
        <v>0.78</v>
      </c>
      <c r="BM159" s="120">
        <v>1.57</v>
      </c>
      <c r="BN159" s="118">
        <v>2.25</v>
      </c>
      <c r="BO159" s="118">
        <v>0.95</v>
      </c>
      <c r="BP159" s="118">
        <v>1.73</v>
      </c>
      <c r="BQ159" s="118">
        <v>4.0199999999999996</v>
      </c>
      <c r="BR159" s="118">
        <v>1.34</v>
      </c>
      <c r="BS159" s="118">
        <v>5.0599999999999996</v>
      </c>
      <c r="BT159" s="118">
        <v>1.17</v>
      </c>
      <c r="BU159" s="119">
        <v>1.41</v>
      </c>
      <c r="BV159" s="74">
        <v>2376000</v>
      </c>
      <c r="BW159" s="105">
        <v>150</v>
      </c>
      <c r="BX159" s="105">
        <v>1255</v>
      </c>
      <c r="BY159" s="157">
        <v>32.9</v>
      </c>
      <c r="BZ159" s="106">
        <v>15.6</v>
      </c>
      <c r="CA159" s="115">
        <v>7.2000000000000005E-4</v>
      </c>
      <c r="CB159" s="105">
        <v>386</v>
      </c>
      <c r="CC159" s="114">
        <v>0</v>
      </c>
      <c r="CD159" s="105">
        <v>386</v>
      </c>
      <c r="CE159" s="99">
        <f t="shared" si="8"/>
        <v>5.9090909090909081E-3</v>
      </c>
      <c r="CF159" s="100">
        <f t="shared" si="6"/>
        <v>0.8</v>
      </c>
    </row>
    <row r="160" spans="1:84" ht="24" x14ac:dyDescent="0.25">
      <c r="A160" s="101">
        <v>159</v>
      </c>
      <c r="B160" s="102"/>
      <c r="C160" s="103" t="s">
        <v>372</v>
      </c>
      <c r="D160" s="104">
        <v>1800</v>
      </c>
      <c r="E160" s="105">
        <v>1320</v>
      </c>
      <c r="F160" s="106">
        <f t="shared" si="7"/>
        <v>2376000</v>
      </c>
      <c r="G160" s="105">
        <v>150</v>
      </c>
      <c r="H160" s="105">
        <v>1255</v>
      </c>
      <c r="I160" s="107">
        <v>1.36</v>
      </c>
      <c r="J160" s="155">
        <v>24</v>
      </c>
      <c r="K160" s="156">
        <v>32.9</v>
      </c>
      <c r="L160" s="157">
        <v>32.9</v>
      </c>
      <c r="M160" s="158">
        <v>0.59</v>
      </c>
      <c r="N160" s="106">
        <v>8.1</v>
      </c>
      <c r="O160" s="112" t="s">
        <v>201</v>
      </c>
      <c r="P160" s="113" t="s">
        <v>211</v>
      </c>
      <c r="Q160" s="114">
        <v>3.9100000000000003E-3</v>
      </c>
      <c r="R160" s="115">
        <v>7.2000000000000005E-4</v>
      </c>
      <c r="S160" s="115">
        <v>7.2000000000000005E-4</v>
      </c>
      <c r="T160" s="105">
        <v>386</v>
      </c>
      <c r="U160" s="113" t="s">
        <v>212</v>
      </c>
      <c r="V160" s="114">
        <v>0</v>
      </c>
      <c r="W160" s="105">
        <v>386</v>
      </c>
      <c r="X160" s="113" t="s">
        <v>212</v>
      </c>
      <c r="Y160" s="160">
        <v>0.98</v>
      </c>
      <c r="Z160" s="110">
        <v>0.5</v>
      </c>
      <c r="AA160" s="123" t="s">
        <v>212</v>
      </c>
      <c r="AB160" s="112" t="s">
        <v>212</v>
      </c>
      <c r="AC160" s="174">
        <v>2</v>
      </c>
      <c r="AD160" s="112" t="s">
        <v>224</v>
      </c>
      <c r="AE160" s="113">
        <v>0.44</v>
      </c>
      <c r="AF160" s="120">
        <v>0.32</v>
      </c>
      <c r="AG160" s="118">
        <v>0</v>
      </c>
      <c r="AH160" s="118">
        <v>0.25</v>
      </c>
      <c r="AI160" s="119">
        <v>0.56999999999999995</v>
      </c>
      <c r="AJ160" s="120">
        <v>0.48</v>
      </c>
      <c r="AK160" s="118">
        <v>0</v>
      </c>
      <c r="AL160" s="118">
        <v>0</v>
      </c>
      <c r="AM160" s="119">
        <v>0.48</v>
      </c>
      <c r="AN160" s="120">
        <v>0.4</v>
      </c>
      <c r="AO160" s="118">
        <v>0</v>
      </c>
      <c r="AP160" s="118">
        <v>0.56000000000000005</v>
      </c>
      <c r="AQ160" s="119">
        <v>0.96</v>
      </c>
      <c r="AR160" s="120">
        <v>0.56999999999999995</v>
      </c>
      <c r="AS160" s="118">
        <v>0</v>
      </c>
      <c r="AT160" s="118">
        <v>0.25</v>
      </c>
      <c r="AU160" s="119">
        <v>0.46</v>
      </c>
      <c r="AV160" s="120">
        <v>0.2</v>
      </c>
      <c r="AW160" s="118">
        <v>0</v>
      </c>
      <c r="AX160" s="118">
        <v>0</v>
      </c>
      <c r="AY160" s="119">
        <v>0.2</v>
      </c>
      <c r="AZ160" s="120">
        <v>0.28000000000000003</v>
      </c>
      <c r="BA160" s="118">
        <v>0.37</v>
      </c>
      <c r="BB160" s="118">
        <v>0.08</v>
      </c>
      <c r="BC160" s="119">
        <v>0.73</v>
      </c>
      <c r="BD160" s="121">
        <v>0.22</v>
      </c>
      <c r="BE160" s="120">
        <v>0.43</v>
      </c>
      <c r="BF160" s="118">
        <v>0</v>
      </c>
      <c r="BG160" s="118">
        <v>0.23</v>
      </c>
      <c r="BH160" s="119">
        <v>0.66</v>
      </c>
      <c r="BI160" s="120">
        <v>0.3</v>
      </c>
      <c r="BJ160" s="118">
        <v>0</v>
      </c>
      <c r="BK160" s="118">
        <v>0.28999999999999998</v>
      </c>
      <c r="BL160" s="119">
        <v>0.59</v>
      </c>
      <c r="BM160" s="120">
        <v>1.05</v>
      </c>
      <c r="BN160" s="118">
        <v>1.24</v>
      </c>
      <c r="BO160" s="118">
        <v>0.62</v>
      </c>
      <c r="BP160" s="118">
        <v>1.32</v>
      </c>
      <c r="BQ160" s="118">
        <v>3.07</v>
      </c>
      <c r="BR160" s="118">
        <v>0.82</v>
      </c>
      <c r="BS160" s="118">
        <v>2.78</v>
      </c>
      <c r="BT160" s="118">
        <v>0.91</v>
      </c>
      <c r="BU160" s="119">
        <v>1.02</v>
      </c>
      <c r="BV160" s="74">
        <v>2376000</v>
      </c>
      <c r="BW160" s="105">
        <v>150</v>
      </c>
      <c r="BX160" s="105">
        <v>1255</v>
      </c>
      <c r="BY160" s="157">
        <v>32.9</v>
      </c>
      <c r="BZ160" s="106">
        <v>8.1</v>
      </c>
      <c r="CA160" s="115">
        <v>7.2000000000000005E-4</v>
      </c>
      <c r="CB160" s="105">
        <v>386</v>
      </c>
      <c r="CC160" s="114">
        <v>0</v>
      </c>
      <c r="CD160" s="105">
        <v>386</v>
      </c>
      <c r="CE160" s="99">
        <f t="shared" si="8"/>
        <v>4.5959595959595961E-3</v>
      </c>
      <c r="CF160" s="100">
        <f t="shared" si="6"/>
        <v>0.44</v>
      </c>
    </row>
    <row r="161" spans="1:84" ht="24" x14ac:dyDescent="0.25">
      <c r="A161" s="101">
        <v>160</v>
      </c>
      <c r="B161" s="102"/>
      <c r="C161" s="103" t="s">
        <v>373</v>
      </c>
      <c r="D161" s="104">
        <v>1800</v>
      </c>
      <c r="E161" s="105">
        <v>1320</v>
      </c>
      <c r="F161" s="106">
        <f t="shared" si="7"/>
        <v>2376000</v>
      </c>
      <c r="G161" s="105">
        <v>150</v>
      </c>
      <c r="H161" s="105">
        <v>1255</v>
      </c>
      <c r="I161" s="107">
        <v>1.36</v>
      </c>
      <c r="J161" s="155">
        <v>24</v>
      </c>
      <c r="K161" s="156">
        <v>32.9</v>
      </c>
      <c r="L161" s="157">
        <v>32.9</v>
      </c>
      <c r="M161" s="158">
        <v>0.96</v>
      </c>
      <c r="N161" s="106">
        <v>15.6</v>
      </c>
      <c r="O161" s="112" t="s">
        <v>201</v>
      </c>
      <c r="P161" s="113" t="s">
        <v>211</v>
      </c>
      <c r="Q161" s="114">
        <v>3.9100000000000003E-3</v>
      </c>
      <c r="R161" s="115">
        <v>7.2000000000000005E-4</v>
      </c>
      <c r="S161" s="115">
        <v>7.2000000000000005E-4</v>
      </c>
      <c r="T161" s="105">
        <v>386</v>
      </c>
      <c r="U161" s="113" t="s">
        <v>212</v>
      </c>
      <c r="V161" s="114">
        <v>1.48E-3</v>
      </c>
      <c r="W161" s="105">
        <v>386</v>
      </c>
      <c r="X161" s="113" t="s">
        <v>212</v>
      </c>
      <c r="Y161" s="160">
        <v>0.98</v>
      </c>
      <c r="Z161" s="110">
        <v>0.5</v>
      </c>
      <c r="AA161" s="123" t="s">
        <v>212</v>
      </c>
      <c r="AB161" s="112" t="s">
        <v>212</v>
      </c>
      <c r="AC161" s="174">
        <v>2</v>
      </c>
      <c r="AD161" s="112" t="s">
        <v>224</v>
      </c>
      <c r="AE161" s="113">
        <v>0.85</v>
      </c>
      <c r="AF161" s="120">
        <v>0.45</v>
      </c>
      <c r="AG161" s="118">
        <v>0.27</v>
      </c>
      <c r="AH161" s="118">
        <v>0.25</v>
      </c>
      <c r="AI161" s="119">
        <v>0.97</v>
      </c>
      <c r="AJ161" s="120">
        <v>0.48</v>
      </c>
      <c r="AK161" s="118">
        <v>0.51</v>
      </c>
      <c r="AL161" s="118">
        <v>0</v>
      </c>
      <c r="AM161" s="119">
        <v>1</v>
      </c>
      <c r="AN161" s="120">
        <v>0.56000000000000005</v>
      </c>
      <c r="AO161" s="118">
        <v>0.37</v>
      </c>
      <c r="AP161" s="118">
        <v>0.59</v>
      </c>
      <c r="AQ161" s="119">
        <v>1.51</v>
      </c>
      <c r="AR161" s="120">
        <v>0.79</v>
      </c>
      <c r="AS161" s="118">
        <v>0.33</v>
      </c>
      <c r="AT161" s="118">
        <v>0.25</v>
      </c>
      <c r="AU161" s="119">
        <v>0.63</v>
      </c>
      <c r="AV161" s="120">
        <v>0.27</v>
      </c>
      <c r="AW161" s="118">
        <v>0.56999999999999995</v>
      </c>
      <c r="AX161" s="118">
        <v>0</v>
      </c>
      <c r="AY161" s="119">
        <v>0.84</v>
      </c>
      <c r="AZ161" s="120">
        <v>0.37</v>
      </c>
      <c r="BA161" s="118">
        <v>0.9</v>
      </c>
      <c r="BB161" s="118">
        <v>0.08</v>
      </c>
      <c r="BC161" s="119">
        <v>1.35</v>
      </c>
      <c r="BD161" s="121">
        <v>0.56000000000000005</v>
      </c>
      <c r="BE161" s="120">
        <v>0.71</v>
      </c>
      <c r="BF161" s="118">
        <v>0</v>
      </c>
      <c r="BG161" s="118">
        <v>0.23</v>
      </c>
      <c r="BH161" s="119">
        <v>0.93</v>
      </c>
      <c r="BI161" s="120">
        <v>0.48</v>
      </c>
      <c r="BJ161" s="118">
        <v>0.34</v>
      </c>
      <c r="BK161" s="118">
        <v>0.28999999999999998</v>
      </c>
      <c r="BL161" s="119">
        <v>1.1200000000000001</v>
      </c>
      <c r="BM161" s="120">
        <v>1.19</v>
      </c>
      <c r="BN161" s="118">
        <v>1.1499999999999999</v>
      </c>
      <c r="BO161" s="118">
        <v>0.76</v>
      </c>
      <c r="BP161" s="118">
        <v>1.82</v>
      </c>
      <c r="BQ161" s="118">
        <v>1.37</v>
      </c>
      <c r="BR161" s="118">
        <v>0.86</v>
      </c>
      <c r="BS161" s="118">
        <v>2.06</v>
      </c>
      <c r="BT161" s="118">
        <v>1.24</v>
      </c>
      <c r="BU161" s="119">
        <v>1.03</v>
      </c>
      <c r="BV161" s="74">
        <v>2376000</v>
      </c>
      <c r="BW161" s="105">
        <v>150</v>
      </c>
      <c r="BX161" s="105">
        <v>1255</v>
      </c>
      <c r="BY161" s="157">
        <v>32.9</v>
      </c>
      <c r="BZ161" s="106">
        <v>15.6</v>
      </c>
      <c r="CA161" s="115">
        <v>7.2000000000000005E-4</v>
      </c>
      <c r="CB161" s="105">
        <v>386</v>
      </c>
      <c r="CC161" s="114">
        <v>1.48E-3</v>
      </c>
      <c r="CD161" s="105">
        <v>386</v>
      </c>
      <c r="CE161" s="99">
        <f t="shared" si="8"/>
        <v>6.2626262626262631E-3</v>
      </c>
      <c r="CF161" s="100">
        <f t="shared" si="6"/>
        <v>0.85</v>
      </c>
    </row>
    <row r="162" spans="1:84" ht="24" x14ac:dyDescent="0.25">
      <c r="A162" s="101">
        <v>161</v>
      </c>
      <c r="B162" s="102"/>
      <c r="C162" s="103" t="s">
        <v>374</v>
      </c>
      <c r="D162" s="104">
        <v>1800</v>
      </c>
      <c r="E162" s="105">
        <v>1320</v>
      </c>
      <c r="F162" s="106">
        <f t="shared" si="7"/>
        <v>2376000</v>
      </c>
      <c r="G162" s="105">
        <v>150</v>
      </c>
      <c r="H162" s="105">
        <v>1255</v>
      </c>
      <c r="I162" s="107">
        <v>1.36</v>
      </c>
      <c r="J162" s="155">
        <v>24</v>
      </c>
      <c r="K162" s="156">
        <v>32.9</v>
      </c>
      <c r="L162" s="157">
        <v>32.9</v>
      </c>
      <c r="M162" s="158">
        <v>0.96</v>
      </c>
      <c r="N162" s="106">
        <v>15.6</v>
      </c>
      <c r="O162" s="112" t="s">
        <v>201</v>
      </c>
      <c r="P162" s="113" t="s">
        <v>211</v>
      </c>
      <c r="Q162" s="114">
        <v>3.9100000000000003E-3</v>
      </c>
      <c r="R162" s="115">
        <v>7.2000000000000005E-4</v>
      </c>
      <c r="S162" s="115">
        <v>7.2000000000000005E-4</v>
      </c>
      <c r="T162" s="105">
        <v>386</v>
      </c>
      <c r="U162" s="113" t="s">
        <v>212</v>
      </c>
      <c r="V162" s="114">
        <v>2.2200000000000002E-3</v>
      </c>
      <c r="W162" s="105">
        <v>386</v>
      </c>
      <c r="X162" s="113" t="s">
        <v>212</v>
      </c>
      <c r="Y162" s="160">
        <v>0.98</v>
      </c>
      <c r="Z162" s="110">
        <v>0.5</v>
      </c>
      <c r="AA162" s="123" t="s">
        <v>212</v>
      </c>
      <c r="AB162" s="112" t="s">
        <v>212</v>
      </c>
      <c r="AC162" s="174">
        <v>2</v>
      </c>
      <c r="AD162" s="112" t="s">
        <v>224</v>
      </c>
      <c r="AE162" s="113">
        <v>0.93</v>
      </c>
      <c r="AF162" s="120">
        <v>0.45</v>
      </c>
      <c r="AG162" s="118">
        <v>0.41</v>
      </c>
      <c r="AH162" s="118">
        <v>0.25</v>
      </c>
      <c r="AI162" s="119">
        <v>1.1000000000000001</v>
      </c>
      <c r="AJ162" s="120">
        <v>0.48</v>
      </c>
      <c r="AK162" s="118">
        <v>0.77</v>
      </c>
      <c r="AL162" s="118">
        <v>0</v>
      </c>
      <c r="AM162" s="119">
        <v>1.25</v>
      </c>
      <c r="AN162" s="120">
        <v>0.56000000000000005</v>
      </c>
      <c r="AO162" s="118">
        <v>0.55000000000000004</v>
      </c>
      <c r="AP162" s="118">
        <v>0.59</v>
      </c>
      <c r="AQ162" s="119">
        <v>1.69</v>
      </c>
      <c r="AR162" s="120">
        <v>0.79</v>
      </c>
      <c r="AS162" s="118">
        <v>0.49</v>
      </c>
      <c r="AT162" s="118">
        <v>0.25</v>
      </c>
      <c r="AU162" s="119">
        <v>0.63</v>
      </c>
      <c r="AV162" s="120">
        <v>0.27</v>
      </c>
      <c r="AW162" s="118">
        <v>0.86</v>
      </c>
      <c r="AX162" s="118">
        <v>0</v>
      </c>
      <c r="AY162" s="119">
        <v>1.1299999999999999</v>
      </c>
      <c r="AZ162" s="120">
        <v>0.37</v>
      </c>
      <c r="BA162" s="118">
        <v>1.02</v>
      </c>
      <c r="BB162" s="118">
        <v>0.08</v>
      </c>
      <c r="BC162" s="119">
        <v>1.47</v>
      </c>
      <c r="BD162" s="121">
        <v>0.56000000000000005</v>
      </c>
      <c r="BE162" s="120">
        <v>0.71</v>
      </c>
      <c r="BF162" s="118">
        <v>0</v>
      </c>
      <c r="BG162" s="118">
        <v>0.23</v>
      </c>
      <c r="BH162" s="119">
        <v>0.93</v>
      </c>
      <c r="BI162" s="120">
        <v>0.48</v>
      </c>
      <c r="BJ162" s="118">
        <v>0.22</v>
      </c>
      <c r="BK162" s="118">
        <v>0.28999999999999998</v>
      </c>
      <c r="BL162" s="119">
        <v>1</v>
      </c>
      <c r="BM162" s="120">
        <v>1.1499999999999999</v>
      </c>
      <c r="BN162" s="118">
        <v>1.01</v>
      </c>
      <c r="BO162" s="118">
        <v>0.75</v>
      </c>
      <c r="BP162" s="118">
        <v>2.0099999999999998</v>
      </c>
      <c r="BQ162" s="118">
        <v>1.1200000000000001</v>
      </c>
      <c r="BR162" s="118">
        <v>0.86</v>
      </c>
      <c r="BS162" s="118">
        <v>2.27</v>
      </c>
      <c r="BT162" s="118">
        <v>1.36</v>
      </c>
      <c r="BU162" s="119">
        <v>1.27</v>
      </c>
      <c r="BV162" s="74">
        <v>2376000</v>
      </c>
      <c r="BW162" s="105">
        <v>150</v>
      </c>
      <c r="BX162" s="105">
        <v>1255</v>
      </c>
      <c r="BY162" s="157">
        <v>32.9</v>
      </c>
      <c r="BZ162" s="106">
        <v>15.6</v>
      </c>
      <c r="CA162" s="115">
        <v>7.2000000000000005E-4</v>
      </c>
      <c r="CB162" s="105">
        <v>386</v>
      </c>
      <c r="CC162" s="114">
        <v>2.2200000000000002E-3</v>
      </c>
      <c r="CD162" s="105">
        <v>386</v>
      </c>
      <c r="CE162" s="99">
        <f t="shared" si="8"/>
        <v>6.8686868686868695E-3</v>
      </c>
      <c r="CF162" s="100">
        <f t="shared" si="6"/>
        <v>0.93</v>
      </c>
    </row>
    <row r="163" spans="1:84" ht="24" x14ac:dyDescent="0.25">
      <c r="A163" s="101">
        <v>162</v>
      </c>
      <c r="B163" s="102"/>
      <c r="C163" s="103" t="s">
        <v>375</v>
      </c>
      <c r="D163" s="104">
        <v>1800</v>
      </c>
      <c r="E163" s="105">
        <v>1970</v>
      </c>
      <c r="F163" s="106">
        <f t="shared" si="7"/>
        <v>3546000</v>
      </c>
      <c r="G163" s="105">
        <v>150</v>
      </c>
      <c r="H163" s="105">
        <v>1880</v>
      </c>
      <c r="I163" s="107">
        <v>0.91</v>
      </c>
      <c r="J163" s="155">
        <v>24</v>
      </c>
      <c r="K163" s="156">
        <v>32.9</v>
      </c>
      <c r="L163" s="157">
        <v>32.9</v>
      </c>
      <c r="M163" s="158">
        <v>0.64</v>
      </c>
      <c r="N163" s="106">
        <v>8.8000000000000007</v>
      </c>
      <c r="O163" s="112" t="s">
        <v>201</v>
      </c>
      <c r="P163" s="113" t="s">
        <v>211</v>
      </c>
      <c r="Q163" s="114">
        <v>2.6099999999999999E-3</v>
      </c>
      <c r="R163" s="115">
        <v>9.6000000000000002E-4</v>
      </c>
      <c r="S163" s="115">
        <v>9.6000000000000002E-4</v>
      </c>
      <c r="T163" s="105">
        <v>386</v>
      </c>
      <c r="U163" s="113" t="s">
        <v>212</v>
      </c>
      <c r="V163" s="114">
        <v>1.48E-3</v>
      </c>
      <c r="W163" s="105">
        <v>386</v>
      </c>
      <c r="X163" s="113" t="s">
        <v>212</v>
      </c>
      <c r="Y163" s="160">
        <v>0.49</v>
      </c>
      <c r="Z163" s="110">
        <v>0.5</v>
      </c>
      <c r="AA163" s="123" t="s">
        <v>212</v>
      </c>
      <c r="AB163" s="112" t="s">
        <v>212</v>
      </c>
      <c r="AC163" s="174">
        <v>2</v>
      </c>
      <c r="AD163" s="112" t="s">
        <v>224</v>
      </c>
      <c r="AE163" s="113">
        <v>0.79</v>
      </c>
      <c r="AF163" s="120">
        <v>0.39</v>
      </c>
      <c r="AG163" s="118">
        <v>0.27</v>
      </c>
      <c r="AH163" s="118">
        <v>0.12</v>
      </c>
      <c r="AI163" s="119">
        <v>0.78</v>
      </c>
      <c r="AJ163" s="120">
        <v>0.35</v>
      </c>
      <c r="AK163" s="118">
        <v>0.51</v>
      </c>
      <c r="AL163" s="118">
        <v>0</v>
      </c>
      <c r="AM163" s="119">
        <v>0.86</v>
      </c>
      <c r="AN163" s="120">
        <v>0.48</v>
      </c>
      <c r="AO163" s="118">
        <v>0.37</v>
      </c>
      <c r="AP163" s="118">
        <v>0.44</v>
      </c>
      <c r="AQ163" s="119">
        <v>1.28</v>
      </c>
      <c r="AR163" s="120">
        <v>0.7</v>
      </c>
      <c r="AS163" s="118">
        <v>0.33</v>
      </c>
      <c r="AT163" s="118">
        <v>0.12</v>
      </c>
      <c r="AU163" s="119">
        <v>0.47</v>
      </c>
      <c r="AV163" s="120">
        <v>0.25</v>
      </c>
      <c r="AW163" s="118">
        <v>0.56999999999999995</v>
      </c>
      <c r="AX163" s="118">
        <v>0</v>
      </c>
      <c r="AY163" s="119">
        <v>0.82</v>
      </c>
      <c r="AZ163" s="120">
        <v>0.27</v>
      </c>
      <c r="BA163" s="118">
        <v>0.96</v>
      </c>
      <c r="BB163" s="118">
        <v>0.04</v>
      </c>
      <c r="BC163" s="119">
        <v>1.27</v>
      </c>
      <c r="BD163" s="121">
        <v>0.45</v>
      </c>
      <c r="BE163" s="120">
        <v>0.7</v>
      </c>
      <c r="BF163" s="118">
        <v>0</v>
      </c>
      <c r="BG163" s="118">
        <v>0.11</v>
      </c>
      <c r="BH163" s="119">
        <v>0.81</v>
      </c>
      <c r="BI163" s="120">
        <v>0.32</v>
      </c>
      <c r="BJ163" s="118">
        <v>0.34</v>
      </c>
      <c r="BK163" s="118">
        <v>0.15</v>
      </c>
      <c r="BL163" s="119">
        <v>0.81</v>
      </c>
      <c r="BM163" s="120">
        <v>0.91</v>
      </c>
      <c r="BN163" s="118">
        <v>0.83</v>
      </c>
      <c r="BO163" s="118">
        <v>0.56000000000000005</v>
      </c>
      <c r="BP163" s="118">
        <v>1.51</v>
      </c>
      <c r="BQ163" s="118">
        <v>0.87</v>
      </c>
      <c r="BR163" s="118">
        <v>0.56999999999999995</v>
      </c>
      <c r="BS163" s="118">
        <v>1.6</v>
      </c>
      <c r="BT163" s="118">
        <v>0.88</v>
      </c>
      <c r="BU163" s="119">
        <v>0.89</v>
      </c>
      <c r="BV163" s="74">
        <v>3546000</v>
      </c>
      <c r="BW163" s="105">
        <v>150</v>
      </c>
      <c r="BX163" s="105">
        <v>1880</v>
      </c>
      <c r="BY163" s="157">
        <v>32.9</v>
      </c>
      <c r="BZ163" s="106">
        <v>8.8000000000000007</v>
      </c>
      <c r="CA163" s="115">
        <v>9.6000000000000002E-4</v>
      </c>
      <c r="CB163" s="105">
        <v>386</v>
      </c>
      <c r="CC163" s="114">
        <v>1.48E-3</v>
      </c>
      <c r="CD163" s="105">
        <v>386</v>
      </c>
      <c r="CE163" s="99">
        <f t="shared" si="8"/>
        <v>2.9780033840947546E-3</v>
      </c>
      <c r="CF163" s="100">
        <f t="shared" si="6"/>
        <v>0.79</v>
      </c>
    </row>
    <row r="164" spans="1:84" ht="24" x14ac:dyDescent="0.25">
      <c r="A164" s="101">
        <v>163</v>
      </c>
      <c r="B164" s="102"/>
      <c r="C164" s="103" t="s">
        <v>376</v>
      </c>
      <c r="D164" s="104">
        <v>1800</v>
      </c>
      <c r="E164" s="105">
        <v>1970</v>
      </c>
      <c r="F164" s="106">
        <f t="shared" si="7"/>
        <v>3546000</v>
      </c>
      <c r="G164" s="105">
        <v>150</v>
      </c>
      <c r="H164" s="105">
        <v>1880</v>
      </c>
      <c r="I164" s="107">
        <v>0.91</v>
      </c>
      <c r="J164" s="155">
        <v>24</v>
      </c>
      <c r="K164" s="156">
        <v>32.9</v>
      </c>
      <c r="L164" s="157">
        <v>32.9</v>
      </c>
      <c r="M164" s="158">
        <v>0.64</v>
      </c>
      <c r="N164" s="106">
        <v>8.8000000000000007</v>
      </c>
      <c r="O164" s="112" t="s">
        <v>201</v>
      </c>
      <c r="P164" s="113" t="s">
        <v>211</v>
      </c>
      <c r="Q164" s="114">
        <v>2.6099999999999999E-3</v>
      </c>
      <c r="R164" s="115">
        <v>9.6000000000000002E-4</v>
      </c>
      <c r="S164" s="115">
        <v>9.6000000000000002E-4</v>
      </c>
      <c r="T164" s="105">
        <v>386</v>
      </c>
      <c r="U164" s="113" t="s">
        <v>212</v>
      </c>
      <c r="V164" s="114">
        <v>1.48E-3</v>
      </c>
      <c r="W164" s="105">
        <v>386</v>
      </c>
      <c r="X164" s="113" t="s">
        <v>212</v>
      </c>
      <c r="Y164" s="160">
        <v>0.49</v>
      </c>
      <c r="Z164" s="110">
        <v>0.5</v>
      </c>
      <c r="AA164" s="123" t="s">
        <v>212</v>
      </c>
      <c r="AB164" s="112" t="s">
        <v>212</v>
      </c>
      <c r="AC164" s="174">
        <v>2</v>
      </c>
      <c r="AD164" s="112" t="s">
        <v>224</v>
      </c>
      <c r="AE164" s="113">
        <v>0.76</v>
      </c>
      <c r="AF164" s="120">
        <v>0.39</v>
      </c>
      <c r="AG164" s="118">
        <v>0.27</v>
      </c>
      <c r="AH164" s="118">
        <v>0.12</v>
      </c>
      <c r="AI164" s="119">
        <v>0.78</v>
      </c>
      <c r="AJ164" s="120">
        <v>0.35</v>
      </c>
      <c r="AK164" s="118">
        <v>0.51</v>
      </c>
      <c r="AL164" s="118">
        <v>0</v>
      </c>
      <c r="AM164" s="119">
        <v>0.86</v>
      </c>
      <c r="AN164" s="120">
        <v>0.48</v>
      </c>
      <c r="AO164" s="118">
        <v>0.37</v>
      </c>
      <c r="AP164" s="118">
        <v>0.44</v>
      </c>
      <c r="AQ164" s="119">
        <v>1.28</v>
      </c>
      <c r="AR164" s="120">
        <v>0.7</v>
      </c>
      <c r="AS164" s="118">
        <v>0.33</v>
      </c>
      <c r="AT164" s="118">
        <v>0.12</v>
      </c>
      <c r="AU164" s="119">
        <v>0.47</v>
      </c>
      <c r="AV164" s="120">
        <v>0.25</v>
      </c>
      <c r="AW164" s="118">
        <v>0.56999999999999995</v>
      </c>
      <c r="AX164" s="118">
        <v>0</v>
      </c>
      <c r="AY164" s="119">
        <v>0.82</v>
      </c>
      <c r="AZ164" s="120">
        <v>0.27</v>
      </c>
      <c r="BA164" s="118">
        <v>0.96</v>
      </c>
      <c r="BB164" s="118">
        <v>0.04</v>
      </c>
      <c r="BC164" s="119">
        <v>1.27</v>
      </c>
      <c r="BD164" s="121">
        <v>0.45</v>
      </c>
      <c r="BE164" s="120">
        <v>0.7</v>
      </c>
      <c r="BF164" s="118">
        <v>0</v>
      </c>
      <c r="BG164" s="118">
        <v>0.11</v>
      </c>
      <c r="BH164" s="119">
        <v>0.81</v>
      </c>
      <c r="BI164" s="120">
        <v>0.32</v>
      </c>
      <c r="BJ164" s="118">
        <v>0.34</v>
      </c>
      <c r="BK164" s="118">
        <v>0.15</v>
      </c>
      <c r="BL164" s="119">
        <v>0.81</v>
      </c>
      <c r="BM164" s="120">
        <v>0.89</v>
      </c>
      <c r="BN164" s="118">
        <v>0.81</v>
      </c>
      <c r="BO164" s="118">
        <v>0.54</v>
      </c>
      <c r="BP164" s="118">
        <v>1.46</v>
      </c>
      <c r="BQ164" s="118">
        <v>0.85</v>
      </c>
      <c r="BR164" s="118">
        <v>0.55000000000000004</v>
      </c>
      <c r="BS164" s="118">
        <v>1.55</v>
      </c>
      <c r="BT164" s="118">
        <v>0.85</v>
      </c>
      <c r="BU164" s="119">
        <v>0.86</v>
      </c>
      <c r="BV164" s="74">
        <v>3546000</v>
      </c>
      <c r="BW164" s="105">
        <v>150</v>
      </c>
      <c r="BX164" s="105">
        <v>1880</v>
      </c>
      <c r="BY164" s="157">
        <v>32.9</v>
      </c>
      <c r="BZ164" s="106">
        <v>8.8000000000000007</v>
      </c>
      <c r="CA164" s="115">
        <v>9.6000000000000002E-4</v>
      </c>
      <c r="CB164" s="105">
        <v>386</v>
      </c>
      <c r="CC164" s="114">
        <v>1.48E-3</v>
      </c>
      <c r="CD164" s="105">
        <v>386</v>
      </c>
      <c r="CE164" s="99">
        <f t="shared" si="8"/>
        <v>2.8764805414551609E-3</v>
      </c>
      <c r="CF164" s="100">
        <f t="shared" si="6"/>
        <v>0.76</v>
      </c>
    </row>
    <row r="165" spans="1:84" ht="24" x14ac:dyDescent="0.25">
      <c r="A165" s="101">
        <v>164</v>
      </c>
      <c r="B165" s="102"/>
      <c r="C165" s="103" t="s">
        <v>377</v>
      </c>
      <c r="D165" s="104">
        <v>1800</v>
      </c>
      <c r="E165" s="105">
        <v>1770</v>
      </c>
      <c r="F165" s="106">
        <f t="shared" si="7"/>
        <v>3186000</v>
      </c>
      <c r="G165" s="105">
        <v>150</v>
      </c>
      <c r="H165" s="105">
        <v>1680</v>
      </c>
      <c r="I165" s="107">
        <v>1.02</v>
      </c>
      <c r="J165" s="155">
        <v>24</v>
      </c>
      <c r="K165" s="156">
        <v>32.9</v>
      </c>
      <c r="L165" s="157">
        <v>32.9</v>
      </c>
      <c r="M165" s="158">
        <v>0.64</v>
      </c>
      <c r="N165" s="106">
        <v>8.8000000000000007</v>
      </c>
      <c r="O165" s="112" t="s">
        <v>201</v>
      </c>
      <c r="P165" s="113" t="s">
        <v>211</v>
      </c>
      <c r="Q165" s="114">
        <v>2.4199999999999998E-3</v>
      </c>
      <c r="R165" s="115">
        <v>8.0000000000000004E-4</v>
      </c>
      <c r="S165" s="115">
        <v>8.0000000000000004E-4</v>
      </c>
      <c r="T165" s="105">
        <v>386</v>
      </c>
      <c r="U165" s="113" t="s">
        <v>212</v>
      </c>
      <c r="V165" s="114">
        <v>1.48E-3</v>
      </c>
      <c r="W165" s="105">
        <v>386</v>
      </c>
      <c r="X165" s="113" t="s">
        <v>212</v>
      </c>
      <c r="Y165" s="160">
        <v>0.49</v>
      </c>
      <c r="Z165" s="110">
        <v>0.5</v>
      </c>
      <c r="AA165" s="123" t="s">
        <v>212</v>
      </c>
      <c r="AB165" s="112" t="s">
        <v>212</v>
      </c>
      <c r="AC165" s="174">
        <v>2</v>
      </c>
      <c r="AD165" s="112" t="s">
        <v>224</v>
      </c>
      <c r="AE165" s="113">
        <v>0.74</v>
      </c>
      <c r="AF165" s="120">
        <v>0.38</v>
      </c>
      <c r="AG165" s="118">
        <v>0.27</v>
      </c>
      <c r="AH165" s="118">
        <v>0.12</v>
      </c>
      <c r="AI165" s="119">
        <v>0.77</v>
      </c>
      <c r="AJ165" s="120">
        <v>0.35</v>
      </c>
      <c r="AK165" s="118">
        <v>0.51</v>
      </c>
      <c r="AL165" s="118">
        <v>0</v>
      </c>
      <c r="AM165" s="119">
        <v>0.86</v>
      </c>
      <c r="AN165" s="120">
        <v>0.46</v>
      </c>
      <c r="AO165" s="118">
        <v>0.37</v>
      </c>
      <c r="AP165" s="118">
        <v>0.39</v>
      </c>
      <c r="AQ165" s="119">
        <v>1.22</v>
      </c>
      <c r="AR165" s="120">
        <v>0.67</v>
      </c>
      <c r="AS165" s="118">
        <v>0.32</v>
      </c>
      <c r="AT165" s="118">
        <v>0.12</v>
      </c>
      <c r="AU165" s="119">
        <v>0.47</v>
      </c>
      <c r="AV165" s="120">
        <v>0.24</v>
      </c>
      <c r="AW165" s="118">
        <v>0.56999999999999995</v>
      </c>
      <c r="AX165" s="118">
        <v>0</v>
      </c>
      <c r="AY165" s="119">
        <v>0.81</v>
      </c>
      <c r="AZ165" s="120">
        <v>0.26</v>
      </c>
      <c r="BA165" s="118">
        <v>0.92</v>
      </c>
      <c r="BB165" s="118">
        <v>0.04</v>
      </c>
      <c r="BC165" s="119">
        <v>1.22</v>
      </c>
      <c r="BD165" s="121">
        <v>0.44</v>
      </c>
      <c r="BE165" s="120">
        <v>0.63</v>
      </c>
      <c r="BF165" s="118">
        <v>0</v>
      </c>
      <c r="BG165" s="118">
        <v>0.11</v>
      </c>
      <c r="BH165" s="119">
        <v>0.74</v>
      </c>
      <c r="BI165" s="120">
        <v>0.32</v>
      </c>
      <c r="BJ165" s="118">
        <v>0.34</v>
      </c>
      <c r="BK165" s="118">
        <v>0.15</v>
      </c>
      <c r="BL165" s="119">
        <v>0.81</v>
      </c>
      <c r="BM165" s="120">
        <v>0.98</v>
      </c>
      <c r="BN165" s="118">
        <v>0.87</v>
      </c>
      <c r="BO165" s="118">
        <v>0.62</v>
      </c>
      <c r="BP165" s="118">
        <v>1.58</v>
      </c>
      <c r="BQ165" s="118">
        <v>0.93</v>
      </c>
      <c r="BR165" s="118">
        <v>0.62</v>
      </c>
      <c r="BS165" s="118">
        <v>1.71</v>
      </c>
      <c r="BT165" s="118">
        <v>1.02</v>
      </c>
      <c r="BU165" s="119">
        <v>0.93</v>
      </c>
      <c r="BV165" s="74">
        <v>3186000</v>
      </c>
      <c r="BW165" s="105">
        <v>150</v>
      </c>
      <c r="BX165" s="105">
        <v>1680</v>
      </c>
      <c r="BY165" s="157">
        <v>32.9</v>
      </c>
      <c r="BZ165" s="106">
        <v>8.8000000000000007</v>
      </c>
      <c r="CA165" s="115">
        <v>8.0000000000000004E-4</v>
      </c>
      <c r="CB165" s="105">
        <v>386</v>
      </c>
      <c r="CC165" s="114">
        <v>1.48E-3</v>
      </c>
      <c r="CD165" s="105">
        <v>386</v>
      </c>
      <c r="CE165" s="99">
        <f t="shared" si="8"/>
        <v>3.8418079096045198E-3</v>
      </c>
      <c r="CF165" s="100">
        <f t="shared" si="6"/>
        <v>0.74</v>
      </c>
    </row>
    <row r="166" spans="1:84" ht="24" x14ac:dyDescent="0.25">
      <c r="A166" s="101">
        <v>165</v>
      </c>
      <c r="B166" s="102"/>
      <c r="C166" s="103" t="s">
        <v>378</v>
      </c>
      <c r="D166" s="104">
        <v>1800</v>
      </c>
      <c r="E166" s="105">
        <v>1370</v>
      </c>
      <c r="F166" s="106">
        <f t="shared" si="7"/>
        <v>2466000</v>
      </c>
      <c r="G166" s="105">
        <v>150</v>
      </c>
      <c r="H166" s="105">
        <v>1280</v>
      </c>
      <c r="I166" s="107">
        <v>1.31</v>
      </c>
      <c r="J166" s="155">
        <v>24</v>
      </c>
      <c r="K166" s="156">
        <v>32.9</v>
      </c>
      <c r="L166" s="157">
        <v>32.9</v>
      </c>
      <c r="M166" s="158">
        <v>0.64</v>
      </c>
      <c r="N166" s="106">
        <v>8.8000000000000007</v>
      </c>
      <c r="O166" s="112" t="s">
        <v>201</v>
      </c>
      <c r="P166" s="113" t="s">
        <v>211</v>
      </c>
      <c r="Q166" s="114">
        <v>2.47E-3</v>
      </c>
      <c r="R166" s="115">
        <v>6.8999999999999997E-4</v>
      </c>
      <c r="S166" s="115">
        <v>6.8999999999999997E-4</v>
      </c>
      <c r="T166" s="105">
        <v>386</v>
      </c>
      <c r="U166" s="113" t="s">
        <v>212</v>
      </c>
      <c r="V166" s="114">
        <v>1.48E-3</v>
      </c>
      <c r="W166" s="105">
        <v>386</v>
      </c>
      <c r="X166" s="113" t="s">
        <v>212</v>
      </c>
      <c r="Y166" s="160">
        <v>0.49</v>
      </c>
      <c r="Z166" s="110">
        <v>0.5</v>
      </c>
      <c r="AA166" s="123" t="s">
        <v>212</v>
      </c>
      <c r="AB166" s="112" t="s">
        <v>212</v>
      </c>
      <c r="AC166" s="174">
        <v>2</v>
      </c>
      <c r="AD166" s="112" t="s">
        <v>224</v>
      </c>
      <c r="AE166" s="113">
        <v>0.71</v>
      </c>
      <c r="AF166" s="120">
        <v>0.34</v>
      </c>
      <c r="AG166" s="118">
        <v>0.27</v>
      </c>
      <c r="AH166" s="118">
        <v>0.12</v>
      </c>
      <c r="AI166" s="119">
        <v>0.73</v>
      </c>
      <c r="AJ166" s="120">
        <v>0.35</v>
      </c>
      <c r="AK166" s="118">
        <v>0.51</v>
      </c>
      <c r="AL166" s="118">
        <v>0</v>
      </c>
      <c r="AM166" s="119">
        <v>0.86</v>
      </c>
      <c r="AN166" s="120">
        <v>0.42</v>
      </c>
      <c r="AO166" s="118">
        <v>0.37</v>
      </c>
      <c r="AP166" s="118">
        <v>0.3</v>
      </c>
      <c r="AQ166" s="119">
        <v>1.0900000000000001</v>
      </c>
      <c r="AR166" s="120">
        <v>0.6</v>
      </c>
      <c r="AS166" s="118">
        <v>0.32</v>
      </c>
      <c r="AT166" s="118">
        <v>0.12</v>
      </c>
      <c r="AU166" s="119">
        <v>0.47</v>
      </c>
      <c r="AV166" s="120">
        <v>0.21</v>
      </c>
      <c r="AW166" s="118">
        <v>0.56999999999999995</v>
      </c>
      <c r="AX166" s="118">
        <v>0</v>
      </c>
      <c r="AY166" s="119">
        <v>0.78</v>
      </c>
      <c r="AZ166" s="120">
        <v>0.26</v>
      </c>
      <c r="BA166" s="118">
        <v>0.88</v>
      </c>
      <c r="BB166" s="118">
        <v>0.04</v>
      </c>
      <c r="BC166" s="119">
        <v>1.17</v>
      </c>
      <c r="BD166" s="121">
        <v>0.42</v>
      </c>
      <c r="BE166" s="120">
        <v>0.49</v>
      </c>
      <c r="BF166" s="118">
        <v>0</v>
      </c>
      <c r="BG166" s="118">
        <v>0.11</v>
      </c>
      <c r="BH166" s="119">
        <v>0.6</v>
      </c>
      <c r="BI166" s="120">
        <v>0.32</v>
      </c>
      <c r="BJ166" s="118">
        <v>0.34</v>
      </c>
      <c r="BK166" s="118">
        <v>0.15</v>
      </c>
      <c r="BL166" s="119">
        <v>0.81</v>
      </c>
      <c r="BM166" s="120">
        <v>1.28</v>
      </c>
      <c r="BN166" s="118">
        <v>1.08</v>
      </c>
      <c r="BO166" s="118">
        <v>0.86</v>
      </c>
      <c r="BP166" s="118">
        <v>1.96</v>
      </c>
      <c r="BQ166" s="118">
        <v>1.2</v>
      </c>
      <c r="BR166" s="118">
        <v>0.79</v>
      </c>
      <c r="BS166" s="118">
        <v>2.2200000000000002</v>
      </c>
      <c r="BT166" s="118">
        <v>1.56</v>
      </c>
      <c r="BU166" s="119">
        <v>1.1499999999999999</v>
      </c>
      <c r="BV166" s="74">
        <v>2466000</v>
      </c>
      <c r="BW166" s="105">
        <v>150</v>
      </c>
      <c r="BX166" s="105">
        <v>1280</v>
      </c>
      <c r="BY166" s="157">
        <v>32.9</v>
      </c>
      <c r="BZ166" s="106">
        <v>8.8000000000000007</v>
      </c>
      <c r="CA166" s="115">
        <v>6.8999999999999997E-4</v>
      </c>
      <c r="CB166" s="105">
        <v>386</v>
      </c>
      <c r="CC166" s="114">
        <v>1.48E-3</v>
      </c>
      <c r="CD166" s="105">
        <v>386</v>
      </c>
      <c r="CE166" s="99">
        <f t="shared" si="8"/>
        <v>7.5912408759124094E-3</v>
      </c>
      <c r="CF166" s="100">
        <f t="shared" si="6"/>
        <v>0.71</v>
      </c>
    </row>
    <row r="167" spans="1:84" ht="24" x14ac:dyDescent="0.25">
      <c r="A167" s="101">
        <v>166</v>
      </c>
      <c r="B167" s="102"/>
      <c r="C167" s="103" t="s">
        <v>379</v>
      </c>
      <c r="D167" s="104">
        <v>1800</v>
      </c>
      <c r="E167" s="105">
        <v>970</v>
      </c>
      <c r="F167" s="106">
        <f t="shared" si="7"/>
        <v>1746000</v>
      </c>
      <c r="G167" s="105">
        <v>150</v>
      </c>
      <c r="H167" s="105">
        <v>880</v>
      </c>
      <c r="I167" s="107">
        <v>1.86</v>
      </c>
      <c r="J167" s="155">
        <v>24</v>
      </c>
      <c r="K167" s="156">
        <v>32.9</v>
      </c>
      <c r="L167" s="157">
        <v>32.9</v>
      </c>
      <c r="M167" s="158">
        <v>0.64</v>
      </c>
      <c r="N167" s="106">
        <v>8.8000000000000007</v>
      </c>
      <c r="O167" s="112" t="s">
        <v>201</v>
      </c>
      <c r="P167" s="113" t="s">
        <v>211</v>
      </c>
      <c r="Q167" s="114">
        <v>2.66E-3</v>
      </c>
      <c r="R167" s="115">
        <v>4.8999999999999998E-4</v>
      </c>
      <c r="S167" s="115">
        <v>4.8999999999999998E-4</v>
      </c>
      <c r="T167" s="105">
        <v>386</v>
      </c>
      <c r="U167" s="113" t="s">
        <v>212</v>
      </c>
      <c r="V167" s="114">
        <v>1.48E-3</v>
      </c>
      <c r="W167" s="105">
        <v>386</v>
      </c>
      <c r="X167" s="113" t="s">
        <v>212</v>
      </c>
      <c r="Y167" s="160">
        <v>0.49</v>
      </c>
      <c r="Z167" s="110">
        <v>0.5</v>
      </c>
      <c r="AA167" s="123" t="s">
        <v>212</v>
      </c>
      <c r="AB167" s="112" t="s">
        <v>212</v>
      </c>
      <c r="AC167" s="174">
        <v>2</v>
      </c>
      <c r="AD167" s="112" t="s">
        <v>224</v>
      </c>
      <c r="AE167" s="113">
        <v>0.54</v>
      </c>
      <c r="AF167" s="120">
        <v>0.28000000000000003</v>
      </c>
      <c r="AG167" s="118">
        <v>0.26</v>
      </c>
      <c r="AH167" s="118">
        <v>0.12</v>
      </c>
      <c r="AI167" s="119">
        <v>0.66</v>
      </c>
      <c r="AJ167" s="120">
        <v>0.35</v>
      </c>
      <c r="AK167" s="118">
        <v>0.51</v>
      </c>
      <c r="AL167" s="118">
        <v>0</v>
      </c>
      <c r="AM167" s="119">
        <v>0.86</v>
      </c>
      <c r="AN167" s="120">
        <v>0.35</v>
      </c>
      <c r="AO167" s="118">
        <v>0.37</v>
      </c>
      <c r="AP167" s="118">
        <v>0.21</v>
      </c>
      <c r="AQ167" s="119">
        <v>0.92</v>
      </c>
      <c r="AR167" s="120">
        <v>0.46</v>
      </c>
      <c r="AS167" s="118">
        <v>0.31</v>
      </c>
      <c r="AT167" s="118">
        <v>0.12</v>
      </c>
      <c r="AU167" s="119">
        <v>0.47</v>
      </c>
      <c r="AV167" s="120">
        <v>0.15</v>
      </c>
      <c r="AW167" s="118">
        <v>0.56999999999999995</v>
      </c>
      <c r="AX167" s="118">
        <v>0</v>
      </c>
      <c r="AY167" s="119">
        <v>0.72</v>
      </c>
      <c r="AZ167" s="120">
        <v>0.25</v>
      </c>
      <c r="BA167" s="118">
        <v>0.8</v>
      </c>
      <c r="BB167" s="118">
        <v>0.04</v>
      </c>
      <c r="BC167" s="119">
        <v>1.0900000000000001</v>
      </c>
      <c r="BD167" s="121">
        <v>0.39</v>
      </c>
      <c r="BE167" s="120">
        <v>0.34</v>
      </c>
      <c r="BF167" s="118">
        <v>0</v>
      </c>
      <c r="BG167" s="118">
        <v>0.11</v>
      </c>
      <c r="BH167" s="119">
        <v>0.46</v>
      </c>
      <c r="BI167" s="120">
        <v>0.32</v>
      </c>
      <c r="BJ167" s="118">
        <v>0.34</v>
      </c>
      <c r="BK167" s="118">
        <v>0.15</v>
      </c>
      <c r="BL167" s="119">
        <v>0.81</v>
      </c>
      <c r="BM167" s="120">
        <v>1.52</v>
      </c>
      <c r="BN167" s="118">
        <v>1.1599999999999999</v>
      </c>
      <c r="BO167" s="118">
        <v>1.0900000000000001</v>
      </c>
      <c r="BP167" s="118">
        <v>2.11</v>
      </c>
      <c r="BQ167" s="118">
        <v>1.39</v>
      </c>
      <c r="BR167" s="118">
        <v>0.92</v>
      </c>
      <c r="BS167" s="118">
        <v>2.6</v>
      </c>
      <c r="BT167" s="118">
        <v>2.19</v>
      </c>
      <c r="BU167" s="119">
        <v>1.24</v>
      </c>
      <c r="BV167" s="74">
        <v>1746000</v>
      </c>
      <c r="BW167" s="105">
        <v>150</v>
      </c>
      <c r="BX167" s="105">
        <v>880</v>
      </c>
      <c r="BY167" s="157">
        <v>32.9</v>
      </c>
      <c r="BZ167" s="106">
        <v>8.8000000000000007</v>
      </c>
      <c r="CA167" s="115">
        <v>4.8999999999999998E-4</v>
      </c>
      <c r="CB167" s="105">
        <v>386</v>
      </c>
      <c r="CC167" s="114">
        <v>1.48E-3</v>
      </c>
      <c r="CD167" s="105">
        <v>386</v>
      </c>
      <c r="CE167" s="99">
        <f t="shared" si="8"/>
        <v>1.5051546391752576E-2</v>
      </c>
      <c r="CF167" s="100">
        <f t="shared" si="6"/>
        <v>0.54</v>
      </c>
    </row>
    <row r="168" spans="1:84" ht="24" x14ac:dyDescent="0.25">
      <c r="A168" s="101">
        <v>167</v>
      </c>
      <c r="B168" s="102"/>
      <c r="C168" s="103" t="s">
        <v>380</v>
      </c>
      <c r="D168" s="104">
        <v>1800</v>
      </c>
      <c r="E168" s="105">
        <v>970</v>
      </c>
      <c r="F168" s="106">
        <f t="shared" si="7"/>
        <v>1746000</v>
      </c>
      <c r="G168" s="105">
        <v>150</v>
      </c>
      <c r="H168" s="105">
        <v>880</v>
      </c>
      <c r="I168" s="107">
        <v>1.86</v>
      </c>
      <c r="J168" s="155">
        <v>24</v>
      </c>
      <c r="K168" s="156">
        <v>32.9</v>
      </c>
      <c r="L168" s="157">
        <v>32.9</v>
      </c>
      <c r="M168" s="158">
        <v>0.64</v>
      </c>
      <c r="N168" s="106">
        <v>8.8000000000000007</v>
      </c>
      <c r="O168" s="112" t="s">
        <v>201</v>
      </c>
      <c r="P168" s="113" t="s">
        <v>211</v>
      </c>
      <c r="Q168" s="114">
        <v>2.66E-3</v>
      </c>
      <c r="R168" s="115">
        <v>4.8999999999999998E-4</v>
      </c>
      <c r="S168" s="115">
        <v>4.8999999999999998E-4</v>
      </c>
      <c r="T168" s="105">
        <v>386</v>
      </c>
      <c r="U168" s="113" t="s">
        <v>212</v>
      </c>
      <c r="V168" s="114">
        <v>1.48E-3</v>
      </c>
      <c r="W168" s="105">
        <v>386</v>
      </c>
      <c r="X168" s="113" t="s">
        <v>212</v>
      </c>
      <c r="Y168" s="160">
        <v>0.49</v>
      </c>
      <c r="Z168" s="110">
        <v>0.5</v>
      </c>
      <c r="AA168" s="123" t="s">
        <v>212</v>
      </c>
      <c r="AB168" s="112" t="s">
        <v>212</v>
      </c>
      <c r="AC168" s="174">
        <v>2</v>
      </c>
      <c r="AD168" s="112" t="s">
        <v>224</v>
      </c>
      <c r="AE168" s="113">
        <v>0.55000000000000004</v>
      </c>
      <c r="AF168" s="120">
        <v>0.28000000000000003</v>
      </c>
      <c r="AG168" s="118">
        <v>0.26</v>
      </c>
      <c r="AH168" s="118">
        <v>0.12</v>
      </c>
      <c r="AI168" s="119">
        <v>0.66</v>
      </c>
      <c r="AJ168" s="120">
        <v>0.35</v>
      </c>
      <c r="AK168" s="118">
        <v>0.51</v>
      </c>
      <c r="AL168" s="118">
        <v>0</v>
      </c>
      <c r="AM168" s="119">
        <v>0.86</v>
      </c>
      <c r="AN168" s="120">
        <v>0.35</v>
      </c>
      <c r="AO168" s="118">
        <v>0.37</v>
      </c>
      <c r="AP168" s="118">
        <v>0.21</v>
      </c>
      <c r="AQ168" s="119">
        <v>0.92</v>
      </c>
      <c r="AR168" s="120">
        <v>0.46</v>
      </c>
      <c r="AS168" s="118">
        <v>0.31</v>
      </c>
      <c r="AT168" s="118">
        <v>0.12</v>
      </c>
      <c r="AU168" s="119">
        <v>0.47</v>
      </c>
      <c r="AV168" s="120">
        <v>0.15</v>
      </c>
      <c r="AW168" s="118">
        <v>0.56999999999999995</v>
      </c>
      <c r="AX168" s="118">
        <v>0</v>
      </c>
      <c r="AY168" s="119">
        <v>0.72</v>
      </c>
      <c r="AZ168" s="120">
        <v>0.25</v>
      </c>
      <c r="BA168" s="118">
        <v>0.8</v>
      </c>
      <c r="BB168" s="118">
        <v>0.04</v>
      </c>
      <c r="BC168" s="119">
        <v>1.0900000000000001</v>
      </c>
      <c r="BD168" s="121">
        <v>0.39</v>
      </c>
      <c r="BE168" s="120">
        <v>0.34</v>
      </c>
      <c r="BF168" s="118">
        <v>0</v>
      </c>
      <c r="BG168" s="118">
        <v>0.11</v>
      </c>
      <c r="BH168" s="119">
        <v>0.46</v>
      </c>
      <c r="BI168" s="120">
        <v>0.32</v>
      </c>
      <c r="BJ168" s="118">
        <v>0.34</v>
      </c>
      <c r="BK168" s="118">
        <v>0.15</v>
      </c>
      <c r="BL168" s="119">
        <v>0.81</v>
      </c>
      <c r="BM168" s="120">
        <v>1.54</v>
      </c>
      <c r="BN168" s="118">
        <v>1.17</v>
      </c>
      <c r="BO168" s="118">
        <v>1.1000000000000001</v>
      </c>
      <c r="BP168" s="118">
        <v>2.13</v>
      </c>
      <c r="BQ168" s="118">
        <v>1.41</v>
      </c>
      <c r="BR168" s="118">
        <v>0.93</v>
      </c>
      <c r="BS168" s="118">
        <v>2.62</v>
      </c>
      <c r="BT168" s="118">
        <v>2.21</v>
      </c>
      <c r="BU168" s="119">
        <v>1.25</v>
      </c>
      <c r="BV168" s="74">
        <v>1746000</v>
      </c>
      <c r="BW168" s="105">
        <v>150</v>
      </c>
      <c r="BX168" s="105">
        <v>880</v>
      </c>
      <c r="BY168" s="157">
        <v>32.9</v>
      </c>
      <c r="BZ168" s="106">
        <v>8.8000000000000007</v>
      </c>
      <c r="CA168" s="115">
        <v>4.8999999999999998E-4</v>
      </c>
      <c r="CB168" s="105">
        <v>386</v>
      </c>
      <c r="CC168" s="114">
        <v>1.48E-3</v>
      </c>
      <c r="CD168" s="105">
        <v>386</v>
      </c>
      <c r="CE168" s="179">
        <f t="shared" si="8"/>
        <v>1.5189003436426115E-2</v>
      </c>
      <c r="CF168" s="180">
        <f t="shared" si="6"/>
        <v>0.55000000000000004</v>
      </c>
    </row>
    <row r="169" spans="1:84" hidden="1" x14ac:dyDescent="0.25">
      <c r="A169" s="101">
        <v>168</v>
      </c>
      <c r="B169" s="102"/>
      <c r="C169" s="103" t="s">
        <v>229</v>
      </c>
      <c r="D169" s="104">
        <v>1600</v>
      </c>
      <c r="E169" s="105">
        <v>1320</v>
      </c>
      <c r="F169" s="106">
        <f t="shared" si="7"/>
        <v>2112000</v>
      </c>
      <c r="G169" s="105">
        <v>150</v>
      </c>
      <c r="H169" s="105">
        <v>1255</v>
      </c>
      <c r="I169" s="107">
        <v>1.21</v>
      </c>
      <c r="J169" s="155">
        <v>24</v>
      </c>
      <c r="K169" s="156">
        <v>32.9</v>
      </c>
      <c r="L169" s="157">
        <v>32.9</v>
      </c>
      <c r="M169" s="158">
        <v>0.99</v>
      </c>
      <c r="N169" s="106">
        <v>16.2</v>
      </c>
      <c r="O169" s="112" t="s">
        <v>201</v>
      </c>
      <c r="P169" s="113" t="s">
        <v>202</v>
      </c>
      <c r="Q169" s="114">
        <v>3.9100000000000003E-3</v>
      </c>
      <c r="R169" s="115">
        <v>7.2000000000000005E-4</v>
      </c>
      <c r="S169" s="115">
        <v>7.2000000000000005E-4</v>
      </c>
      <c r="T169" s="105">
        <v>386</v>
      </c>
      <c r="U169" s="113" t="s">
        <v>212</v>
      </c>
      <c r="V169" s="114">
        <v>1.07E-3</v>
      </c>
      <c r="W169" s="105">
        <v>386</v>
      </c>
      <c r="X169" s="113" t="s">
        <v>212</v>
      </c>
      <c r="Y169" s="160">
        <v>0</v>
      </c>
      <c r="Z169" s="110">
        <v>0.5</v>
      </c>
      <c r="AA169" s="123" t="s">
        <v>212</v>
      </c>
      <c r="AB169" s="112" t="s">
        <v>212</v>
      </c>
      <c r="AC169" s="174">
        <v>2</v>
      </c>
      <c r="AD169" s="112" t="s">
        <v>224</v>
      </c>
      <c r="AE169" s="113">
        <v>1.01</v>
      </c>
      <c r="AF169" s="120">
        <v>0.48</v>
      </c>
      <c r="AG169" s="118">
        <v>0.2</v>
      </c>
      <c r="AH169" s="118">
        <v>0</v>
      </c>
      <c r="AI169" s="119">
        <v>0.68</v>
      </c>
      <c r="AJ169" s="120">
        <v>0.21</v>
      </c>
      <c r="AK169" s="118">
        <v>0.37</v>
      </c>
      <c r="AL169" s="118">
        <v>0</v>
      </c>
      <c r="AM169" s="119">
        <v>0.57999999999999996</v>
      </c>
      <c r="AN169" s="120">
        <v>0.59</v>
      </c>
      <c r="AO169" s="118">
        <v>0.26</v>
      </c>
      <c r="AP169" s="118">
        <v>0</v>
      </c>
      <c r="AQ169" s="119">
        <v>0.86</v>
      </c>
      <c r="AR169" s="120">
        <v>0.85</v>
      </c>
      <c r="AS169" s="118">
        <v>0.24</v>
      </c>
      <c r="AT169" s="118">
        <v>0</v>
      </c>
      <c r="AU169" s="119">
        <v>0.64</v>
      </c>
      <c r="AV169" s="120">
        <v>0.3</v>
      </c>
      <c r="AW169" s="118">
        <v>0.41</v>
      </c>
      <c r="AX169" s="118">
        <v>0</v>
      </c>
      <c r="AY169" s="119">
        <v>0.71</v>
      </c>
      <c r="AZ169" s="120">
        <v>0.37</v>
      </c>
      <c r="BA169" s="118">
        <v>0.82</v>
      </c>
      <c r="BB169" s="118">
        <v>0</v>
      </c>
      <c r="BC169" s="119">
        <v>1.19</v>
      </c>
      <c r="BD169" s="121">
        <v>0.57999999999999996</v>
      </c>
      <c r="BE169" s="120">
        <v>0.81</v>
      </c>
      <c r="BF169" s="118">
        <v>0</v>
      </c>
      <c r="BG169" s="118">
        <v>0</v>
      </c>
      <c r="BH169" s="119">
        <v>0.81</v>
      </c>
      <c r="BI169" s="120">
        <v>0.49</v>
      </c>
      <c r="BJ169" s="118">
        <v>0.25</v>
      </c>
      <c r="BK169" s="118">
        <v>0</v>
      </c>
      <c r="BL169" s="119">
        <v>0.74</v>
      </c>
      <c r="BM169" s="120">
        <v>1.8</v>
      </c>
      <c r="BN169" s="118">
        <v>2.1</v>
      </c>
      <c r="BO169" s="118">
        <v>1.42</v>
      </c>
      <c r="BP169" s="118">
        <v>1.89</v>
      </c>
      <c r="BQ169" s="118">
        <v>1.71</v>
      </c>
      <c r="BR169" s="118">
        <v>1.02</v>
      </c>
      <c r="BS169" s="118">
        <v>2.09</v>
      </c>
      <c r="BT169" s="118">
        <v>1.5</v>
      </c>
      <c r="BU169" s="119">
        <v>1.65</v>
      </c>
      <c r="BV169" s="74">
        <v>2112000</v>
      </c>
      <c r="BW169" s="105">
        <v>150</v>
      </c>
      <c r="BX169" s="105">
        <v>1255</v>
      </c>
      <c r="BY169" s="157">
        <v>32.9</v>
      </c>
      <c r="BZ169" s="106">
        <v>16.2</v>
      </c>
      <c r="CA169" s="115">
        <v>7.2000000000000005E-4</v>
      </c>
      <c r="CB169" s="105">
        <v>386</v>
      </c>
      <c r="CC169" s="114">
        <v>1.07E-3</v>
      </c>
      <c r="CD169" s="105">
        <v>386</v>
      </c>
      <c r="CE169" s="99">
        <f t="shared" si="8"/>
        <v>7.575757575757576E-3</v>
      </c>
      <c r="CF169" s="100">
        <f t="shared" si="6"/>
        <v>1.01</v>
      </c>
    </row>
    <row r="170" spans="1:84" hidden="1" x14ac:dyDescent="0.25">
      <c r="A170" s="101">
        <v>169</v>
      </c>
      <c r="B170" s="102"/>
      <c r="C170" s="103" t="s">
        <v>381</v>
      </c>
      <c r="D170" s="104">
        <v>1600</v>
      </c>
      <c r="E170" s="105">
        <v>1320</v>
      </c>
      <c r="F170" s="106">
        <f t="shared" si="7"/>
        <v>2112000</v>
      </c>
      <c r="G170" s="105">
        <v>150</v>
      </c>
      <c r="H170" s="105">
        <v>1255</v>
      </c>
      <c r="I170" s="107">
        <v>1.21</v>
      </c>
      <c r="J170" s="155">
        <v>24</v>
      </c>
      <c r="K170" s="156">
        <v>32.9</v>
      </c>
      <c r="L170" s="157">
        <v>32.9</v>
      </c>
      <c r="M170" s="158">
        <v>1.03</v>
      </c>
      <c r="N170" s="106">
        <v>17.600000000000001</v>
      </c>
      <c r="O170" s="112" t="s">
        <v>201</v>
      </c>
      <c r="P170" s="113" t="s">
        <v>202</v>
      </c>
      <c r="Q170" s="114">
        <v>3.9100000000000003E-3</v>
      </c>
      <c r="R170" s="115">
        <v>7.2000000000000005E-4</v>
      </c>
      <c r="S170" s="115">
        <v>7.2000000000000005E-4</v>
      </c>
      <c r="T170" s="105">
        <v>386</v>
      </c>
      <c r="U170" s="113" t="s">
        <v>212</v>
      </c>
      <c r="V170" s="114">
        <v>1.07E-3</v>
      </c>
      <c r="W170" s="105">
        <v>386</v>
      </c>
      <c r="X170" s="113" t="s">
        <v>212</v>
      </c>
      <c r="Y170" s="160">
        <v>0</v>
      </c>
      <c r="Z170" s="110">
        <v>0.5</v>
      </c>
      <c r="AA170" s="193" t="s">
        <v>212</v>
      </c>
      <c r="AB170" s="139" t="s">
        <v>212</v>
      </c>
      <c r="AC170" s="174">
        <v>2</v>
      </c>
      <c r="AD170" s="112" t="s">
        <v>224</v>
      </c>
      <c r="AE170" s="113">
        <v>0.94</v>
      </c>
      <c r="AF170" s="147">
        <v>0.5</v>
      </c>
      <c r="AG170" s="145">
        <v>0.2</v>
      </c>
      <c r="AH170" s="145">
        <v>0</v>
      </c>
      <c r="AI170" s="146">
        <v>0.7</v>
      </c>
      <c r="AJ170" s="147">
        <v>0.21</v>
      </c>
      <c r="AK170" s="145">
        <v>0.37</v>
      </c>
      <c r="AL170" s="145">
        <v>0</v>
      </c>
      <c r="AM170" s="146">
        <v>0.57999999999999996</v>
      </c>
      <c r="AN170" s="147">
        <v>0.62</v>
      </c>
      <c r="AO170" s="145">
        <v>0.26</v>
      </c>
      <c r="AP170" s="145">
        <v>0</v>
      </c>
      <c r="AQ170" s="146">
        <v>0.88</v>
      </c>
      <c r="AR170" s="147">
        <v>0.89</v>
      </c>
      <c r="AS170" s="145">
        <v>0.24</v>
      </c>
      <c r="AT170" s="145">
        <v>0</v>
      </c>
      <c r="AU170" s="146">
        <v>0.67</v>
      </c>
      <c r="AV170" s="147">
        <v>0.31</v>
      </c>
      <c r="AW170" s="145">
        <v>0.41</v>
      </c>
      <c r="AX170" s="145">
        <v>0</v>
      </c>
      <c r="AY170" s="146">
        <v>0.72</v>
      </c>
      <c r="AZ170" s="147">
        <v>0.39</v>
      </c>
      <c r="BA170" s="145">
        <v>0.82</v>
      </c>
      <c r="BB170" s="145">
        <v>0</v>
      </c>
      <c r="BC170" s="146">
        <v>1.21</v>
      </c>
      <c r="BD170" s="148">
        <v>0.61</v>
      </c>
      <c r="BE170" s="147">
        <v>0.85</v>
      </c>
      <c r="BF170" s="145">
        <v>0</v>
      </c>
      <c r="BG170" s="145">
        <v>0</v>
      </c>
      <c r="BH170" s="146">
        <v>0.85</v>
      </c>
      <c r="BI170" s="147">
        <v>0.52</v>
      </c>
      <c r="BJ170" s="145">
        <v>0.25</v>
      </c>
      <c r="BK170" s="145">
        <v>0</v>
      </c>
      <c r="BL170" s="146">
        <v>0.76</v>
      </c>
      <c r="BM170" s="147">
        <v>1.63</v>
      </c>
      <c r="BN170" s="145">
        <v>1.96</v>
      </c>
      <c r="BO170" s="145">
        <v>1.29</v>
      </c>
      <c r="BP170" s="145">
        <v>1.7</v>
      </c>
      <c r="BQ170" s="145">
        <v>1.58</v>
      </c>
      <c r="BR170" s="145">
        <v>0.94</v>
      </c>
      <c r="BS170" s="145">
        <v>1.88</v>
      </c>
      <c r="BT170" s="145">
        <v>1.34</v>
      </c>
      <c r="BU170" s="146">
        <v>1.49</v>
      </c>
      <c r="BV170" s="74">
        <v>2112000</v>
      </c>
      <c r="BW170" s="105">
        <v>150</v>
      </c>
      <c r="BX170" s="105">
        <v>1255</v>
      </c>
      <c r="BY170" s="157">
        <v>32.9</v>
      </c>
      <c r="BZ170" s="106">
        <v>17.600000000000001</v>
      </c>
      <c r="CA170" s="115">
        <v>7.2000000000000005E-4</v>
      </c>
      <c r="CB170" s="105">
        <v>386</v>
      </c>
      <c r="CC170" s="114">
        <v>1.07E-3</v>
      </c>
      <c r="CD170" s="105">
        <v>386</v>
      </c>
      <c r="CE170" s="99">
        <f t="shared" si="8"/>
        <v>6.7676767676767679E-3</v>
      </c>
      <c r="CF170" s="100">
        <f t="shared" si="6"/>
        <v>0.94</v>
      </c>
    </row>
    <row r="171" spans="1:84" ht="14.25" customHeight="1" x14ac:dyDescent="0.25">
      <c r="A171" s="199">
        <v>170</v>
      </c>
      <c r="B171" s="197" t="s">
        <v>382</v>
      </c>
      <c r="C171" s="198" t="s">
        <v>383</v>
      </c>
      <c r="D171" s="234">
        <v>1422.4</v>
      </c>
      <c r="E171" s="201">
        <v>1219.2</v>
      </c>
      <c r="F171" s="201">
        <f t="shared" si="7"/>
        <v>1734190.0800000001</v>
      </c>
      <c r="G171" s="235">
        <v>193.67500000000001</v>
      </c>
      <c r="H171" s="201">
        <v>1066.8</v>
      </c>
      <c r="I171" s="202">
        <v>1.17</v>
      </c>
      <c r="J171" s="203">
        <v>24</v>
      </c>
      <c r="K171" s="204">
        <v>19.2</v>
      </c>
      <c r="L171" s="205">
        <v>22</v>
      </c>
      <c r="M171" s="206">
        <v>0.66</v>
      </c>
      <c r="N171" s="201">
        <v>9.1999999999999993</v>
      </c>
      <c r="O171" s="207" t="s">
        <v>201</v>
      </c>
      <c r="P171" s="208" t="s">
        <v>211</v>
      </c>
      <c r="Q171" s="209">
        <v>0</v>
      </c>
      <c r="R171" s="210">
        <v>0</v>
      </c>
      <c r="S171" s="210">
        <v>0</v>
      </c>
      <c r="T171" s="200">
        <v>0</v>
      </c>
      <c r="U171" s="208" t="s">
        <v>212</v>
      </c>
      <c r="V171" s="209">
        <v>0</v>
      </c>
      <c r="W171" s="200">
        <v>0</v>
      </c>
      <c r="X171" s="208" t="s">
        <v>212</v>
      </c>
      <c r="Y171" s="212">
        <v>0.79</v>
      </c>
      <c r="Z171" s="233">
        <v>0.5</v>
      </c>
      <c r="AA171" s="123" t="s">
        <v>212</v>
      </c>
      <c r="AB171" s="112" t="s">
        <v>212</v>
      </c>
      <c r="AC171" s="214">
        <v>2</v>
      </c>
      <c r="AD171" s="207" t="s">
        <v>224</v>
      </c>
      <c r="AE171" s="208">
        <v>0.48</v>
      </c>
      <c r="AF171" s="97">
        <v>0.36</v>
      </c>
      <c r="AG171" s="95">
        <v>0</v>
      </c>
      <c r="AH171" s="95">
        <v>0.2</v>
      </c>
      <c r="AI171" s="96">
        <v>0.55000000000000004</v>
      </c>
      <c r="AJ171" s="97">
        <v>0.43</v>
      </c>
      <c r="AK171" s="95">
        <v>0</v>
      </c>
      <c r="AL171" s="95">
        <v>0</v>
      </c>
      <c r="AM171" s="96">
        <v>0.43</v>
      </c>
      <c r="AN171" s="97">
        <v>0.44</v>
      </c>
      <c r="AO171" s="95">
        <v>0</v>
      </c>
      <c r="AP171" s="95">
        <v>0.51</v>
      </c>
      <c r="AQ171" s="96">
        <v>0.95</v>
      </c>
      <c r="AR171" s="97">
        <v>0.6</v>
      </c>
      <c r="AS171" s="95">
        <v>0</v>
      </c>
      <c r="AT171" s="95">
        <v>0.2</v>
      </c>
      <c r="AU171" s="96">
        <v>0.48</v>
      </c>
      <c r="AV171" s="97">
        <v>0.22</v>
      </c>
      <c r="AW171" s="95">
        <v>0</v>
      </c>
      <c r="AX171" s="95">
        <v>0</v>
      </c>
      <c r="AY171" s="96">
        <v>0.22</v>
      </c>
      <c r="AZ171" s="97">
        <v>0</v>
      </c>
      <c r="BA171" s="95">
        <v>0</v>
      </c>
      <c r="BB171" s="95">
        <v>0.06</v>
      </c>
      <c r="BC171" s="96">
        <v>0.06</v>
      </c>
      <c r="BD171" s="98">
        <v>0.22</v>
      </c>
      <c r="BE171" s="97">
        <v>0.56999999999999995</v>
      </c>
      <c r="BF171" s="95">
        <v>0</v>
      </c>
      <c r="BG171" s="95">
        <v>0.18</v>
      </c>
      <c r="BH171" s="96">
        <v>0.75</v>
      </c>
      <c r="BI171" s="97">
        <v>0.33</v>
      </c>
      <c r="BJ171" s="95">
        <v>0</v>
      </c>
      <c r="BK171" s="95">
        <v>0.24</v>
      </c>
      <c r="BL171" s="96">
        <v>0.56999999999999995</v>
      </c>
      <c r="BM171" s="97">
        <v>1</v>
      </c>
      <c r="BN171" s="95">
        <v>1.29</v>
      </c>
      <c r="BO171" s="95">
        <v>0.57999999999999996</v>
      </c>
      <c r="BP171" s="95">
        <v>1.1399999999999999</v>
      </c>
      <c r="BQ171" s="95">
        <v>2.54</v>
      </c>
      <c r="BR171" s="95">
        <v>9.16</v>
      </c>
      <c r="BS171" s="95">
        <v>2.52</v>
      </c>
      <c r="BT171" s="95">
        <v>0.74</v>
      </c>
      <c r="BU171" s="96">
        <v>0.98</v>
      </c>
      <c r="BV171" s="74">
        <v>1734190.0800000001</v>
      </c>
      <c r="BW171" s="235">
        <v>193.67500000000001</v>
      </c>
      <c r="BX171" s="201">
        <v>1066.8</v>
      </c>
      <c r="BY171" s="205">
        <v>22</v>
      </c>
      <c r="BZ171" s="201">
        <v>9.1999999999999993</v>
      </c>
      <c r="CA171" s="210">
        <v>0</v>
      </c>
      <c r="CB171" s="200">
        <v>0</v>
      </c>
      <c r="CC171" s="209">
        <v>0</v>
      </c>
      <c r="CD171" s="200">
        <v>0</v>
      </c>
      <c r="CE171" s="99">
        <f t="shared" si="8"/>
        <v>3.1338860491928631E-3</v>
      </c>
      <c r="CF171" s="100">
        <f t="shared" si="6"/>
        <v>0.48</v>
      </c>
    </row>
    <row r="172" spans="1:84" x14ac:dyDescent="0.25">
      <c r="A172" s="104">
        <v>171</v>
      </c>
      <c r="B172" s="102"/>
      <c r="C172" s="103" t="s">
        <v>384</v>
      </c>
      <c r="D172" s="108">
        <v>1422.4</v>
      </c>
      <c r="E172" s="106">
        <v>1219.2</v>
      </c>
      <c r="F172" s="106">
        <f t="shared" si="7"/>
        <v>1734190.0800000001</v>
      </c>
      <c r="G172" s="236">
        <v>193.67500000000001</v>
      </c>
      <c r="H172" s="106">
        <v>1066.8</v>
      </c>
      <c r="I172" s="107">
        <v>1.17</v>
      </c>
      <c r="J172" s="155">
        <v>24</v>
      </c>
      <c r="K172" s="237">
        <v>19.2</v>
      </c>
      <c r="L172" s="157">
        <v>22</v>
      </c>
      <c r="M172" s="158">
        <v>0.84</v>
      </c>
      <c r="N172" s="106">
        <v>12.7</v>
      </c>
      <c r="O172" s="112" t="s">
        <v>201</v>
      </c>
      <c r="P172" s="113" t="s">
        <v>211</v>
      </c>
      <c r="Q172" s="114">
        <v>8.4999999999999995E-4</v>
      </c>
      <c r="R172" s="115">
        <v>0</v>
      </c>
      <c r="S172" s="115">
        <v>1.6999999999999999E-3</v>
      </c>
      <c r="T172" s="105">
        <v>489</v>
      </c>
      <c r="U172" s="113" t="s">
        <v>212</v>
      </c>
      <c r="V172" s="114">
        <v>7.2999999999999996E-4</v>
      </c>
      <c r="W172" s="105">
        <v>331</v>
      </c>
      <c r="X172" s="116">
        <v>1422</v>
      </c>
      <c r="Y172" s="160">
        <v>0.56999999999999995</v>
      </c>
      <c r="Z172" s="110">
        <v>0.5</v>
      </c>
      <c r="AA172" s="123" t="s">
        <v>212</v>
      </c>
      <c r="AB172" s="112" t="s">
        <v>212</v>
      </c>
      <c r="AC172" s="174">
        <v>2</v>
      </c>
      <c r="AD172" s="112" t="s">
        <v>224</v>
      </c>
      <c r="AE172" s="113">
        <v>0.88</v>
      </c>
      <c r="AF172" s="120">
        <v>0.42</v>
      </c>
      <c r="AG172" s="118">
        <v>0.1</v>
      </c>
      <c r="AH172" s="118">
        <v>0.14000000000000001</v>
      </c>
      <c r="AI172" s="119">
        <v>0.67</v>
      </c>
      <c r="AJ172" s="120">
        <v>0.37</v>
      </c>
      <c r="AK172" s="118">
        <v>0.43</v>
      </c>
      <c r="AL172" s="118">
        <v>0</v>
      </c>
      <c r="AM172" s="119">
        <v>0.8</v>
      </c>
      <c r="AN172" s="120">
        <v>0.56000000000000005</v>
      </c>
      <c r="AO172" s="118">
        <v>0.15</v>
      </c>
      <c r="AP172" s="118">
        <v>0.36</v>
      </c>
      <c r="AQ172" s="119">
        <v>1.07</v>
      </c>
      <c r="AR172" s="120">
        <v>0.71</v>
      </c>
      <c r="AS172" s="118">
        <v>0.13</v>
      </c>
      <c r="AT172" s="118">
        <v>0.14000000000000001</v>
      </c>
      <c r="AU172" s="119">
        <v>0.56999999999999995</v>
      </c>
      <c r="AV172" s="120">
        <v>0.26</v>
      </c>
      <c r="AW172" s="118">
        <v>0.24</v>
      </c>
      <c r="AX172" s="118">
        <v>0</v>
      </c>
      <c r="AY172" s="119">
        <v>0.5</v>
      </c>
      <c r="AZ172" s="120">
        <v>0.22</v>
      </c>
      <c r="BA172" s="118">
        <v>0.32</v>
      </c>
      <c r="BB172" s="118">
        <v>0.04</v>
      </c>
      <c r="BC172" s="119">
        <v>0.57999999999999996</v>
      </c>
      <c r="BD172" s="121">
        <v>0.51</v>
      </c>
      <c r="BE172" s="120">
        <v>0.72</v>
      </c>
      <c r="BF172" s="118">
        <v>0</v>
      </c>
      <c r="BG172" s="118">
        <v>0.13</v>
      </c>
      <c r="BH172" s="119">
        <v>0.86</v>
      </c>
      <c r="BI172" s="120">
        <v>0.42</v>
      </c>
      <c r="BJ172" s="118">
        <v>0.14000000000000001</v>
      </c>
      <c r="BK172" s="118">
        <v>0.17</v>
      </c>
      <c r="BL172" s="119">
        <v>0.74</v>
      </c>
      <c r="BM172" s="120">
        <v>1.55</v>
      </c>
      <c r="BN172" s="118">
        <v>1.28</v>
      </c>
      <c r="BO172" s="118">
        <v>0.96</v>
      </c>
      <c r="BP172" s="118">
        <v>1.81</v>
      </c>
      <c r="BQ172" s="118">
        <v>2.0699999999999998</v>
      </c>
      <c r="BR172" s="118">
        <v>1.79</v>
      </c>
      <c r="BS172" s="118">
        <v>2.02</v>
      </c>
      <c r="BT172" s="118">
        <v>1.2</v>
      </c>
      <c r="BU172" s="119">
        <v>1.4</v>
      </c>
      <c r="BV172" s="74">
        <v>1734190.0800000001</v>
      </c>
      <c r="BW172" s="236">
        <v>193.67500000000001</v>
      </c>
      <c r="BX172" s="106">
        <v>1066.8</v>
      </c>
      <c r="BY172" s="157">
        <v>22</v>
      </c>
      <c r="BZ172" s="106">
        <v>12.7</v>
      </c>
      <c r="CA172" s="115">
        <v>1.6999999999999999E-3</v>
      </c>
      <c r="CB172" s="105">
        <v>489</v>
      </c>
      <c r="CC172" s="114">
        <v>7.2999999999999996E-4</v>
      </c>
      <c r="CD172" s="105">
        <v>331</v>
      </c>
      <c r="CE172" s="99">
        <f t="shared" si="8"/>
        <v>5.0819773770695081E-3</v>
      </c>
      <c r="CF172" s="100">
        <f t="shared" si="6"/>
        <v>0.88</v>
      </c>
    </row>
    <row r="173" spans="1:84" x14ac:dyDescent="0.25">
      <c r="A173" s="104">
        <v>172</v>
      </c>
      <c r="B173" s="102"/>
      <c r="C173" s="103" t="s">
        <v>385</v>
      </c>
      <c r="D173" s="108">
        <v>1422.4</v>
      </c>
      <c r="E173" s="106">
        <v>1219.2</v>
      </c>
      <c r="F173" s="106">
        <f t="shared" si="7"/>
        <v>1734190.0800000001</v>
      </c>
      <c r="G173" s="236">
        <v>193.67500000000001</v>
      </c>
      <c r="H173" s="106">
        <v>1066.8</v>
      </c>
      <c r="I173" s="107">
        <v>1.17</v>
      </c>
      <c r="J173" s="155">
        <v>24</v>
      </c>
      <c r="K173" s="237">
        <v>19.2</v>
      </c>
      <c r="L173" s="157">
        <v>22</v>
      </c>
      <c r="M173" s="158">
        <v>0.87</v>
      </c>
      <c r="N173" s="106">
        <v>13.1</v>
      </c>
      <c r="O173" s="112" t="s">
        <v>201</v>
      </c>
      <c r="P173" s="113" t="s">
        <v>211</v>
      </c>
      <c r="Q173" s="114">
        <v>2.16E-3</v>
      </c>
      <c r="R173" s="115">
        <v>0</v>
      </c>
      <c r="S173" s="115">
        <v>4.3200000000000001E-3</v>
      </c>
      <c r="T173" s="105">
        <v>0</v>
      </c>
      <c r="U173" s="113" t="s">
        <v>212</v>
      </c>
      <c r="V173" s="114">
        <v>0</v>
      </c>
      <c r="W173" s="105">
        <v>0</v>
      </c>
      <c r="X173" s="113" t="s">
        <v>212</v>
      </c>
      <c r="Y173" s="160">
        <v>0.55000000000000004</v>
      </c>
      <c r="Z173" s="110">
        <v>0.5</v>
      </c>
      <c r="AA173" s="123" t="s">
        <v>212</v>
      </c>
      <c r="AB173" s="112" t="s">
        <v>212</v>
      </c>
      <c r="AC173" s="174">
        <v>2</v>
      </c>
      <c r="AD173" s="112" t="s">
        <v>224</v>
      </c>
      <c r="AE173" s="113">
        <v>0.7</v>
      </c>
      <c r="AF173" s="120">
        <v>0.43</v>
      </c>
      <c r="AG173" s="118">
        <v>0</v>
      </c>
      <c r="AH173" s="118">
        <v>0.14000000000000001</v>
      </c>
      <c r="AI173" s="119">
        <v>0.56000000000000005</v>
      </c>
      <c r="AJ173" s="120">
        <v>0.36</v>
      </c>
      <c r="AK173" s="118">
        <v>0</v>
      </c>
      <c r="AL173" s="118">
        <v>0</v>
      </c>
      <c r="AM173" s="119">
        <v>0.36</v>
      </c>
      <c r="AN173" s="120">
        <v>0.53</v>
      </c>
      <c r="AO173" s="118">
        <v>0</v>
      </c>
      <c r="AP173" s="118">
        <v>0.36</v>
      </c>
      <c r="AQ173" s="119">
        <v>0.89</v>
      </c>
      <c r="AR173" s="120">
        <v>0.72</v>
      </c>
      <c r="AS173" s="118">
        <v>0</v>
      </c>
      <c r="AT173" s="118">
        <v>0.14000000000000001</v>
      </c>
      <c r="AU173" s="119">
        <v>0.57999999999999996</v>
      </c>
      <c r="AV173" s="120">
        <v>0.26</v>
      </c>
      <c r="AW173" s="118">
        <v>0</v>
      </c>
      <c r="AX173" s="118">
        <v>0</v>
      </c>
      <c r="AY173" s="119">
        <v>0.26</v>
      </c>
      <c r="AZ173" s="120">
        <v>0.27</v>
      </c>
      <c r="BA173" s="118">
        <v>0</v>
      </c>
      <c r="BB173" s="118">
        <v>0.04</v>
      </c>
      <c r="BC173" s="119">
        <v>0.31</v>
      </c>
      <c r="BD173" s="121">
        <v>0.22</v>
      </c>
      <c r="BE173" s="120">
        <v>0.74</v>
      </c>
      <c r="BF173" s="118">
        <v>0</v>
      </c>
      <c r="BG173" s="118">
        <v>0.13</v>
      </c>
      <c r="BH173" s="119">
        <v>0.87</v>
      </c>
      <c r="BI173" s="120">
        <v>0.43</v>
      </c>
      <c r="BJ173" s="118">
        <v>0</v>
      </c>
      <c r="BK173" s="118">
        <v>0.17</v>
      </c>
      <c r="BL173" s="119">
        <v>0.6</v>
      </c>
      <c r="BM173" s="120">
        <v>1.44</v>
      </c>
      <c r="BN173" s="118">
        <v>2.23</v>
      </c>
      <c r="BO173" s="118">
        <v>0.91</v>
      </c>
      <c r="BP173" s="118">
        <v>1.4</v>
      </c>
      <c r="BQ173" s="118">
        <v>3.11</v>
      </c>
      <c r="BR173" s="118">
        <v>2.59</v>
      </c>
      <c r="BS173" s="118">
        <v>3.69</v>
      </c>
      <c r="BT173" s="118">
        <v>0.93</v>
      </c>
      <c r="BU173" s="119">
        <v>1.36</v>
      </c>
      <c r="BV173" s="74">
        <v>1734190.0800000001</v>
      </c>
      <c r="BW173" s="236">
        <v>193.67500000000001</v>
      </c>
      <c r="BX173" s="106">
        <v>1066.8</v>
      </c>
      <c r="BY173" s="157">
        <v>22</v>
      </c>
      <c r="BZ173" s="106">
        <v>13.1</v>
      </c>
      <c r="CA173" s="115">
        <v>4.3200000000000001E-3</v>
      </c>
      <c r="CB173" s="105">
        <v>0</v>
      </c>
      <c r="CC173" s="114">
        <v>0</v>
      </c>
      <c r="CD173" s="105">
        <v>0</v>
      </c>
      <c r="CE173" s="99">
        <f t="shared" si="8"/>
        <v>3.9385324672288691E-3</v>
      </c>
      <c r="CF173" s="100">
        <f t="shared" si="6"/>
        <v>0.7</v>
      </c>
    </row>
    <row r="174" spans="1:84" x14ac:dyDescent="0.25">
      <c r="A174" s="104">
        <v>173</v>
      </c>
      <c r="B174" s="102"/>
      <c r="C174" s="103" t="s">
        <v>386</v>
      </c>
      <c r="D174" s="108">
        <v>1422.4</v>
      </c>
      <c r="E174" s="106">
        <v>1219.2</v>
      </c>
      <c r="F174" s="106">
        <f t="shared" si="7"/>
        <v>1734190.0800000001</v>
      </c>
      <c r="G174" s="236">
        <v>193.67500000000001</v>
      </c>
      <c r="H174" s="106">
        <v>1066.8</v>
      </c>
      <c r="I174" s="107">
        <v>1.17</v>
      </c>
      <c r="J174" s="155">
        <v>24</v>
      </c>
      <c r="K174" s="237">
        <v>19.2</v>
      </c>
      <c r="L174" s="157">
        <v>22</v>
      </c>
      <c r="M174" s="158">
        <v>0.87</v>
      </c>
      <c r="N174" s="106">
        <v>13.1</v>
      </c>
      <c r="O174" s="112" t="s">
        <v>201</v>
      </c>
      <c r="P174" s="113" t="s">
        <v>211</v>
      </c>
      <c r="Q174" s="114">
        <v>2.16E-3</v>
      </c>
      <c r="R174" s="115">
        <v>0</v>
      </c>
      <c r="S174" s="115">
        <v>4.3200000000000001E-3</v>
      </c>
      <c r="T174" s="105">
        <v>477</v>
      </c>
      <c r="U174" s="113" t="s">
        <v>212</v>
      </c>
      <c r="V174" s="114">
        <v>1.4499999999999999E-3</v>
      </c>
      <c r="W174" s="105">
        <v>331</v>
      </c>
      <c r="X174" s="116">
        <v>711</v>
      </c>
      <c r="Y174" s="160">
        <v>0.59</v>
      </c>
      <c r="Z174" s="110">
        <v>0.5</v>
      </c>
      <c r="AA174" s="123" t="s">
        <v>212</v>
      </c>
      <c r="AB174" s="112" t="s">
        <v>212</v>
      </c>
      <c r="AC174" s="174">
        <v>2</v>
      </c>
      <c r="AD174" s="112" t="s">
        <v>224</v>
      </c>
      <c r="AE174" s="113">
        <v>0.92</v>
      </c>
      <c r="AF174" s="120">
        <v>0.43</v>
      </c>
      <c r="AG174" s="118">
        <v>0.21</v>
      </c>
      <c r="AH174" s="118">
        <v>0.15</v>
      </c>
      <c r="AI174" s="119">
        <v>0.78</v>
      </c>
      <c r="AJ174" s="120">
        <v>0.38</v>
      </c>
      <c r="AK174" s="118">
        <v>0.65</v>
      </c>
      <c r="AL174" s="118">
        <v>0</v>
      </c>
      <c r="AM174" s="119">
        <v>1.02</v>
      </c>
      <c r="AN174" s="120">
        <v>0.62</v>
      </c>
      <c r="AO174" s="118">
        <v>0.31</v>
      </c>
      <c r="AP174" s="118">
        <v>0.37</v>
      </c>
      <c r="AQ174" s="119">
        <v>1.3</v>
      </c>
      <c r="AR174" s="120">
        <v>0.72</v>
      </c>
      <c r="AS174" s="118">
        <v>0.25</v>
      </c>
      <c r="AT174" s="118">
        <v>0.15</v>
      </c>
      <c r="AU174" s="119">
        <v>0.57999999999999996</v>
      </c>
      <c r="AV174" s="120">
        <v>0.26</v>
      </c>
      <c r="AW174" s="118">
        <v>0.48</v>
      </c>
      <c r="AX174" s="118">
        <v>0</v>
      </c>
      <c r="AY174" s="119">
        <v>0.74</v>
      </c>
      <c r="AZ174" s="120">
        <v>0.27</v>
      </c>
      <c r="BA174" s="118">
        <v>0.45</v>
      </c>
      <c r="BB174" s="118">
        <v>0.05</v>
      </c>
      <c r="BC174" s="119">
        <v>0.76</v>
      </c>
      <c r="BD174" s="121">
        <v>0.52</v>
      </c>
      <c r="BE174" s="120">
        <v>0.74</v>
      </c>
      <c r="BF174" s="118">
        <v>0</v>
      </c>
      <c r="BG174" s="118">
        <v>0.14000000000000001</v>
      </c>
      <c r="BH174" s="119">
        <v>0.88</v>
      </c>
      <c r="BI174" s="120">
        <v>0.43</v>
      </c>
      <c r="BJ174" s="118">
        <v>0.28999999999999998</v>
      </c>
      <c r="BK174" s="118">
        <v>0.18</v>
      </c>
      <c r="BL174" s="119">
        <v>0.9</v>
      </c>
      <c r="BM174" s="120">
        <v>1.36</v>
      </c>
      <c r="BN174" s="118">
        <v>1.04</v>
      </c>
      <c r="BO174" s="118">
        <v>0.82</v>
      </c>
      <c r="BP174" s="118">
        <v>1.84</v>
      </c>
      <c r="BQ174" s="118">
        <v>1.44</v>
      </c>
      <c r="BR174" s="118">
        <v>1.4</v>
      </c>
      <c r="BS174" s="118">
        <v>2.06</v>
      </c>
      <c r="BT174" s="118">
        <v>1.22</v>
      </c>
      <c r="BU174" s="119">
        <v>1.19</v>
      </c>
      <c r="BV174" s="74">
        <v>1734190.0800000001</v>
      </c>
      <c r="BW174" s="236">
        <v>193.67500000000001</v>
      </c>
      <c r="BX174" s="106">
        <v>1066.8</v>
      </c>
      <c r="BY174" s="157">
        <v>22</v>
      </c>
      <c r="BZ174" s="106">
        <v>13.1</v>
      </c>
      <c r="CA174" s="115">
        <v>4.3200000000000001E-3</v>
      </c>
      <c r="CB174" s="105">
        <v>477</v>
      </c>
      <c r="CC174" s="114">
        <v>1.4499999999999999E-3</v>
      </c>
      <c r="CD174" s="105">
        <v>331</v>
      </c>
      <c r="CE174" s="179">
        <f t="shared" si="8"/>
        <v>5.1666770000206664E-3</v>
      </c>
      <c r="CF174" s="180">
        <f t="shared" si="6"/>
        <v>0.92</v>
      </c>
    </row>
    <row r="175" spans="1:84" hidden="1" x14ac:dyDescent="0.25">
      <c r="A175" s="104">
        <v>174</v>
      </c>
      <c r="B175" s="102"/>
      <c r="C175" s="103" t="s">
        <v>387</v>
      </c>
      <c r="D175" s="108">
        <v>1422.4</v>
      </c>
      <c r="E175" s="106">
        <v>1219.2</v>
      </c>
      <c r="F175" s="106">
        <f t="shared" si="7"/>
        <v>1734190.0800000001</v>
      </c>
      <c r="G175" s="236">
        <v>187.32499999999999</v>
      </c>
      <c r="H175" s="106">
        <v>1066.8</v>
      </c>
      <c r="I175" s="107">
        <v>1.17</v>
      </c>
      <c r="J175" s="155">
        <v>24</v>
      </c>
      <c r="K175" s="237">
        <v>19.2</v>
      </c>
      <c r="L175" s="157">
        <v>22</v>
      </c>
      <c r="M175" s="158">
        <v>1.03</v>
      </c>
      <c r="N175" s="106">
        <v>17.5</v>
      </c>
      <c r="O175" s="112" t="s">
        <v>201</v>
      </c>
      <c r="P175" s="113" t="s">
        <v>202</v>
      </c>
      <c r="Q175" s="114">
        <v>0</v>
      </c>
      <c r="R175" s="115">
        <v>0</v>
      </c>
      <c r="S175" s="115">
        <v>0</v>
      </c>
      <c r="T175" s="105">
        <v>0</v>
      </c>
      <c r="U175" s="113" t="s">
        <v>212</v>
      </c>
      <c r="V175" s="114">
        <v>0</v>
      </c>
      <c r="W175" s="105">
        <v>0</v>
      </c>
      <c r="X175" s="113" t="s">
        <v>212</v>
      </c>
      <c r="Y175" s="160">
        <v>1.49</v>
      </c>
      <c r="Z175" s="110">
        <v>0.5</v>
      </c>
      <c r="AA175" s="123" t="s">
        <v>212</v>
      </c>
      <c r="AB175" s="112" t="s">
        <v>212</v>
      </c>
      <c r="AC175" s="174">
        <v>2</v>
      </c>
      <c r="AD175" s="112" t="s">
        <v>224</v>
      </c>
      <c r="AE175" s="113">
        <v>0.52</v>
      </c>
      <c r="AF175" s="120">
        <v>0.49</v>
      </c>
      <c r="AG175" s="118">
        <v>0</v>
      </c>
      <c r="AH175" s="118">
        <v>0.37</v>
      </c>
      <c r="AI175" s="119">
        <v>0.86</v>
      </c>
      <c r="AJ175" s="120">
        <v>0.63</v>
      </c>
      <c r="AK175" s="118">
        <v>0</v>
      </c>
      <c r="AL175" s="118">
        <v>0</v>
      </c>
      <c r="AM175" s="119">
        <v>0.63</v>
      </c>
      <c r="AN175" s="120">
        <v>0.61</v>
      </c>
      <c r="AO175" s="118">
        <v>0</v>
      </c>
      <c r="AP175" s="118">
        <v>0.96</v>
      </c>
      <c r="AQ175" s="119">
        <v>1.56</v>
      </c>
      <c r="AR175" s="120">
        <v>0.83</v>
      </c>
      <c r="AS175" s="118">
        <v>0</v>
      </c>
      <c r="AT175" s="118">
        <v>0.37</v>
      </c>
      <c r="AU175" s="119">
        <v>0.67</v>
      </c>
      <c r="AV175" s="120">
        <v>0.3</v>
      </c>
      <c r="AW175" s="118">
        <v>0</v>
      </c>
      <c r="AX175" s="118">
        <v>0</v>
      </c>
      <c r="AY175" s="119">
        <v>0.3</v>
      </c>
      <c r="AZ175" s="120">
        <v>0</v>
      </c>
      <c r="BA175" s="118">
        <v>0</v>
      </c>
      <c r="BB175" s="118">
        <v>0.11</v>
      </c>
      <c r="BC175" s="119">
        <v>0.11</v>
      </c>
      <c r="BD175" s="121">
        <v>0.22</v>
      </c>
      <c r="BE175" s="120">
        <v>0.88</v>
      </c>
      <c r="BF175" s="118">
        <v>0</v>
      </c>
      <c r="BG175" s="118">
        <v>0.34</v>
      </c>
      <c r="BH175" s="119">
        <v>1.22</v>
      </c>
      <c r="BI175" s="120">
        <v>0.51</v>
      </c>
      <c r="BJ175" s="118">
        <v>0</v>
      </c>
      <c r="BK175" s="118">
        <v>0.45</v>
      </c>
      <c r="BL175" s="119">
        <v>0.96</v>
      </c>
      <c r="BM175" s="120">
        <v>0.7</v>
      </c>
      <c r="BN175" s="118">
        <v>0.96</v>
      </c>
      <c r="BO175" s="118">
        <v>0.39</v>
      </c>
      <c r="BP175" s="118">
        <v>0.9</v>
      </c>
      <c r="BQ175" s="118">
        <v>2</v>
      </c>
      <c r="BR175" s="118">
        <v>5.29</v>
      </c>
      <c r="BS175" s="118">
        <v>2.74</v>
      </c>
      <c r="BT175" s="118">
        <v>0.49</v>
      </c>
      <c r="BU175" s="119">
        <v>0.63</v>
      </c>
      <c r="BV175" s="74">
        <v>1734190.0800000001</v>
      </c>
      <c r="BW175" s="236">
        <v>187.32499999999999</v>
      </c>
      <c r="BX175" s="106">
        <v>1066.8</v>
      </c>
      <c r="BY175" s="157">
        <v>22</v>
      </c>
      <c r="BZ175" s="106">
        <v>17.5</v>
      </c>
      <c r="CA175" s="115">
        <v>0</v>
      </c>
      <c r="CB175" s="105">
        <v>0</v>
      </c>
      <c r="CC175" s="114">
        <v>0</v>
      </c>
      <c r="CD175" s="105">
        <v>0</v>
      </c>
      <c r="CE175" s="99">
        <f t="shared" si="8"/>
        <v>2.1454845169577345E-3</v>
      </c>
      <c r="CF175" s="100">
        <f t="shared" si="6"/>
        <v>0.52</v>
      </c>
    </row>
    <row r="176" spans="1:84" hidden="1" x14ac:dyDescent="0.25">
      <c r="A176" s="104">
        <v>175</v>
      </c>
      <c r="B176" s="102"/>
      <c r="C176" s="103" t="s">
        <v>388</v>
      </c>
      <c r="D176" s="108">
        <v>1422.4</v>
      </c>
      <c r="E176" s="106">
        <v>1219.2</v>
      </c>
      <c r="F176" s="106">
        <f t="shared" si="7"/>
        <v>1734190.0800000001</v>
      </c>
      <c r="G176" s="236">
        <v>187.32499999999999</v>
      </c>
      <c r="H176" s="106">
        <v>1066.8</v>
      </c>
      <c r="I176" s="107">
        <v>1.17</v>
      </c>
      <c r="J176" s="155">
        <v>24</v>
      </c>
      <c r="K176" s="237">
        <v>19.2</v>
      </c>
      <c r="L176" s="157">
        <v>22</v>
      </c>
      <c r="M176" s="158">
        <v>1.07</v>
      </c>
      <c r="N176" s="106">
        <v>18.8</v>
      </c>
      <c r="O176" s="112" t="s">
        <v>201</v>
      </c>
      <c r="P176" s="113" t="s">
        <v>202</v>
      </c>
      <c r="Q176" s="114">
        <v>8.8000000000000003E-4</v>
      </c>
      <c r="R176" s="115">
        <v>0</v>
      </c>
      <c r="S176" s="115">
        <v>1.7600000000000001E-3</v>
      </c>
      <c r="T176" s="105">
        <v>492</v>
      </c>
      <c r="U176" s="113" t="s">
        <v>212</v>
      </c>
      <c r="V176" s="114">
        <v>7.5000000000000002E-4</v>
      </c>
      <c r="W176" s="105">
        <v>483</v>
      </c>
      <c r="X176" s="116">
        <v>1422</v>
      </c>
      <c r="Y176" s="160">
        <v>1.05</v>
      </c>
      <c r="Z176" s="110">
        <v>0.5</v>
      </c>
      <c r="AA176" s="123" t="s">
        <v>212</v>
      </c>
      <c r="AB176" s="112" t="s">
        <v>212</v>
      </c>
      <c r="AC176" s="174">
        <v>2</v>
      </c>
      <c r="AD176" s="112" t="s">
        <v>224</v>
      </c>
      <c r="AE176" s="113">
        <v>0.88</v>
      </c>
      <c r="AF176" s="120">
        <v>0.51</v>
      </c>
      <c r="AG176" s="118">
        <v>0.16</v>
      </c>
      <c r="AH176" s="118">
        <v>0.26</v>
      </c>
      <c r="AI176" s="119">
        <v>0.93</v>
      </c>
      <c r="AJ176" s="120">
        <v>0.5</v>
      </c>
      <c r="AK176" s="118">
        <v>0.65</v>
      </c>
      <c r="AL176" s="118">
        <v>0</v>
      </c>
      <c r="AM176" s="119">
        <v>1.1599999999999999</v>
      </c>
      <c r="AN176" s="120">
        <v>0.68</v>
      </c>
      <c r="AO176" s="118">
        <v>0.23</v>
      </c>
      <c r="AP176" s="118">
        <v>0.67</v>
      </c>
      <c r="AQ176" s="119">
        <v>1.58</v>
      </c>
      <c r="AR176" s="120">
        <v>0.86</v>
      </c>
      <c r="AS176" s="118">
        <v>0.19</v>
      </c>
      <c r="AT176" s="118">
        <v>0.26</v>
      </c>
      <c r="AU176" s="119">
        <v>0.69</v>
      </c>
      <c r="AV176" s="120">
        <v>0.31</v>
      </c>
      <c r="AW176" s="118">
        <v>0.36</v>
      </c>
      <c r="AX176" s="118">
        <v>0</v>
      </c>
      <c r="AY176" s="119">
        <v>0.67</v>
      </c>
      <c r="AZ176" s="120">
        <v>0.26</v>
      </c>
      <c r="BA176" s="118">
        <v>0.39</v>
      </c>
      <c r="BB176" s="118">
        <v>0.08</v>
      </c>
      <c r="BC176" s="119">
        <v>0.73</v>
      </c>
      <c r="BD176" s="121">
        <v>0.62</v>
      </c>
      <c r="BE176" s="120">
        <v>0.92</v>
      </c>
      <c r="BF176" s="118">
        <v>0</v>
      </c>
      <c r="BG176" s="118">
        <v>0.24</v>
      </c>
      <c r="BH176" s="119">
        <v>1.1599999999999999</v>
      </c>
      <c r="BI176" s="120">
        <v>0.53</v>
      </c>
      <c r="BJ176" s="118">
        <v>0.22</v>
      </c>
      <c r="BK176" s="118">
        <v>0.32</v>
      </c>
      <c r="BL176" s="119">
        <v>1.07</v>
      </c>
      <c r="BM176" s="120">
        <v>1.1100000000000001</v>
      </c>
      <c r="BN176" s="118">
        <v>0.89</v>
      </c>
      <c r="BO176" s="118">
        <v>0.65</v>
      </c>
      <c r="BP176" s="118">
        <v>1.48</v>
      </c>
      <c r="BQ176" s="118">
        <v>1.53</v>
      </c>
      <c r="BR176" s="118">
        <v>1.41</v>
      </c>
      <c r="BS176" s="118">
        <v>1.66</v>
      </c>
      <c r="BT176" s="118">
        <v>0.89</v>
      </c>
      <c r="BU176" s="119">
        <v>0.96</v>
      </c>
      <c r="BV176" s="74">
        <v>1734190.0800000001</v>
      </c>
      <c r="BW176" s="236">
        <v>187.32499999999999</v>
      </c>
      <c r="BX176" s="106">
        <v>1066.8</v>
      </c>
      <c r="BY176" s="157">
        <v>22</v>
      </c>
      <c r="BZ176" s="106">
        <v>18.8</v>
      </c>
      <c r="CA176" s="115">
        <v>1.7600000000000001E-3</v>
      </c>
      <c r="CB176" s="105">
        <v>492</v>
      </c>
      <c r="CC176" s="114">
        <v>7.5000000000000002E-4</v>
      </c>
      <c r="CD176" s="105">
        <v>483</v>
      </c>
      <c r="CE176" s="99">
        <f t="shared" si="8"/>
        <v>3.8969004491681302E-3</v>
      </c>
      <c r="CF176" s="100">
        <f t="shared" si="6"/>
        <v>0.88</v>
      </c>
    </row>
    <row r="177" spans="1:84" hidden="1" x14ac:dyDescent="0.25">
      <c r="A177" s="104">
        <v>176</v>
      </c>
      <c r="B177" s="102"/>
      <c r="C177" s="103" t="s">
        <v>389</v>
      </c>
      <c r="D177" s="108">
        <v>1422.4</v>
      </c>
      <c r="E177" s="106">
        <v>1219.2</v>
      </c>
      <c r="F177" s="106">
        <f t="shared" si="7"/>
        <v>1734190.0800000001</v>
      </c>
      <c r="G177" s="236">
        <v>187.32499999999999</v>
      </c>
      <c r="H177" s="106">
        <v>1066.8</v>
      </c>
      <c r="I177" s="107">
        <v>1.17</v>
      </c>
      <c r="J177" s="155">
        <v>24</v>
      </c>
      <c r="K177" s="237">
        <v>19.2</v>
      </c>
      <c r="L177" s="157">
        <v>22</v>
      </c>
      <c r="M177" s="158">
        <v>1.1000000000000001</v>
      </c>
      <c r="N177" s="106">
        <v>19.8</v>
      </c>
      <c r="O177" s="112" t="s">
        <v>201</v>
      </c>
      <c r="P177" s="113" t="s">
        <v>202</v>
      </c>
      <c r="Q177" s="114">
        <v>2.2300000000000002E-3</v>
      </c>
      <c r="R177" s="115">
        <v>0</v>
      </c>
      <c r="S177" s="115">
        <v>4.4600000000000004E-3</v>
      </c>
      <c r="T177" s="105">
        <v>0</v>
      </c>
      <c r="U177" s="113" t="s">
        <v>212</v>
      </c>
      <c r="V177" s="114">
        <v>0</v>
      </c>
      <c r="W177" s="105">
        <v>0</v>
      </c>
      <c r="X177" s="113" t="s">
        <v>212</v>
      </c>
      <c r="Y177" s="160">
        <v>0.72</v>
      </c>
      <c r="Z177" s="110">
        <v>0.5</v>
      </c>
      <c r="AA177" s="123" t="s">
        <v>212</v>
      </c>
      <c r="AB177" s="112" t="s">
        <v>212</v>
      </c>
      <c r="AC177" s="174">
        <v>2</v>
      </c>
      <c r="AD177" s="112" t="s">
        <v>224</v>
      </c>
      <c r="AE177" s="113">
        <v>0.83</v>
      </c>
      <c r="AF177" s="120">
        <v>0.52</v>
      </c>
      <c r="AG177" s="118">
        <v>0</v>
      </c>
      <c r="AH177" s="118">
        <v>0.18</v>
      </c>
      <c r="AI177" s="119">
        <v>0.7</v>
      </c>
      <c r="AJ177" s="120">
        <v>0.41</v>
      </c>
      <c r="AK177" s="118">
        <v>0</v>
      </c>
      <c r="AL177" s="118">
        <v>0</v>
      </c>
      <c r="AM177" s="119">
        <v>0.41</v>
      </c>
      <c r="AN177" s="120">
        <v>0.65</v>
      </c>
      <c r="AO177" s="118">
        <v>0</v>
      </c>
      <c r="AP177" s="118">
        <v>0.48</v>
      </c>
      <c r="AQ177" s="119">
        <v>1.1200000000000001</v>
      </c>
      <c r="AR177" s="120">
        <v>0.88</v>
      </c>
      <c r="AS177" s="118">
        <v>0</v>
      </c>
      <c r="AT177" s="118">
        <v>0.18</v>
      </c>
      <c r="AU177" s="119">
        <v>0.71</v>
      </c>
      <c r="AV177" s="120">
        <v>0.32</v>
      </c>
      <c r="AW177" s="118">
        <v>0</v>
      </c>
      <c r="AX177" s="118">
        <v>0</v>
      </c>
      <c r="AY177" s="119">
        <v>0.32</v>
      </c>
      <c r="AZ177" s="120">
        <v>0.33</v>
      </c>
      <c r="BA177" s="118">
        <v>0</v>
      </c>
      <c r="BB177" s="118">
        <v>0.06</v>
      </c>
      <c r="BC177" s="119">
        <v>0.39</v>
      </c>
      <c r="BD177" s="121">
        <v>0.22</v>
      </c>
      <c r="BE177" s="120">
        <v>0.94</v>
      </c>
      <c r="BF177" s="118">
        <v>0</v>
      </c>
      <c r="BG177" s="118">
        <v>0.17</v>
      </c>
      <c r="BH177" s="119">
        <v>1.1100000000000001</v>
      </c>
      <c r="BI177" s="120">
        <v>0.55000000000000004</v>
      </c>
      <c r="BJ177" s="118">
        <v>0</v>
      </c>
      <c r="BK177" s="118">
        <v>0.22</v>
      </c>
      <c r="BL177" s="119">
        <v>0.77</v>
      </c>
      <c r="BM177" s="120">
        <v>1.38</v>
      </c>
      <c r="BN177" s="118">
        <v>2.36</v>
      </c>
      <c r="BO177" s="118">
        <v>0.87</v>
      </c>
      <c r="BP177" s="118">
        <v>1.37</v>
      </c>
      <c r="BQ177" s="118">
        <v>3.04</v>
      </c>
      <c r="BR177" s="118">
        <v>2.5099999999999998</v>
      </c>
      <c r="BS177" s="118">
        <v>4.42</v>
      </c>
      <c r="BT177" s="118">
        <v>0.88</v>
      </c>
      <c r="BU177" s="119">
        <v>1.27</v>
      </c>
      <c r="BV177" s="74">
        <v>1734190.0800000001</v>
      </c>
      <c r="BW177" s="236">
        <v>187.32499999999999</v>
      </c>
      <c r="BX177" s="106">
        <v>1066.8</v>
      </c>
      <c r="BY177" s="157">
        <v>22</v>
      </c>
      <c r="BZ177" s="106">
        <v>19.8</v>
      </c>
      <c r="CA177" s="115">
        <v>4.4600000000000004E-3</v>
      </c>
      <c r="CB177" s="105">
        <v>0</v>
      </c>
      <c r="CC177" s="114">
        <v>0</v>
      </c>
      <c r="CD177" s="105">
        <v>0</v>
      </c>
      <c r="CE177" s="99">
        <f t="shared" si="8"/>
        <v>3.8531150508628706E-3</v>
      </c>
      <c r="CF177" s="100">
        <f t="shared" si="6"/>
        <v>0.83</v>
      </c>
    </row>
    <row r="178" spans="1:84" hidden="1" x14ac:dyDescent="0.25">
      <c r="A178" s="104">
        <v>177</v>
      </c>
      <c r="B178" s="102"/>
      <c r="C178" s="103" t="s">
        <v>390</v>
      </c>
      <c r="D178" s="108">
        <v>1422.4</v>
      </c>
      <c r="E178" s="106">
        <v>1219.2</v>
      </c>
      <c r="F178" s="106">
        <f t="shared" si="7"/>
        <v>1734190.0800000001</v>
      </c>
      <c r="G178" s="236">
        <v>187.32499999999999</v>
      </c>
      <c r="H178" s="106">
        <v>1066.8</v>
      </c>
      <c r="I178" s="107">
        <v>1.17</v>
      </c>
      <c r="J178" s="155">
        <v>24</v>
      </c>
      <c r="K178" s="237">
        <v>19.2</v>
      </c>
      <c r="L178" s="157">
        <v>22</v>
      </c>
      <c r="M178" s="158">
        <v>1.07</v>
      </c>
      <c r="N178" s="106">
        <v>18.8</v>
      </c>
      <c r="O178" s="112" t="s">
        <v>201</v>
      </c>
      <c r="P178" s="113" t="s">
        <v>202</v>
      </c>
      <c r="Q178" s="114">
        <v>2.2300000000000002E-3</v>
      </c>
      <c r="R178" s="115">
        <v>0</v>
      </c>
      <c r="S178" s="115">
        <v>4.4600000000000004E-3</v>
      </c>
      <c r="T178" s="105">
        <v>503</v>
      </c>
      <c r="U178" s="113" t="s">
        <v>212</v>
      </c>
      <c r="V178" s="114">
        <v>1.5E-3</v>
      </c>
      <c r="W178" s="105">
        <v>474</v>
      </c>
      <c r="X178" s="116">
        <v>711</v>
      </c>
      <c r="Y178" s="160">
        <v>0.52</v>
      </c>
      <c r="Z178" s="110">
        <v>0.5</v>
      </c>
      <c r="AA178" s="123" t="s">
        <v>212</v>
      </c>
      <c r="AB178" s="112" t="s">
        <v>212</v>
      </c>
      <c r="AC178" s="174">
        <v>2</v>
      </c>
      <c r="AD178" s="112" t="s">
        <v>224</v>
      </c>
      <c r="AE178" s="113">
        <v>0.9</v>
      </c>
      <c r="AF178" s="120">
        <v>0.51</v>
      </c>
      <c r="AG178" s="118">
        <v>0.31</v>
      </c>
      <c r="AH178" s="118">
        <v>0.13</v>
      </c>
      <c r="AI178" s="119">
        <v>0.95</v>
      </c>
      <c r="AJ178" s="120">
        <v>0.36</v>
      </c>
      <c r="AK178" s="118">
        <v>0.96</v>
      </c>
      <c r="AL178" s="118">
        <v>0</v>
      </c>
      <c r="AM178" s="119">
        <v>1.32</v>
      </c>
      <c r="AN178" s="120">
        <v>0.76</v>
      </c>
      <c r="AO178" s="118">
        <v>0.46</v>
      </c>
      <c r="AP178" s="118">
        <v>0.33</v>
      </c>
      <c r="AQ178" s="119">
        <v>1.54</v>
      </c>
      <c r="AR178" s="120">
        <v>0.86</v>
      </c>
      <c r="AS178" s="118">
        <v>0.37</v>
      </c>
      <c r="AT178" s="118">
        <v>0.13</v>
      </c>
      <c r="AU178" s="119">
        <v>0.69</v>
      </c>
      <c r="AV178" s="120">
        <v>0.31</v>
      </c>
      <c r="AW178" s="118">
        <v>0.71</v>
      </c>
      <c r="AX178" s="118">
        <v>0</v>
      </c>
      <c r="AY178" s="119">
        <v>1.02</v>
      </c>
      <c r="AZ178" s="120">
        <v>0.32</v>
      </c>
      <c r="BA178" s="118">
        <v>0.55000000000000004</v>
      </c>
      <c r="BB178" s="118">
        <v>0.04</v>
      </c>
      <c r="BC178" s="119">
        <v>0.91</v>
      </c>
      <c r="BD178" s="121">
        <v>0.62</v>
      </c>
      <c r="BE178" s="120">
        <v>0.92</v>
      </c>
      <c r="BF178" s="118">
        <v>0</v>
      </c>
      <c r="BG178" s="118">
        <v>0.12</v>
      </c>
      <c r="BH178" s="119">
        <v>1.04</v>
      </c>
      <c r="BI178" s="120">
        <v>0.53</v>
      </c>
      <c r="BJ178" s="118">
        <v>0.32</v>
      </c>
      <c r="BK178" s="118">
        <v>0.16</v>
      </c>
      <c r="BL178" s="119">
        <v>1.01</v>
      </c>
      <c r="BM178" s="120">
        <v>1.1000000000000001</v>
      </c>
      <c r="BN178" s="118">
        <v>0.79</v>
      </c>
      <c r="BO178" s="118">
        <v>0.68</v>
      </c>
      <c r="BP178" s="118">
        <v>1.51</v>
      </c>
      <c r="BQ178" s="118">
        <v>1.02</v>
      </c>
      <c r="BR178" s="118">
        <v>1.1499999999999999</v>
      </c>
      <c r="BS178" s="118">
        <v>1.68</v>
      </c>
      <c r="BT178" s="118">
        <v>1.01</v>
      </c>
      <c r="BU178" s="119">
        <v>1.03</v>
      </c>
      <c r="BV178" s="74">
        <v>1734190.0800000001</v>
      </c>
      <c r="BW178" s="236">
        <v>187.32499999999999</v>
      </c>
      <c r="BX178" s="106">
        <v>1066.8</v>
      </c>
      <c r="BY178" s="157">
        <v>22</v>
      </c>
      <c r="BZ178" s="106">
        <v>18.8</v>
      </c>
      <c r="CA178" s="115">
        <v>4.4600000000000004E-3</v>
      </c>
      <c r="CB178" s="105">
        <v>503</v>
      </c>
      <c r="CC178" s="114">
        <v>1.5E-3</v>
      </c>
      <c r="CD178" s="105">
        <v>474</v>
      </c>
      <c r="CE178" s="99">
        <f t="shared" si="8"/>
        <v>4.4223252288312486E-3</v>
      </c>
      <c r="CF178" s="100">
        <f t="shared" si="6"/>
        <v>0.9</v>
      </c>
    </row>
    <row r="179" spans="1:84" hidden="1" x14ac:dyDescent="0.25">
      <c r="A179" s="104">
        <v>178</v>
      </c>
      <c r="B179" s="102"/>
      <c r="C179" s="103" t="s">
        <v>391</v>
      </c>
      <c r="D179" s="104">
        <v>2032</v>
      </c>
      <c r="E179" s="106">
        <v>1066.8</v>
      </c>
      <c r="F179" s="106">
        <f t="shared" si="7"/>
        <v>2167737.6</v>
      </c>
      <c r="G179" s="236">
        <v>187.328</v>
      </c>
      <c r="H179" s="106">
        <v>914.4</v>
      </c>
      <c r="I179" s="107">
        <v>1.9</v>
      </c>
      <c r="J179" s="155">
        <v>24</v>
      </c>
      <c r="K179" s="237">
        <v>19.2</v>
      </c>
      <c r="L179" s="157">
        <v>22</v>
      </c>
      <c r="M179" s="158">
        <v>1.35</v>
      </c>
      <c r="N179" s="106">
        <v>31.1</v>
      </c>
      <c r="O179" s="112" t="s">
        <v>201</v>
      </c>
      <c r="P179" s="113" t="s">
        <v>202</v>
      </c>
      <c r="Q179" s="114">
        <v>2.5500000000000002E-3</v>
      </c>
      <c r="R179" s="115">
        <v>0</v>
      </c>
      <c r="S179" s="115">
        <v>5.1000000000000004E-3</v>
      </c>
      <c r="T179" s="105">
        <v>326</v>
      </c>
      <c r="U179" s="113" t="s">
        <v>212</v>
      </c>
      <c r="V179" s="114">
        <v>0</v>
      </c>
      <c r="W179" s="105">
        <v>343</v>
      </c>
      <c r="X179" s="113" t="s">
        <v>212</v>
      </c>
      <c r="Y179" s="160">
        <v>0.74</v>
      </c>
      <c r="Z179" s="110">
        <v>0.5</v>
      </c>
      <c r="AA179" s="123" t="s">
        <v>212</v>
      </c>
      <c r="AB179" s="112" t="s">
        <v>212</v>
      </c>
      <c r="AC179" s="174">
        <v>2</v>
      </c>
      <c r="AD179" s="112" t="s">
        <v>224</v>
      </c>
      <c r="AE179" s="113">
        <v>0.61</v>
      </c>
      <c r="AF179" s="120">
        <v>0.52</v>
      </c>
      <c r="AG179" s="118">
        <v>0</v>
      </c>
      <c r="AH179" s="118">
        <v>0.19</v>
      </c>
      <c r="AI179" s="119">
        <v>0.71</v>
      </c>
      <c r="AJ179" s="120">
        <v>0.42</v>
      </c>
      <c r="AK179" s="118">
        <v>0</v>
      </c>
      <c r="AL179" s="118">
        <v>0</v>
      </c>
      <c r="AM179" s="119">
        <v>0.42</v>
      </c>
      <c r="AN179" s="120">
        <v>0.75</v>
      </c>
      <c r="AO179" s="118">
        <v>0</v>
      </c>
      <c r="AP179" s="118">
        <v>0.28999999999999998</v>
      </c>
      <c r="AQ179" s="119">
        <v>1.04</v>
      </c>
      <c r="AR179" s="120">
        <v>0.8</v>
      </c>
      <c r="AS179" s="118">
        <v>0</v>
      </c>
      <c r="AT179" s="118">
        <v>0.19</v>
      </c>
      <c r="AU179" s="119">
        <v>0.89</v>
      </c>
      <c r="AV179" s="120">
        <v>0.28000000000000003</v>
      </c>
      <c r="AW179" s="118">
        <v>0</v>
      </c>
      <c r="AX179" s="118">
        <v>0</v>
      </c>
      <c r="AY179" s="119">
        <v>0.28000000000000003</v>
      </c>
      <c r="AZ179" s="120">
        <v>0.44</v>
      </c>
      <c r="BA179" s="118">
        <v>0</v>
      </c>
      <c r="BB179" s="118">
        <v>0.06</v>
      </c>
      <c r="BC179" s="119">
        <v>0.49</v>
      </c>
      <c r="BD179" s="121">
        <v>0.19</v>
      </c>
      <c r="BE179" s="120">
        <v>0.71</v>
      </c>
      <c r="BF179" s="118">
        <v>0</v>
      </c>
      <c r="BG179" s="118">
        <v>0.17</v>
      </c>
      <c r="BH179" s="119">
        <v>0.88</v>
      </c>
      <c r="BI179" s="120">
        <v>0.68</v>
      </c>
      <c r="BJ179" s="118">
        <v>0</v>
      </c>
      <c r="BK179" s="118">
        <v>0.22</v>
      </c>
      <c r="BL179" s="119">
        <v>0.9</v>
      </c>
      <c r="BM179" s="120">
        <v>1.64</v>
      </c>
      <c r="BN179" s="118">
        <v>2.77</v>
      </c>
      <c r="BO179" s="118">
        <v>1.1100000000000001</v>
      </c>
      <c r="BP179" s="118">
        <v>1.29</v>
      </c>
      <c r="BQ179" s="118">
        <v>4.16</v>
      </c>
      <c r="BR179" s="118">
        <v>2.34</v>
      </c>
      <c r="BS179" s="118">
        <v>6.08</v>
      </c>
      <c r="BT179" s="118">
        <v>1.31</v>
      </c>
      <c r="BU179" s="119">
        <v>1.28</v>
      </c>
      <c r="BV179" s="74">
        <v>2167737.6</v>
      </c>
      <c r="BW179" s="236">
        <v>187.328</v>
      </c>
      <c r="BX179" s="106">
        <v>914.4</v>
      </c>
      <c r="BY179" s="157">
        <v>22</v>
      </c>
      <c r="BZ179" s="106">
        <v>31.1</v>
      </c>
      <c r="CA179" s="115">
        <v>5.1000000000000004E-3</v>
      </c>
      <c r="CB179" s="105">
        <v>326</v>
      </c>
      <c r="CC179" s="114">
        <v>0</v>
      </c>
      <c r="CD179" s="105">
        <v>343</v>
      </c>
      <c r="CE179" s="99">
        <f t="shared" si="8"/>
        <v>6.5551946508907097E-3</v>
      </c>
      <c r="CF179" s="100">
        <f t="shared" si="6"/>
        <v>0.61</v>
      </c>
    </row>
    <row r="180" spans="1:84" hidden="1" x14ac:dyDescent="0.25">
      <c r="A180" s="104">
        <v>179</v>
      </c>
      <c r="B180" s="102"/>
      <c r="C180" s="103" t="s">
        <v>392</v>
      </c>
      <c r="D180" s="104">
        <v>2032</v>
      </c>
      <c r="E180" s="106">
        <v>1066.8</v>
      </c>
      <c r="F180" s="106">
        <f t="shared" si="7"/>
        <v>2167737.6</v>
      </c>
      <c r="G180" s="236">
        <v>187.32499999999999</v>
      </c>
      <c r="H180" s="106">
        <v>914.4</v>
      </c>
      <c r="I180" s="107">
        <v>1.9</v>
      </c>
      <c r="J180" s="155">
        <v>24</v>
      </c>
      <c r="K180" s="237">
        <v>19.2</v>
      </c>
      <c r="L180" s="157">
        <v>22</v>
      </c>
      <c r="M180" s="158">
        <v>1.35</v>
      </c>
      <c r="N180" s="106">
        <v>31.1</v>
      </c>
      <c r="O180" s="112" t="s">
        <v>201</v>
      </c>
      <c r="P180" s="113" t="s">
        <v>202</v>
      </c>
      <c r="Q180" s="114">
        <v>2.5500000000000002E-3</v>
      </c>
      <c r="R180" s="115">
        <v>0</v>
      </c>
      <c r="S180" s="115">
        <v>5.1000000000000004E-3</v>
      </c>
      <c r="T180" s="105">
        <v>326</v>
      </c>
      <c r="U180" s="113" t="s">
        <v>212</v>
      </c>
      <c r="V180" s="114">
        <v>1.58E-3</v>
      </c>
      <c r="W180" s="105">
        <v>343</v>
      </c>
      <c r="X180" s="116">
        <v>677</v>
      </c>
      <c r="Y180" s="160">
        <v>1.19</v>
      </c>
      <c r="Z180" s="110">
        <v>0.5</v>
      </c>
      <c r="AA180" s="123" t="s">
        <v>212</v>
      </c>
      <c r="AB180" s="112" t="s">
        <v>212</v>
      </c>
      <c r="AC180" s="174">
        <v>2</v>
      </c>
      <c r="AD180" s="112" t="s">
        <v>224</v>
      </c>
      <c r="AE180" s="113">
        <v>1.06</v>
      </c>
      <c r="AF180" s="120">
        <v>0.52</v>
      </c>
      <c r="AG180" s="118">
        <v>0.23</v>
      </c>
      <c r="AH180" s="118">
        <v>0.3</v>
      </c>
      <c r="AI180" s="119">
        <v>1.05</v>
      </c>
      <c r="AJ180" s="120">
        <v>0.54</v>
      </c>
      <c r="AK180" s="118">
        <v>0.65</v>
      </c>
      <c r="AL180" s="118">
        <v>0</v>
      </c>
      <c r="AM180" s="119">
        <v>1.19</v>
      </c>
      <c r="AN180" s="120">
        <v>0.75</v>
      </c>
      <c r="AO180" s="118">
        <v>0.35</v>
      </c>
      <c r="AP180" s="118">
        <v>0.46</v>
      </c>
      <c r="AQ180" s="119">
        <v>1.56</v>
      </c>
      <c r="AR180" s="120">
        <v>0.8</v>
      </c>
      <c r="AS180" s="118">
        <v>0.28000000000000003</v>
      </c>
      <c r="AT180" s="118">
        <v>0.3</v>
      </c>
      <c r="AU180" s="119">
        <v>0.89</v>
      </c>
      <c r="AV180" s="120">
        <v>0.28000000000000003</v>
      </c>
      <c r="AW180" s="118">
        <v>0.54</v>
      </c>
      <c r="AX180" s="118">
        <v>0</v>
      </c>
      <c r="AY180" s="119">
        <v>0.82</v>
      </c>
      <c r="AZ180" s="120">
        <v>0.44</v>
      </c>
      <c r="BA180" s="118">
        <v>0.47</v>
      </c>
      <c r="BB180" s="118">
        <v>0.09</v>
      </c>
      <c r="BC180" s="119">
        <v>0.99</v>
      </c>
      <c r="BD180" s="121">
        <v>0.52</v>
      </c>
      <c r="BE180" s="120">
        <v>0.71</v>
      </c>
      <c r="BF180" s="118">
        <v>0</v>
      </c>
      <c r="BG180" s="118">
        <v>0.27</v>
      </c>
      <c r="BH180" s="119">
        <v>0.98</v>
      </c>
      <c r="BI180" s="120">
        <v>0.68</v>
      </c>
      <c r="BJ180" s="118">
        <v>0.32</v>
      </c>
      <c r="BK180" s="118">
        <v>0.36</v>
      </c>
      <c r="BL180" s="119">
        <v>1.36</v>
      </c>
      <c r="BM180" s="120">
        <v>1.93</v>
      </c>
      <c r="BN180" s="118">
        <v>1.7</v>
      </c>
      <c r="BO180" s="118">
        <v>1.3</v>
      </c>
      <c r="BP180" s="118">
        <v>2.27</v>
      </c>
      <c r="BQ180" s="118">
        <v>2.4700000000000002</v>
      </c>
      <c r="BR180" s="118">
        <v>2.04</v>
      </c>
      <c r="BS180" s="118">
        <v>3.89</v>
      </c>
      <c r="BT180" s="118">
        <v>2.0499999999999998</v>
      </c>
      <c r="BU180" s="119">
        <v>1.49</v>
      </c>
      <c r="BV180" s="74">
        <v>2167737.6</v>
      </c>
      <c r="BW180" s="236">
        <v>187.32499999999999</v>
      </c>
      <c r="BX180" s="106">
        <v>914.4</v>
      </c>
      <c r="BY180" s="157">
        <v>22</v>
      </c>
      <c r="BZ180" s="106">
        <v>31.1</v>
      </c>
      <c r="CA180" s="115">
        <v>5.1000000000000004E-3</v>
      </c>
      <c r="CB180" s="105">
        <v>326</v>
      </c>
      <c r="CC180" s="114">
        <v>1.58E-3</v>
      </c>
      <c r="CD180" s="105">
        <v>343</v>
      </c>
      <c r="CE180" s="99">
        <f t="shared" si="8"/>
        <v>1.0258293317232317E-2</v>
      </c>
      <c r="CF180" s="100">
        <f t="shared" si="6"/>
        <v>1.06</v>
      </c>
    </row>
    <row r="181" spans="1:84" hidden="1" x14ac:dyDescent="0.25">
      <c r="A181" s="218">
        <v>180</v>
      </c>
      <c r="B181" s="216"/>
      <c r="C181" s="217" t="s">
        <v>393</v>
      </c>
      <c r="D181" s="218">
        <v>2032</v>
      </c>
      <c r="E181" s="220">
        <v>1066.8</v>
      </c>
      <c r="F181" s="220">
        <f t="shared" si="7"/>
        <v>2167737.6</v>
      </c>
      <c r="G181" s="238">
        <v>187.32499999999999</v>
      </c>
      <c r="H181" s="220">
        <v>914.4</v>
      </c>
      <c r="I181" s="221">
        <v>1.9</v>
      </c>
      <c r="J181" s="222">
        <v>24</v>
      </c>
      <c r="K181" s="239">
        <v>19.2</v>
      </c>
      <c r="L181" s="157">
        <v>22</v>
      </c>
      <c r="M181" s="223">
        <v>1.35</v>
      </c>
      <c r="N181" s="220">
        <v>31.1</v>
      </c>
      <c r="O181" s="224" t="s">
        <v>201</v>
      </c>
      <c r="P181" s="225" t="s">
        <v>202</v>
      </c>
      <c r="Q181" s="226">
        <v>2.5500000000000002E-3</v>
      </c>
      <c r="R181" s="227">
        <v>0</v>
      </c>
      <c r="S181" s="227">
        <v>5.1000000000000004E-3</v>
      </c>
      <c r="T181" s="219">
        <v>326</v>
      </c>
      <c r="U181" s="225" t="s">
        <v>212</v>
      </c>
      <c r="V181" s="226">
        <v>2.0999999999999999E-3</v>
      </c>
      <c r="W181" s="219">
        <v>343</v>
      </c>
      <c r="X181" s="228">
        <v>508</v>
      </c>
      <c r="Y181" s="229">
        <v>1.17</v>
      </c>
      <c r="Z181" s="240">
        <v>0.5</v>
      </c>
      <c r="AA181" s="193" t="s">
        <v>212</v>
      </c>
      <c r="AB181" s="139" t="s">
        <v>212</v>
      </c>
      <c r="AC181" s="231">
        <v>2</v>
      </c>
      <c r="AD181" s="224" t="s">
        <v>224</v>
      </c>
      <c r="AE181" s="225">
        <v>1.05</v>
      </c>
      <c r="AF181" s="147">
        <v>0.52</v>
      </c>
      <c r="AG181" s="145">
        <v>0.31</v>
      </c>
      <c r="AH181" s="145">
        <v>0.28999999999999998</v>
      </c>
      <c r="AI181" s="146">
        <v>1.1200000000000001</v>
      </c>
      <c r="AJ181" s="147">
        <v>0.54</v>
      </c>
      <c r="AK181" s="145">
        <v>0.81</v>
      </c>
      <c r="AL181" s="145">
        <v>0</v>
      </c>
      <c r="AM181" s="146">
        <v>1.35</v>
      </c>
      <c r="AN181" s="147">
        <v>0.75</v>
      </c>
      <c r="AO181" s="145">
        <v>0.46</v>
      </c>
      <c r="AP181" s="145">
        <v>0.45</v>
      </c>
      <c r="AQ181" s="146">
        <v>1.67</v>
      </c>
      <c r="AR181" s="147">
        <v>0.8</v>
      </c>
      <c r="AS181" s="145">
        <v>0.37</v>
      </c>
      <c r="AT181" s="145">
        <v>0.28999999999999998</v>
      </c>
      <c r="AU181" s="146">
        <v>0.89</v>
      </c>
      <c r="AV181" s="147">
        <v>0.28000000000000003</v>
      </c>
      <c r="AW181" s="145">
        <v>0.72</v>
      </c>
      <c r="AX181" s="145">
        <v>0</v>
      </c>
      <c r="AY181" s="146">
        <v>1</v>
      </c>
      <c r="AZ181" s="147">
        <v>0.44</v>
      </c>
      <c r="BA181" s="145">
        <v>0.54</v>
      </c>
      <c r="BB181" s="145">
        <v>0.09</v>
      </c>
      <c r="BC181" s="146">
        <v>1.06</v>
      </c>
      <c r="BD181" s="148">
        <v>0.52</v>
      </c>
      <c r="BE181" s="147">
        <v>0.71</v>
      </c>
      <c r="BF181" s="145">
        <v>0</v>
      </c>
      <c r="BG181" s="145">
        <v>0.27</v>
      </c>
      <c r="BH181" s="146">
        <v>0.98</v>
      </c>
      <c r="BI181" s="147">
        <v>0.68</v>
      </c>
      <c r="BJ181" s="145">
        <v>0.32</v>
      </c>
      <c r="BK181" s="145">
        <v>0.35</v>
      </c>
      <c r="BL181" s="146">
        <v>1.34</v>
      </c>
      <c r="BM181" s="147">
        <v>1.79</v>
      </c>
      <c r="BN181" s="145">
        <v>1.49</v>
      </c>
      <c r="BO181" s="145">
        <v>1.2</v>
      </c>
      <c r="BP181" s="145">
        <v>2.25</v>
      </c>
      <c r="BQ181" s="145">
        <v>2.0099999999999998</v>
      </c>
      <c r="BR181" s="145">
        <v>1.89</v>
      </c>
      <c r="BS181" s="145">
        <v>3.86</v>
      </c>
      <c r="BT181" s="145">
        <v>2.0499999999999998</v>
      </c>
      <c r="BU181" s="146">
        <v>1.49</v>
      </c>
      <c r="BV181" s="74">
        <v>2167737.6</v>
      </c>
      <c r="BW181" s="238">
        <v>187.32499999999999</v>
      </c>
      <c r="BX181" s="220">
        <v>914.4</v>
      </c>
      <c r="BY181" s="157">
        <v>22</v>
      </c>
      <c r="BZ181" s="220">
        <v>31.1</v>
      </c>
      <c r="CA181" s="227">
        <v>5.1000000000000004E-3</v>
      </c>
      <c r="CB181" s="219">
        <v>326</v>
      </c>
      <c r="CC181" s="226">
        <v>2.0999999999999999E-3</v>
      </c>
      <c r="CD181" s="219">
        <v>343</v>
      </c>
      <c r="CE181" s="99">
        <f t="shared" si="8"/>
        <v>1.0258293317232317E-2</v>
      </c>
      <c r="CF181" s="100">
        <f t="shared" si="6"/>
        <v>1.05</v>
      </c>
    </row>
    <row r="182" spans="1:84" ht="14.25" customHeight="1" x14ac:dyDescent="0.25">
      <c r="A182" s="199">
        <v>181</v>
      </c>
      <c r="B182" s="197" t="s">
        <v>394</v>
      </c>
      <c r="C182" s="198" t="s">
        <v>395</v>
      </c>
      <c r="D182" s="234">
        <v>1422.4</v>
      </c>
      <c r="E182" s="201">
        <v>1219.2</v>
      </c>
      <c r="F182" s="201">
        <f t="shared" si="7"/>
        <v>1734190.0800000001</v>
      </c>
      <c r="G182" s="235">
        <v>193.67500000000001</v>
      </c>
      <c r="H182" s="201">
        <v>1066.8</v>
      </c>
      <c r="I182" s="202">
        <v>1.17</v>
      </c>
      <c r="J182" s="203">
        <v>24</v>
      </c>
      <c r="K182" s="204">
        <v>19.2</v>
      </c>
      <c r="L182" s="205">
        <v>22</v>
      </c>
      <c r="M182" s="206">
        <v>0.65</v>
      </c>
      <c r="N182" s="201">
        <v>8.9</v>
      </c>
      <c r="O182" s="207" t="s">
        <v>201</v>
      </c>
      <c r="P182" s="208" t="s">
        <v>211</v>
      </c>
      <c r="Q182" s="209">
        <v>0</v>
      </c>
      <c r="R182" s="210">
        <v>0</v>
      </c>
      <c r="S182" s="210">
        <v>0</v>
      </c>
      <c r="T182" s="200">
        <v>0</v>
      </c>
      <c r="U182" s="208" t="s">
        <v>212</v>
      </c>
      <c r="V182" s="209">
        <v>0</v>
      </c>
      <c r="W182" s="200">
        <v>0</v>
      </c>
      <c r="X182" s="208" t="s">
        <v>212</v>
      </c>
      <c r="Y182" s="212">
        <v>0.74</v>
      </c>
      <c r="Z182" s="233">
        <v>0.5</v>
      </c>
      <c r="AA182" s="123" t="s">
        <v>212</v>
      </c>
      <c r="AB182" s="112" t="s">
        <v>212</v>
      </c>
      <c r="AC182" s="214">
        <v>2</v>
      </c>
      <c r="AD182" s="207" t="s">
        <v>224</v>
      </c>
      <c r="AE182" s="208">
        <v>0.48</v>
      </c>
      <c r="AF182" s="97">
        <v>0.35</v>
      </c>
      <c r="AG182" s="95">
        <v>0</v>
      </c>
      <c r="AH182" s="95">
        <v>0.19</v>
      </c>
      <c r="AI182" s="96">
        <v>0.54</v>
      </c>
      <c r="AJ182" s="97">
        <v>0.42</v>
      </c>
      <c r="AK182" s="95">
        <v>0</v>
      </c>
      <c r="AL182" s="95">
        <v>0</v>
      </c>
      <c r="AM182" s="96">
        <v>0.42</v>
      </c>
      <c r="AN182" s="97">
        <v>0.43</v>
      </c>
      <c r="AO182" s="95">
        <v>0</v>
      </c>
      <c r="AP182" s="95">
        <v>0.48</v>
      </c>
      <c r="AQ182" s="96">
        <v>0.91</v>
      </c>
      <c r="AR182" s="97">
        <v>0.59</v>
      </c>
      <c r="AS182" s="95">
        <v>0</v>
      </c>
      <c r="AT182" s="95">
        <v>0.19</v>
      </c>
      <c r="AU182" s="96">
        <v>0.48</v>
      </c>
      <c r="AV182" s="97">
        <v>0.22</v>
      </c>
      <c r="AW182" s="95">
        <v>0</v>
      </c>
      <c r="AX182" s="95">
        <v>0</v>
      </c>
      <c r="AY182" s="96">
        <v>0.22</v>
      </c>
      <c r="AZ182" s="97">
        <v>0</v>
      </c>
      <c r="BA182" s="95">
        <v>0</v>
      </c>
      <c r="BB182" s="95">
        <v>0.06</v>
      </c>
      <c r="BC182" s="96">
        <v>0.06</v>
      </c>
      <c r="BD182" s="98">
        <v>0.22</v>
      </c>
      <c r="BE182" s="97">
        <v>0.55000000000000004</v>
      </c>
      <c r="BF182" s="95">
        <v>0</v>
      </c>
      <c r="BG182" s="95">
        <v>0.17</v>
      </c>
      <c r="BH182" s="96">
        <v>0.72</v>
      </c>
      <c r="BI182" s="97">
        <v>0.32</v>
      </c>
      <c r="BJ182" s="95">
        <v>0</v>
      </c>
      <c r="BK182" s="95">
        <v>0.22</v>
      </c>
      <c r="BL182" s="96">
        <v>0.55000000000000004</v>
      </c>
      <c r="BM182" s="97">
        <v>1.05</v>
      </c>
      <c r="BN182" s="95">
        <v>1.35</v>
      </c>
      <c r="BO182" s="95">
        <v>0.62</v>
      </c>
      <c r="BP182" s="95">
        <v>1.18</v>
      </c>
      <c r="BQ182" s="95">
        <v>2.62</v>
      </c>
      <c r="BR182" s="95">
        <v>9.9499999999999993</v>
      </c>
      <c r="BS182" s="95">
        <v>2.56</v>
      </c>
      <c r="BT182" s="95">
        <v>0.78</v>
      </c>
      <c r="BU182" s="96">
        <v>1.03</v>
      </c>
      <c r="BV182" s="74">
        <v>1734190.0800000001</v>
      </c>
      <c r="BW182" s="235">
        <v>193.67500000000001</v>
      </c>
      <c r="BX182" s="201">
        <v>1066.8</v>
      </c>
      <c r="BY182" s="205">
        <v>22</v>
      </c>
      <c r="BZ182" s="201">
        <v>8.9</v>
      </c>
      <c r="CA182" s="210">
        <v>0</v>
      </c>
      <c r="CB182" s="200">
        <v>0</v>
      </c>
      <c r="CC182" s="209">
        <v>0</v>
      </c>
      <c r="CD182" s="200">
        <v>0</v>
      </c>
      <c r="CE182" s="99">
        <f t="shared" si="8"/>
        <v>3.3032852950951801E-3</v>
      </c>
      <c r="CF182" s="100">
        <f t="shared" si="6"/>
        <v>0.48</v>
      </c>
    </row>
    <row r="183" spans="1:84" x14ac:dyDescent="0.25">
      <c r="A183" s="104">
        <v>182</v>
      </c>
      <c r="B183" s="102"/>
      <c r="C183" s="103" t="s">
        <v>396</v>
      </c>
      <c r="D183" s="108">
        <v>1422.4</v>
      </c>
      <c r="E183" s="106">
        <v>1219.2</v>
      </c>
      <c r="F183" s="106">
        <f t="shared" si="7"/>
        <v>1734190.0800000001</v>
      </c>
      <c r="G183" s="236">
        <v>193.67500000000001</v>
      </c>
      <c r="H183" s="106">
        <v>1066.8</v>
      </c>
      <c r="I183" s="107">
        <v>1.17</v>
      </c>
      <c r="J183" s="155">
        <v>24</v>
      </c>
      <c r="K183" s="237">
        <v>19.2</v>
      </c>
      <c r="L183" s="157">
        <v>22</v>
      </c>
      <c r="M183" s="158">
        <v>0.62</v>
      </c>
      <c r="N183" s="106">
        <v>8.5</v>
      </c>
      <c r="O183" s="112" t="s">
        <v>201</v>
      </c>
      <c r="P183" s="113" t="s">
        <v>211</v>
      </c>
      <c r="Q183" s="114">
        <v>0</v>
      </c>
      <c r="R183" s="115">
        <v>0</v>
      </c>
      <c r="S183" s="115">
        <v>0</v>
      </c>
      <c r="T183" s="105">
        <v>0</v>
      </c>
      <c r="U183" s="113" t="s">
        <v>212</v>
      </c>
      <c r="V183" s="114">
        <v>2.3000000000000001E-4</v>
      </c>
      <c r="W183" s="105">
        <v>276</v>
      </c>
      <c r="X183" s="113" t="s">
        <v>212</v>
      </c>
      <c r="Y183" s="160">
        <v>0.74</v>
      </c>
      <c r="Z183" s="110">
        <v>0.5</v>
      </c>
      <c r="AA183" s="123" t="s">
        <v>212</v>
      </c>
      <c r="AB183" s="112" t="s">
        <v>212</v>
      </c>
      <c r="AC183" s="174">
        <v>2</v>
      </c>
      <c r="AD183" s="112" t="s">
        <v>224</v>
      </c>
      <c r="AE183" s="113">
        <v>0.6</v>
      </c>
      <c r="AF183" s="120">
        <v>0.34</v>
      </c>
      <c r="AG183" s="118">
        <v>0.03</v>
      </c>
      <c r="AH183" s="118">
        <v>0.19</v>
      </c>
      <c r="AI183" s="119">
        <v>0.56000000000000005</v>
      </c>
      <c r="AJ183" s="120">
        <v>0.42</v>
      </c>
      <c r="AK183" s="118">
        <v>0.06</v>
      </c>
      <c r="AL183" s="118">
        <v>0</v>
      </c>
      <c r="AM183" s="119">
        <v>0.48</v>
      </c>
      <c r="AN183" s="120">
        <v>0.42</v>
      </c>
      <c r="AO183" s="118">
        <v>0.04</v>
      </c>
      <c r="AP183" s="118">
        <v>0.47</v>
      </c>
      <c r="AQ183" s="119">
        <v>0.94</v>
      </c>
      <c r="AR183" s="120">
        <v>0.57999999999999996</v>
      </c>
      <c r="AS183" s="118">
        <v>0.03</v>
      </c>
      <c r="AT183" s="118">
        <v>0.19</v>
      </c>
      <c r="AU183" s="119">
        <v>0.47</v>
      </c>
      <c r="AV183" s="120">
        <v>0.21</v>
      </c>
      <c r="AW183" s="118">
        <v>0.06</v>
      </c>
      <c r="AX183" s="118">
        <v>0</v>
      </c>
      <c r="AY183" s="119">
        <v>0.27</v>
      </c>
      <c r="AZ183" s="120">
        <v>0</v>
      </c>
      <c r="BA183" s="118">
        <v>0.16</v>
      </c>
      <c r="BB183" s="118">
        <v>0.06</v>
      </c>
      <c r="BC183" s="119">
        <v>0.22</v>
      </c>
      <c r="BD183" s="121">
        <v>0.42</v>
      </c>
      <c r="BE183" s="120">
        <v>0.53</v>
      </c>
      <c r="BF183" s="118">
        <v>0</v>
      </c>
      <c r="BG183" s="118">
        <v>0.17</v>
      </c>
      <c r="BH183" s="119">
        <v>0.7</v>
      </c>
      <c r="BI183" s="120">
        <v>0.31</v>
      </c>
      <c r="BJ183" s="118">
        <v>0.04</v>
      </c>
      <c r="BK183" s="118">
        <v>0.22</v>
      </c>
      <c r="BL183" s="119">
        <v>0.56999999999999995</v>
      </c>
      <c r="BM183" s="120">
        <v>1.26</v>
      </c>
      <c r="BN183" s="118">
        <v>1.48</v>
      </c>
      <c r="BO183" s="118">
        <v>0.75</v>
      </c>
      <c r="BP183" s="118">
        <v>1.51</v>
      </c>
      <c r="BQ183" s="118">
        <v>2.56</v>
      </c>
      <c r="BR183" s="118">
        <v>3.18</v>
      </c>
      <c r="BS183" s="118">
        <v>1.68</v>
      </c>
      <c r="BT183" s="118">
        <v>1</v>
      </c>
      <c r="BU183" s="119">
        <v>1.23</v>
      </c>
      <c r="BV183" s="74">
        <v>1734190.0800000001</v>
      </c>
      <c r="BW183" s="236">
        <v>193.67500000000001</v>
      </c>
      <c r="BX183" s="106">
        <v>1066.8</v>
      </c>
      <c r="BY183" s="157">
        <v>22</v>
      </c>
      <c r="BZ183" s="106">
        <v>8.5</v>
      </c>
      <c r="CA183" s="115">
        <v>0</v>
      </c>
      <c r="CB183" s="105">
        <v>0</v>
      </c>
      <c r="CC183" s="114">
        <v>2.3000000000000001E-4</v>
      </c>
      <c r="CD183" s="105">
        <v>276</v>
      </c>
      <c r="CE183" s="99">
        <f t="shared" si="8"/>
        <v>4.234981147557923E-3</v>
      </c>
      <c r="CF183" s="100">
        <f t="shared" si="6"/>
        <v>0.6</v>
      </c>
    </row>
    <row r="184" spans="1:84" x14ac:dyDescent="0.25">
      <c r="A184" s="104">
        <v>183</v>
      </c>
      <c r="B184" s="102"/>
      <c r="C184" s="103" t="s">
        <v>397</v>
      </c>
      <c r="D184" s="108">
        <v>1422.4</v>
      </c>
      <c r="E184" s="106">
        <v>1219.2</v>
      </c>
      <c r="F184" s="106">
        <f t="shared" si="7"/>
        <v>1734190.0800000001</v>
      </c>
      <c r="G184" s="236">
        <v>193.67500000000001</v>
      </c>
      <c r="H184" s="106">
        <v>1066.8</v>
      </c>
      <c r="I184" s="107">
        <v>1.17</v>
      </c>
      <c r="J184" s="155">
        <v>24</v>
      </c>
      <c r="K184" s="237">
        <v>19.2</v>
      </c>
      <c r="L184" s="157">
        <v>22</v>
      </c>
      <c r="M184" s="158">
        <v>0.56000000000000005</v>
      </c>
      <c r="N184" s="106">
        <v>7.7</v>
      </c>
      <c r="O184" s="112" t="s">
        <v>201</v>
      </c>
      <c r="P184" s="113" t="s">
        <v>211</v>
      </c>
      <c r="Q184" s="114">
        <v>0</v>
      </c>
      <c r="R184" s="115">
        <v>0</v>
      </c>
      <c r="S184" s="115">
        <v>0</v>
      </c>
      <c r="T184" s="105">
        <v>0</v>
      </c>
      <c r="U184" s="113" t="s">
        <v>212</v>
      </c>
      <c r="V184" s="114">
        <v>4.6999999999999999E-4</v>
      </c>
      <c r="W184" s="105">
        <v>276</v>
      </c>
      <c r="X184" s="113" t="s">
        <v>212</v>
      </c>
      <c r="Y184" s="160">
        <v>0.74</v>
      </c>
      <c r="Z184" s="110">
        <v>0.5</v>
      </c>
      <c r="AA184" s="123" t="s">
        <v>212</v>
      </c>
      <c r="AB184" s="112" t="s">
        <v>212</v>
      </c>
      <c r="AC184" s="174">
        <v>2</v>
      </c>
      <c r="AD184" s="112" t="s">
        <v>224</v>
      </c>
      <c r="AE184" s="113">
        <v>0.62</v>
      </c>
      <c r="AF184" s="120">
        <v>0.33</v>
      </c>
      <c r="AG184" s="118">
        <v>0.06</v>
      </c>
      <c r="AH184" s="118">
        <v>0.19</v>
      </c>
      <c r="AI184" s="119">
        <v>0.56999999999999995</v>
      </c>
      <c r="AJ184" s="120">
        <v>0.42</v>
      </c>
      <c r="AK184" s="118">
        <v>0.12</v>
      </c>
      <c r="AL184" s="118">
        <v>0</v>
      </c>
      <c r="AM184" s="119">
        <v>0.53</v>
      </c>
      <c r="AN184" s="120">
        <v>0.4</v>
      </c>
      <c r="AO184" s="118">
        <v>0.08</v>
      </c>
      <c r="AP184" s="118">
        <v>0.47</v>
      </c>
      <c r="AQ184" s="119">
        <v>0.96</v>
      </c>
      <c r="AR184" s="120">
        <v>0.55000000000000004</v>
      </c>
      <c r="AS184" s="118">
        <v>7.0000000000000007E-2</v>
      </c>
      <c r="AT184" s="118">
        <v>0.19</v>
      </c>
      <c r="AU184" s="119">
        <v>0.44</v>
      </c>
      <c r="AV184" s="120">
        <v>0.2</v>
      </c>
      <c r="AW184" s="118">
        <v>0.13</v>
      </c>
      <c r="AX184" s="118">
        <v>0</v>
      </c>
      <c r="AY184" s="119">
        <v>0.33</v>
      </c>
      <c r="AZ184" s="120">
        <v>0</v>
      </c>
      <c r="BA184" s="118">
        <v>0.23</v>
      </c>
      <c r="BB184" s="118">
        <v>0.06</v>
      </c>
      <c r="BC184" s="119">
        <v>0.28999999999999998</v>
      </c>
      <c r="BD184" s="121">
        <v>0.4</v>
      </c>
      <c r="BE184" s="120">
        <v>0.48</v>
      </c>
      <c r="BF184" s="118">
        <v>0</v>
      </c>
      <c r="BG184" s="118">
        <v>0.17</v>
      </c>
      <c r="BH184" s="119">
        <v>0.65</v>
      </c>
      <c r="BI184" s="120">
        <v>0.28000000000000003</v>
      </c>
      <c r="BJ184" s="118">
        <v>0.08</v>
      </c>
      <c r="BK184" s="118">
        <v>0.22</v>
      </c>
      <c r="BL184" s="119">
        <v>0.57999999999999996</v>
      </c>
      <c r="BM184" s="120">
        <v>1.27</v>
      </c>
      <c r="BN184" s="118">
        <v>1.35</v>
      </c>
      <c r="BO184" s="118">
        <v>0.75</v>
      </c>
      <c r="BP184" s="118">
        <v>1.62</v>
      </c>
      <c r="BQ184" s="118">
        <v>2.1800000000000002</v>
      </c>
      <c r="BR184" s="118">
        <v>2.48</v>
      </c>
      <c r="BS184" s="118">
        <v>1.81</v>
      </c>
      <c r="BT184" s="118">
        <v>1.1000000000000001</v>
      </c>
      <c r="BU184" s="119">
        <v>1.24</v>
      </c>
      <c r="BV184" s="74">
        <v>1734190.0800000001</v>
      </c>
      <c r="BW184" s="236">
        <v>193.67500000000001</v>
      </c>
      <c r="BX184" s="106">
        <v>1066.8</v>
      </c>
      <c r="BY184" s="157">
        <v>22</v>
      </c>
      <c r="BZ184" s="106">
        <v>7.7</v>
      </c>
      <c r="CA184" s="115">
        <v>0</v>
      </c>
      <c r="CB184" s="105">
        <v>0</v>
      </c>
      <c r="CC184" s="114">
        <v>4.6999999999999999E-4</v>
      </c>
      <c r="CD184" s="105">
        <v>276</v>
      </c>
      <c r="CE184" s="99">
        <f t="shared" si="8"/>
        <v>4.6584792623137151E-3</v>
      </c>
      <c r="CF184" s="100">
        <f t="shared" si="6"/>
        <v>0.62</v>
      </c>
    </row>
    <row r="185" spans="1:84" x14ac:dyDescent="0.25">
      <c r="A185" s="104">
        <v>184</v>
      </c>
      <c r="B185" s="102"/>
      <c r="C185" s="103" t="s">
        <v>398</v>
      </c>
      <c r="D185" s="108">
        <v>1422.4</v>
      </c>
      <c r="E185" s="106">
        <v>1219.2</v>
      </c>
      <c r="F185" s="106">
        <f t="shared" si="7"/>
        <v>1734190.0800000001</v>
      </c>
      <c r="G185" s="236">
        <v>193.67500000000001</v>
      </c>
      <c r="H185" s="106">
        <v>1066.8</v>
      </c>
      <c r="I185" s="107">
        <v>1.17</v>
      </c>
      <c r="J185" s="155">
        <v>24</v>
      </c>
      <c r="K185" s="237">
        <v>19.2</v>
      </c>
      <c r="L185" s="157">
        <v>22</v>
      </c>
      <c r="M185" s="158">
        <v>0.61</v>
      </c>
      <c r="N185" s="106">
        <v>8.4</v>
      </c>
      <c r="O185" s="112" t="s">
        <v>201</v>
      </c>
      <c r="P185" s="113" t="s">
        <v>211</v>
      </c>
      <c r="Q185" s="114">
        <v>0</v>
      </c>
      <c r="R185" s="115">
        <v>0</v>
      </c>
      <c r="S185" s="115">
        <v>0</v>
      </c>
      <c r="T185" s="105">
        <v>0</v>
      </c>
      <c r="U185" s="113" t="s">
        <v>212</v>
      </c>
      <c r="V185" s="114">
        <v>9.3999999999999997E-4</v>
      </c>
      <c r="W185" s="105">
        <v>336</v>
      </c>
      <c r="X185" s="113" t="s">
        <v>212</v>
      </c>
      <c r="Y185" s="160">
        <v>0.74</v>
      </c>
      <c r="Z185" s="110">
        <v>0.5</v>
      </c>
      <c r="AA185" s="123" t="s">
        <v>212</v>
      </c>
      <c r="AB185" s="112" t="s">
        <v>212</v>
      </c>
      <c r="AC185" s="174">
        <v>2</v>
      </c>
      <c r="AD185" s="112" t="s">
        <v>224</v>
      </c>
      <c r="AE185" s="113">
        <v>0.83</v>
      </c>
      <c r="AF185" s="120">
        <v>0.34</v>
      </c>
      <c r="AG185" s="118">
        <v>0.14000000000000001</v>
      </c>
      <c r="AH185" s="118">
        <v>0.19</v>
      </c>
      <c r="AI185" s="119">
        <v>0.66</v>
      </c>
      <c r="AJ185" s="120">
        <v>0.42</v>
      </c>
      <c r="AK185" s="118">
        <v>0.28000000000000003</v>
      </c>
      <c r="AL185" s="118">
        <v>0</v>
      </c>
      <c r="AM185" s="119">
        <v>0.7</v>
      </c>
      <c r="AN185" s="120">
        <v>0.42</v>
      </c>
      <c r="AO185" s="118">
        <v>0.2</v>
      </c>
      <c r="AP185" s="118">
        <v>0.47</v>
      </c>
      <c r="AQ185" s="119">
        <v>1.1000000000000001</v>
      </c>
      <c r="AR185" s="120">
        <v>0.56999999999999995</v>
      </c>
      <c r="AS185" s="118">
        <v>0.17</v>
      </c>
      <c r="AT185" s="118">
        <v>0.19</v>
      </c>
      <c r="AU185" s="119">
        <v>0.46</v>
      </c>
      <c r="AV185" s="120">
        <v>0.21</v>
      </c>
      <c r="AW185" s="118">
        <v>0.31</v>
      </c>
      <c r="AX185" s="118">
        <v>0</v>
      </c>
      <c r="AY185" s="119">
        <v>0.52</v>
      </c>
      <c r="AZ185" s="120">
        <v>0</v>
      </c>
      <c r="BA185" s="118">
        <v>0.36</v>
      </c>
      <c r="BB185" s="118">
        <v>0.06</v>
      </c>
      <c r="BC185" s="119">
        <v>0.42</v>
      </c>
      <c r="BD185" s="121">
        <v>0.42</v>
      </c>
      <c r="BE185" s="120">
        <v>0.52</v>
      </c>
      <c r="BF185" s="118">
        <v>0</v>
      </c>
      <c r="BG185" s="118">
        <v>0.17</v>
      </c>
      <c r="BH185" s="119">
        <v>0.69</v>
      </c>
      <c r="BI185" s="120">
        <v>0.31</v>
      </c>
      <c r="BJ185" s="118">
        <v>0.19</v>
      </c>
      <c r="BK185" s="118">
        <v>0.22</v>
      </c>
      <c r="BL185" s="119">
        <v>0.72</v>
      </c>
      <c r="BM185" s="120">
        <v>1.45</v>
      </c>
      <c r="BN185" s="118">
        <v>1.38</v>
      </c>
      <c r="BO185" s="118">
        <v>0.88</v>
      </c>
      <c r="BP185" s="118">
        <v>2.08</v>
      </c>
      <c r="BQ185" s="118">
        <v>1.84</v>
      </c>
      <c r="BR185" s="118">
        <v>2.2999999999999998</v>
      </c>
      <c r="BS185" s="118">
        <v>2.3199999999999998</v>
      </c>
      <c r="BT185" s="118">
        <v>1.39</v>
      </c>
      <c r="BU185" s="119">
        <v>1.35</v>
      </c>
      <c r="BV185" s="74">
        <v>1734190.0800000001</v>
      </c>
      <c r="BW185" s="236">
        <v>193.67500000000001</v>
      </c>
      <c r="BX185" s="106">
        <v>1066.8</v>
      </c>
      <c r="BY185" s="157">
        <v>22</v>
      </c>
      <c r="BZ185" s="106">
        <v>8.4</v>
      </c>
      <c r="CA185" s="115">
        <v>0</v>
      </c>
      <c r="CB185" s="105">
        <v>0</v>
      </c>
      <c r="CC185" s="114">
        <v>9.3999999999999997E-4</v>
      </c>
      <c r="CD185" s="105">
        <v>336</v>
      </c>
      <c r="CE185" s="99">
        <f t="shared" si="8"/>
        <v>5.8866237951055132E-3</v>
      </c>
      <c r="CF185" s="100">
        <f t="shared" si="6"/>
        <v>0.83</v>
      </c>
    </row>
    <row r="186" spans="1:84" x14ac:dyDescent="0.25">
      <c r="A186" s="104">
        <v>185</v>
      </c>
      <c r="B186" s="102"/>
      <c r="C186" s="103" t="s">
        <v>399</v>
      </c>
      <c r="D186" s="108">
        <v>1422.4</v>
      </c>
      <c r="E186" s="106">
        <v>1219.2</v>
      </c>
      <c r="F186" s="106">
        <f t="shared" si="7"/>
        <v>1734190.0800000001</v>
      </c>
      <c r="G186" s="236">
        <v>193.67500000000001</v>
      </c>
      <c r="H186" s="106">
        <v>1066.8</v>
      </c>
      <c r="I186" s="107">
        <v>1.17</v>
      </c>
      <c r="J186" s="155">
        <v>24</v>
      </c>
      <c r="K186" s="237">
        <v>19.2</v>
      </c>
      <c r="L186" s="157">
        <v>22</v>
      </c>
      <c r="M186" s="158">
        <v>0.63</v>
      </c>
      <c r="N186" s="106">
        <v>8.6999999999999993</v>
      </c>
      <c r="O186" s="112" t="s">
        <v>201</v>
      </c>
      <c r="P186" s="113" t="s">
        <v>211</v>
      </c>
      <c r="Q186" s="114">
        <v>0</v>
      </c>
      <c r="R186" s="115">
        <v>0</v>
      </c>
      <c r="S186" s="115">
        <v>0</v>
      </c>
      <c r="T186" s="105">
        <v>0</v>
      </c>
      <c r="U186" s="113" t="s">
        <v>212</v>
      </c>
      <c r="V186" s="114">
        <v>2.1800000000000001E-3</v>
      </c>
      <c r="W186" s="105">
        <v>370</v>
      </c>
      <c r="X186" s="113" t="s">
        <v>212</v>
      </c>
      <c r="Y186" s="160">
        <v>0.74</v>
      </c>
      <c r="Z186" s="110">
        <v>0.5</v>
      </c>
      <c r="AA186" s="123" t="s">
        <v>212</v>
      </c>
      <c r="AB186" s="112" t="s">
        <v>212</v>
      </c>
      <c r="AC186" s="174">
        <v>2</v>
      </c>
      <c r="AD186" s="112" t="s">
        <v>224</v>
      </c>
      <c r="AE186" s="113">
        <v>0.64</v>
      </c>
      <c r="AF186" s="120">
        <v>0.35</v>
      </c>
      <c r="AG186" s="118">
        <v>0.35</v>
      </c>
      <c r="AH186" s="118">
        <v>0.19</v>
      </c>
      <c r="AI186" s="119">
        <v>0.88</v>
      </c>
      <c r="AJ186" s="120">
        <v>0.42</v>
      </c>
      <c r="AK186" s="118">
        <v>0.73</v>
      </c>
      <c r="AL186" s="118">
        <v>0</v>
      </c>
      <c r="AM186" s="119">
        <v>1.1399999999999999</v>
      </c>
      <c r="AN186" s="120">
        <v>0.43</v>
      </c>
      <c r="AO186" s="118">
        <v>0.52</v>
      </c>
      <c r="AP186" s="118">
        <v>0.47</v>
      </c>
      <c r="AQ186" s="119">
        <v>1.33</v>
      </c>
      <c r="AR186" s="120">
        <v>0.59</v>
      </c>
      <c r="AS186" s="118">
        <v>0.42</v>
      </c>
      <c r="AT186" s="118">
        <v>0.19</v>
      </c>
      <c r="AU186" s="119">
        <v>0.47</v>
      </c>
      <c r="AV186" s="120">
        <v>0.21</v>
      </c>
      <c r="AW186" s="118">
        <v>0.81</v>
      </c>
      <c r="AX186" s="118">
        <v>0</v>
      </c>
      <c r="AY186" s="119">
        <v>1.02</v>
      </c>
      <c r="AZ186" s="120">
        <v>0</v>
      </c>
      <c r="BA186" s="118">
        <v>0.57999999999999996</v>
      </c>
      <c r="BB186" s="118">
        <v>0.06</v>
      </c>
      <c r="BC186" s="119">
        <v>0.64</v>
      </c>
      <c r="BD186" s="121">
        <v>0.42</v>
      </c>
      <c r="BE186" s="120">
        <v>0.54</v>
      </c>
      <c r="BF186" s="118">
        <v>0</v>
      </c>
      <c r="BG186" s="118">
        <v>0.17</v>
      </c>
      <c r="BH186" s="119">
        <v>0.71</v>
      </c>
      <c r="BI186" s="120">
        <v>0.32</v>
      </c>
      <c r="BJ186" s="118">
        <v>0.26</v>
      </c>
      <c r="BK186" s="118">
        <v>0.22</v>
      </c>
      <c r="BL186" s="119">
        <v>0.8</v>
      </c>
      <c r="BM186" s="120">
        <v>0.84</v>
      </c>
      <c r="BN186" s="118">
        <v>0.65</v>
      </c>
      <c r="BO186" s="118">
        <v>0.56000000000000005</v>
      </c>
      <c r="BP186" s="118">
        <v>1.58</v>
      </c>
      <c r="BQ186" s="118">
        <v>0.73</v>
      </c>
      <c r="BR186" s="118">
        <v>1.17</v>
      </c>
      <c r="BS186" s="118">
        <v>1.76</v>
      </c>
      <c r="BT186" s="118">
        <v>1.04</v>
      </c>
      <c r="BU186" s="119">
        <v>0.93</v>
      </c>
      <c r="BV186" s="74">
        <v>1734190.0800000001</v>
      </c>
      <c r="BW186" s="236">
        <v>193.67500000000001</v>
      </c>
      <c r="BX186" s="106">
        <v>1066.8</v>
      </c>
      <c r="BY186" s="157">
        <v>22</v>
      </c>
      <c r="BZ186" s="106">
        <v>8.6999999999999993</v>
      </c>
      <c r="CA186" s="115">
        <v>0</v>
      </c>
      <c r="CB186" s="105">
        <v>0</v>
      </c>
      <c r="CC186" s="114">
        <v>2.1800000000000001E-3</v>
      </c>
      <c r="CD186" s="105">
        <v>370</v>
      </c>
      <c r="CE186" s="99">
        <f t="shared" si="8"/>
        <v>4.4043803934602404E-3</v>
      </c>
      <c r="CF186" s="100">
        <f t="shared" si="6"/>
        <v>0.64</v>
      </c>
    </row>
    <row r="187" spans="1:84" x14ac:dyDescent="0.25">
      <c r="A187" s="104">
        <v>186</v>
      </c>
      <c r="B187" s="102"/>
      <c r="C187" s="103" t="s">
        <v>400</v>
      </c>
      <c r="D187" s="108">
        <v>1422.4</v>
      </c>
      <c r="E187" s="106">
        <v>1219.2</v>
      </c>
      <c r="F187" s="106">
        <f t="shared" si="7"/>
        <v>1734190.0800000001</v>
      </c>
      <c r="G187" s="236">
        <v>193.67500000000001</v>
      </c>
      <c r="H187" s="106">
        <v>1066.8</v>
      </c>
      <c r="I187" s="107">
        <v>1.17</v>
      </c>
      <c r="J187" s="155">
        <v>24</v>
      </c>
      <c r="K187" s="237">
        <v>19.2</v>
      </c>
      <c r="L187" s="157">
        <v>22</v>
      </c>
      <c r="M187" s="158">
        <v>0.55000000000000004</v>
      </c>
      <c r="N187" s="106">
        <v>7.5</v>
      </c>
      <c r="O187" s="112" t="s">
        <v>201</v>
      </c>
      <c r="P187" s="113" t="s">
        <v>211</v>
      </c>
      <c r="Q187" s="114">
        <v>0</v>
      </c>
      <c r="R187" s="115">
        <v>0</v>
      </c>
      <c r="S187" s="115">
        <v>0</v>
      </c>
      <c r="T187" s="105">
        <v>0</v>
      </c>
      <c r="U187" s="113" t="s">
        <v>212</v>
      </c>
      <c r="V187" s="114">
        <v>7.2999999999999996E-4</v>
      </c>
      <c r="W187" s="105">
        <v>385</v>
      </c>
      <c r="X187" s="113" t="s">
        <v>212</v>
      </c>
      <c r="Y187" s="160">
        <v>0.74</v>
      </c>
      <c r="Z187" s="110">
        <v>0.5</v>
      </c>
      <c r="AA187" s="123" t="s">
        <v>212</v>
      </c>
      <c r="AB187" s="112" t="s">
        <v>212</v>
      </c>
      <c r="AC187" s="174">
        <v>2</v>
      </c>
      <c r="AD187" s="112" t="s">
        <v>224</v>
      </c>
      <c r="AE187" s="113">
        <v>0.68</v>
      </c>
      <c r="AF187" s="120">
        <v>0.32</v>
      </c>
      <c r="AG187" s="118">
        <v>0.12</v>
      </c>
      <c r="AH187" s="118">
        <v>0.19</v>
      </c>
      <c r="AI187" s="119">
        <v>0.63</v>
      </c>
      <c r="AJ187" s="120">
        <v>0.42</v>
      </c>
      <c r="AK187" s="118">
        <v>0.25</v>
      </c>
      <c r="AL187" s="118">
        <v>0</v>
      </c>
      <c r="AM187" s="119">
        <v>0.67</v>
      </c>
      <c r="AN187" s="120">
        <v>0.4</v>
      </c>
      <c r="AO187" s="118">
        <v>0.18</v>
      </c>
      <c r="AP187" s="118">
        <v>0.47</v>
      </c>
      <c r="AQ187" s="119">
        <v>1.05</v>
      </c>
      <c r="AR187" s="120">
        <v>0.54</v>
      </c>
      <c r="AS187" s="118">
        <v>0.15</v>
      </c>
      <c r="AT187" s="118">
        <v>0.19</v>
      </c>
      <c r="AU187" s="119">
        <v>0.44</v>
      </c>
      <c r="AV187" s="120">
        <v>0.2</v>
      </c>
      <c r="AW187" s="118">
        <v>0.28000000000000003</v>
      </c>
      <c r="AX187" s="118">
        <v>0</v>
      </c>
      <c r="AY187" s="119">
        <v>0.48</v>
      </c>
      <c r="AZ187" s="120">
        <v>0</v>
      </c>
      <c r="BA187" s="118">
        <v>0.34</v>
      </c>
      <c r="BB187" s="118">
        <v>0.06</v>
      </c>
      <c r="BC187" s="119">
        <v>0.4</v>
      </c>
      <c r="BD187" s="121">
        <v>0.39</v>
      </c>
      <c r="BE187" s="120">
        <v>0.47</v>
      </c>
      <c r="BF187" s="118">
        <v>0</v>
      </c>
      <c r="BG187" s="118">
        <v>0.17</v>
      </c>
      <c r="BH187" s="119">
        <v>0.64</v>
      </c>
      <c r="BI187" s="120">
        <v>0.27</v>
      </c>
      <c r="BJ187" s="118">
        <v>0.17</v>
      </c>
      <c r="BK187" s="118">
        <v>0.22</v>
      </c>
      <c r="BL187" s="119">
        <v>0.66</v>
      </c>
      <c r="BM187" s="120">
        <v>1.26</v>
      </c>
      <c r="BN187" s="118">
        <v>1.18</v>
      </c>
      <c r="BO187" s="118">
        <v>0.75</v>
      </c>
      <c r="BP187" s="118">
        <v>1.81</v>
      </c>
      <c r="BQ187" s="118">
        <v>1.66</v>
      </c>
      <c r="BR187" s="118">
        <v>1.99</v>
      </c>
      <c r="BS187" s="118">
        <v>2.02</v>
      </c>
      <c r="BT187" s="118">
        <v>1.24</v>
      </c>
      <c r="BU187" s="119">
        <v>1.19</v>
      </c>
      <c r="BV187" s="74">
        <v>1734190.0800000001</v>
      </c>
      <c r="BW187" s="236">
        <v>193.67500000000001</v>
      </c>
      <c r="BX187" s="106">
        <v>1066.8</v>
      </c>
      <c r="BY187" s="157">
        <v>22</v>
      </c>
      <c r="BZ187" s="106">
        <v>7.5</v>
      </c>
      <c r="CA187" s="115">
        <v>0</v>
      </c>
      <c r="CB187" s="105">
        <v>0</v>
      </c>
      <c r="CC187" s="114">
        <v>7.2999999999999996E-4</v>
      </c>
      <c r="CD187" s="105">
        <v>385</v>
      </c>
      <c r="CE187" s="99">
        <f t="shared" si="8"/>
        <v>5.2513766229718246E-3</v>
      </c>
      <c r="CF187" s="100">
        <f t="shared" si="6"/>
        <v>0.68</v>
      </c>
    </row>
    <row r="188" spans="1:84" x14ac:dyDescent="0.25">
      <c r="A188" s="104">
        <v>187</v>
      </c>
      <c r="B188" s="102"/>
      <c r="C188" s="103" t="s">
        <v>401</v>
      </c>
      <c r="D188" s="108">
        <v>1422.4</v>
      </c>
      <c r="E188" s="106">
        <v>1219.2</v>
      </c>
      <c r="F188" s="106">
        <f t="shared" si="7"/>
        <v>1734190.0800000001</v>
      </c>
      <c r="G188" s="236">
        <v>193.67500000000001</v>
      </c>
      <c r="H188" s="106">
        <v>1066.8</v>
      </c>
      <c r="I188" s="107">
        <v>1.17</v>
      </c>
      <c r="J188" s="155">
        <v>24</v>
      </c>
      <c r="K188" s="237">
        <v>19.2</v>
      </c>
      <c r="L188" s="157">
        <v>22</v>
      </c>
      <c r="M188" s="158">
        <v>0.62</v>
      </c>
      <c r="N188" s="106">
        <v>8.6</v>
      </c>
      <c r="O188" s="112" t="s">
        <v>201</v>
      </c>
      <c r="P188" s="113" t="s">
        <v>211</v>
      </c>
      <c r="Q188" s="114">
        <v>0</v>
      </c>
      <c r="R188" s="115">
        <v>0</v>
      </c>
      <c r="S188" s="115">
        <v>0</v>
      </c>
      <c r="T188" s="105">
        <v>0</v>
      </c>
      <c r="U188" s="113" t="s">
        <v>212</v>
      </c>
      <c r="V188" s="114">
        <v>2.1800000000000001E-3</v>
      </c>
      <c r="W188" s="105">
        <v>374</v>
      </c>
      <c r="X188" s="113" t="s">
        <v>212</v>
      </c>
      <c r="Y188" s="160">
        <v>0.74</v>
      </c>
      <c r="Z188" s="110">
        <v>0.5</v>
      </c>
      <c r="AA188" s="123" t="s">
        <v>212</v>
      </c>
      <c r="AB188" s="112" t="s">
        <v>212</v>
      </c>
      <c r="AC188" s="174">
        <v>2</v>
      </c>
      <c r="AD188" s="112" t="s">
        <v>224</v>
      </c>
      <c r="AE188" s="113">
        <v>0.5</v>
      </c>
      <c r="AF188" s="120">
        <v>0.34</v>
      </c>
      <c r="AG188" s="118">
        <v>0.36</v>
      </c>
      <c r="AH188" s="118">
        <v>0.19</v>
      </c>
      <c r="AI188" s="119">
        <v>0.89</v>
      </c>
      <c r="AJ188" s="120">
        <v>0.42</v>
      </c>
      <c r="AK188" s="118">
        <v>0.73</v>
      </c>
      <c r="AL188" s="118">
        <v>0</v>
      </c>
      <c r="AM188" s="119">
        <v>1.1499999999999999</v>
      </c>
      <c r="AN188" s="120">
        <v>0.43</v>
      </c>
      <c r="AO188" s="118">
        <v>0.52</v>
      </c>
      <c r="AP188" s="118">
        <v>0.47</v>
      </c>
      <c r="AQ188" s="119">
        <v>1.32</v>
      </c>
      <c r="AR188" s="120">
        <v>0.57999999999999996</v>
      </c>
      <c r="AS188" s="118">
        <v>0.43</v>
      </c>
      <c r="AT188" s="118">
        <v>0.19</v>
      </c>
      <c r="AU188" s="119">
        <v>0.47</v>
      </c>
      <c r="AV188" s="120">
        <v>0.21</v>
      </c>
      <c r="AW188" s="118">
        <v>0.81</v>
      </c>
      <c r="AX188" s="118">
        <v>0</v>
      </c>
      <c r="AY188" s="119">
        <v>1.02</v>
      </c>
      <c r="AZ188" s="120">
        <v>0</v>
      </c>
      <c r="BA188" s="118">
        <v>0.57999999999999996</v>
      </c>
      <c r="BB188" s="118">
        <v>0.06</v>
      </c>
      <c r="BC188" s="119">
        <v>0.64</v>
      </c>
      <c r="BD188" s="121">
        <v>0.42</v>
      </c>
      <c r="BE188" s="120">
        <v>0.53</v>
      </c>
      <c r="BF188" s="118">
        <v>0</v>
      </c>
      <c r="BG188" s="118">
        <v>0.17</v>
      </c>
      <c r="BH188" s="119">
        <v>0.7</v>
      </c>
      <c r="BI188" s="120">
        <v>0.31</v>
      </c>
      <c r="BJ188" s="118">
        <v>0.26</v>
      </c>
      <c r="BK188" s="118">
        <v>0.22</v>
      </c>
      <c r="BL188" s="119">
        <v>0.79</v>
      </c>
      <c r="BM188" s="120">
        <v>0.66</v>
      </c>
      <c r="BN188" s="118">
        <v>0.51</v>
      </c>
      <c r="BO188" s="118">
        <v>0.45</v>
      </c>
      <c r="BP188" s="118">
        <v>1.25</v>
      </c>
      <c r="BQ188" s="118">
        <v>0.56999999999999995</v>
      </c>
      <c r="BR188" s="118">
        <v>0.92</v>
      </c>
      <c r="BS188" s="118">
        <v>1.4</v>
      </c>
      <c r="BT188" s="118">
        <v>0.83</v>
      </c>
      <c r="BU188" s="119">
        <v>0.74</v>
      </c>
      <c r="BV188" s="74">
        <v>1734190.0800000001</v>
      </c>
      <c r="BW188" s="236">
        <v>193.67500000000001</v>
      </c>
      <c r="BX188" s="106">
        <v>1066.8</v>
      </c>
      <c r="BY188" s="157">
        <v>22</v>
      </c>
      <c r="BZ188" s="106">
        <v>8.6</v>
      </c>
      <c r="CA188" s="115">
        <v>0</v>
      </c>
      <c r="CB188" s="105">
        <v>0</v>
      </c>
      <c r="CC188" s="114">
        <v>2.1800000000000001E-3</v>
      </c>
      <c r="CD188" s="105">
        <v>374</v>
      </c>
      <c r="CE188" s="99">
        <f t="shared" si="8"/>
        <v>3.5150343524730757E-3</v>
      </c>
      <c r="CF188" s="100">
        <f t="shared" si="6"/>
        <v>0.5</v>
      </c>
    </row>
    <row r="189" spans="1:84" x14ac:dyDescent="0.25">
      <c r="A189" s="104">
        <v>188</v>
      </c>
      <c r="B189" s="102"/>
      <c r="C189" s="103" t="s">
        <v>402</v>
      </c>
      <c r="D189" s="108">
        <v>1422.4</v>
      </c>
      <c r="E189" s="106">
        <v>1219.2</v>
      </c>
      <c r="F189" s="106">
        <f t="shared" si="7"/>
        <v>1734190.0800000001</v>
      </c>
      <c r="G189" s="236">
        <v>193.67500000000001</v>
      </c>
      <c r="H189" s="106">
        <v>1066.8</v>
      </c>
      <c r="I189" s="107">
        <v>1.17</v>
      </c>
      <c r="J189" s="155">
        <v>24</v>
      </c>
      <c r="K189" s="237">
        <v>19.2</v>
      </c>
      <c r="L189" s="157">
        <v>22</v>
      </c>
      <c r="M189" s="158">
        <v>0.55000000000000004</v>
      </c>
      <c r="N189" s="106">
        <v>7.6</v>
      </c>
      <c r="O189" s="112" t="s">
        <v>201</v>
      </c>
      <c r="P189" s="113" t="s">
        <v>211</v>
      </c>
      <c r="Q189" s="114">
        <v>0</v>
      </c>
      <c r="R189" s="115">
        <v>0</v>
      </c>
      <c r="S189" s="115">
        <v>0</v>
      </c>
      <c r="T189" s="105">
        <v>0</v>
      </c>
      <c r="U189" s="113" t="s">
        <v>212</v>
      </c>
      <c r="V189" s="114">
        <v>5.0000000000000001E-4</v>
      </c>
      <c r="W189" s="105">
        <v>304</v>
      </c>
      <c r="X189" s="113" t="s">
        <v>212</v>
      </c>
      <c r="Y189" s="160">
        <v>0.74</v>
      </c>
      <c r="Z189" s="110">
        <v>0.5</v>
      </c>
      <c r="AA189" s="123" t="s">
        <v>212</v>
      </c>
      <c r="AB189" s="112" t="s">
        <v>212</v>
      </c>
      <c r="AC189" s="174">
        <v>2</v>
      </c>
      <c r="AD189" s="112" t="s">
        <v>224</v>
      </c>
      <c r="AE189" s="113">
        <v>0.72</v>
      </c>
      <c r="AF189" s="120">
        <v>0.32</v>
      </c>
      <c r="AG189" s="118">
        <v>7.0000000000000007E-2</v>
      </c>
      <c r="AH189" s="118">
        <v>0.19</v>
      </c>
      <c r="AI189" s="119">
        <v>0.56999999999999995</v>
      </c>
      <c r="AJ189" s="120">
        <v>0.42</v>
      </c>
      <c r="AK189" s="118">
        <v>0.14000000000000001</v>
      </c>
      <c r="AL189" s="118">
        <v>0</v>
      </c>
      <c r="AM189" s="119">
        <v>0.55000000000000004</v>
      </c>
      <c r="AN189" s="120">
        <v>0.4</v>
      </c>
      <c r="AO189" s="118">
        <v>0.1</v>
      </c>
      <c r="AP189" s="118">
        <v>0.47</v>
      </c>
      <c r="AQ189" s="119">
        <v>0.97</v>
      </c>
      <c r="AR189" s="120">
        <v>0.55000000000000004</v>
      </c>
      <c r="AS189" s="118">
        <v>0.08</v>
      </c>
      <c r="AT189" s="118">
        <v>0.19</v>
      </c>
      <c r="AU189" s="119">
        <v>0.44</v>
      </c>
      <c r="AV189" s="120">
        <v>0.2</v>
      </c>
      <c r="AW189" s="118">
        <v>0.15</v>
      </c>
      <c r="AX189" s="118">
        <v>0</v>
      </c>
      <c r="AY189" s="119">
        <v>0.35</v>
      </c>
      <c r="AZ189" s="120">
        <v>0</v>
      </c>
      <c r="BA189" s="118">
        <v>0.25</v>
      </c>
      <c r="BB189" s="118">
        <v>0.06</v>
      </c>
      <c r="BC189" s="119">
        <v>0.31</v>
      </c>
      <c r="BD189" s="121">
        <v>0.39</v>
      </c>
      <c r="BE189" s="120">
        <v>0.47</v>
      </c>
      <c r="BF189" s="118">
        <v>0</v>
      </c>
      <c r="BG189" s="118">
        <v>0.17</v>
      </c>
      <c r="BH189" s="119">
        <v>0.64</v>
      </c>
      <c r="BI189" s="120">
        <v>0.28000000000000003</v>
      </c>
      <c r="BJ189" s="118">
        <v>0.09</v>
      </c>
      <c r="BK189" s="118">
        <v>0.22</v>
      </c>
      <c r="BL189" s="119">
        <v>0.59</v>
      </c>
      <c r="BM189" s="120">
        <v>1.45</v>
      </c>
      <c r="BN189" s="118">
        <v>1.51</v>
      </c>
      <c r="BO189" s="118">
        <v>0.86</v>
      </c>
      <c r="BP189" s="118">
        <v>1.9</v>
      </c>
      <c r="BQ189" s="118">
        <v>2.39</v>
      </c>
      <c r="BR189" s="118">
        <v>2.71</v>
      </c>
      <c r="BS189" s="118">
        <v>2.12</v>
      </c>
      <c r="BT189" s="118">
        <v>1.3</v>
      </c>
      <c r="BU189" s="119">
        <v>1.42</v>
      </c>
      <c r="BV189" s="74">
        <v>1734190.0800000001</v>
      </c>
      <c r="BW189" s="236">
        <v>193.67500000000001</v>
      </c>
      <c r="BX189" s="106">
        <v>1066.8</v>
      </c>
      <c r="BY189" s="157">
        <v>22</v>
      </c>
      <c r="BZ189" s="106">
        <v>7.6</v>
      </c>
      <c r="CA189" s="115">
        <v>0</v>
      </c>
      <c r="CB189" s="105">
        <v>0</v>
      </c>
      <c r="CC189" s="114">
        <v>5.0000000000000001E-4</v>
      </c>
      <c r="CD189" s="105">
        <v>304</v>
      </c>
      <c r="CE189" s="99">
        <f t="shared" si="8"/>
        <v>5.5054754918253002E-3</v>
      </c>
      <c r="CF189" s="100">
        <f t="shared" si="6"/>
        <v>0.72</v>
      </c>
    </row>
    <row r="190" spans="1:84" x14ac:dyDescent="0.25">
      <c r="A190" s="104">
        <v>189</v>
      </c>
      <c r="B190" s="102"/>
      <c r="C190" s="103" t="s">
        <v>403</v>
      </c>
      <c r="D190" s="108">
        <v>1422.4</v>
      </c>
      <c r="E190" s="106">
        <v>1219.2</v>
      </c>
      <c r="F190" s="106">
        <f t="shared" si="7"/>
        <v>1734190.0800000001</v>
      </c>
      <c r="G190" s="236">
        <v>193.67500000000001</v>
      </c>
      <c r="H190" s="106">
        <v>1066.8</v>
      </c>
      <c r="I190" s="107">
        <v>1.17</v>
      </c>
      <c r="J190" s="155">
        <v>23.6</v>
      </c>
      <c r="K190" s="237">
        <v>19.2</v>
      </c>
      <c r="L190" s="157">
        <v>22</v>
      </c>
      <c r="M190" s="158">
        <v>0.41</v>
      </c>
      <c r="N190" s="106">
        <v>5.9</v>
      </c>
      <c r="O190" s="112" t="s">
        <v>201</v>
      </c>
      <c r="P190" s="113" t="s">
        <v>211</v>
      </c>
      <c r="Q190" s="114">
        <v>0</v>
      </c>
      <c r="R190" s="115">
        <v>0</v>
      </c>
      <c r="S190" s="115">
        <v>0</v>
      </c>
      <c r="T190" s="105">
        <v>0</v>
      </c>
      <c r="U190" s="113" t="s">
        <v>212</v>
      </c>
      <c r="V190" s="114">
        <v>2.1299999999999999E-3</v>
      </c>
      <c r="W190" s="105">
        <v>342</v>
      </c>
      <c r="X190" s="113" t="s">
        <v>212</v>
      </c>
      <c r="Y190" s="160">
        <v>0.74</v>
      </c>
      <c r="Z190" s="110">
        <v>0.5</v>
      </c>
      <c r="AA190" s="123" t="s">
        <v>212</v>
      </c>
      <c r="AB190" s="112" t="s">
        <v>212</v>
      </c>
      <c r="AC190" s="174">
        <v>2</v>
      </c>
      <c r="AD190" s="112" t="s">
        <v>224</v>
      </c>
      <c r="AE190" s="113">
        <v>0.83</v>
      </c>
      <c r="AF190" s="120">
        <v>0.28999999999999998</v>
      </c>
      <c r="AG190" s="118">
        <v>0.32</v>
      </c>
      <c r="AH190" s="118">
        <v>0.19</v>
      </c>
      <c r="AI190" s="119">
        <v>0.79</v>
      </c>
      <c r="AJ190" s="120">
        <v>0.42</v>
      </c>
      <c r="AK190" s="118">
        <v>0.66</v>
      </c>
      <c r="AL190" s="118">
        <v>0</v>
      </c>
      <c r="AM190" s="119">
        <v>1.07</v>
      </c>
      <c r="AN190" s="120">
        <v>0.35</v>
      </c>
      <c r="AO190" s="118">
        <v>0.47</v>
      </c>
      <c r="AP190" s="118">
        <v>0.46</v>
      </c>
      <c r="AQ190" s="119">
        <v>1.0900000000000001</v>
      </c>
      <c r="AR190" s="120">
        <v>0.48</v>
      </c>
      <c r="AS190" s="118">
        <v>0.38</v>
      </c>
      <c r="AT190" s="118">
        <v>0.19</v>
      </c>
      <c r="AU190" s="119">
        <v>0.39</v>
      </c>
      <c r="AV190" s="120">
        <v>0.18</v>
      </c>
      <c r="AW190" s="118">
        <v>0.73</v>
      </c>
      <c r="AX190" s="118">
        <v>0</v>
      </c>
      <c r="AY190" s="119">
        <v>0.9</v>
      </c>
      <c r="AZ190" s="120">
        <v>0</v>
      </c>
      <c r="BA190" s="118">
        <v>0.55000000000000004</v>
      </c>
      <c r="BB190" s="118">
        <v>0.06</v>
      </c>
      <c r="BC190" s="119">
        <v>0.61</v>
      </c>
      <c r="BD190" s="121">
        <v>0.35</v>
      </c>
      <c r="BE190" s="120">
        <v>0.35</v>
      </c>
      <c r="BF190" s="118">
        <v>0</v>
      </c>
      <c r="BG190" s="118">
        <v>0.17</v>
      </c>
      <c r="BH190" s="119">
        <v>0.52</v>
      </c>
      <c r="BI190" s="120">
        <v>0.21</v>
      </c>
      <c r="BJ190" s="118">
        <v>0.31</v>
      </c>
      <c r="BK190" s="118">
        <v>0.22</v>
      </c>
      <c r="BL190" s="119">
        <v>0.74</v>
      </c>
      <c r="BM190" s="120">
        <v>1.23</v>
      </c>
      <c r="BN190" s="118">
        <v>0.9</v>
      </c>
      <c r="BO190" s="118">
        <v>0.89</v>
      </c>
      <c r="BP190" s="118">
        <v>2.4900000000000002</v>
      </c>
      <c r="BQ190" s="118">
        <v>1.07</v>
      </c>
      <c r="BR190" s="118">
        <v>1.59</v>
      </c>
      <c r="BS190" s="118">
        <v>2.78</v>
      </c>
      <c r="BT190" s="118">
        <v>1.85</v>
      </c>
      <c r="BU190" s="119">
        <v>1.31</v>
      </c>
      <c r="BV190" s="74">
        <v>1734190.0800000001</v>
      </c>
      <c r="BW190" s="236">
        <v>193.67500000000001</v>
      </c>
      <c r="BX190" s="106">
        <v>1066.8</v>
      </c>
      <c r="BY190" s="157">
        <v>22</v>
      </c>
      <c r="BZ190" s="106">
        <v>5.9</v>
      </c>
      <c r="CA190" s="115">
        <v>0</v>
      </c>
      <c r="CB190" s="105">
        <v>0</v>
      </c>
      <c r="CC190" s="114">
        <v>2.1299999999999999E-3</v>
      </c>
      <c r="CD190" s="105">
        <v>342</v>
      </c>
      <c r="CE190" s="99">
        <f t="shared" si="8"/>
        <v>7.8347151229821582E-3</v>
      </c>
      <c r="CF190" s="100">
        <f t="shared" si="6"/>
        <v>0.83</v>
      </c>
    </row>
    <row r="191" spans="1:84" x14ac:dyDescent="0.25">
      <c r="A191" s="218">
        <v>190</v>
      </c>
      <c r="B191" s="216"/>
      <c r="C191" s="217" t="s">
        <v>404</v>
      </c>
      <c r="D191" s="241">
        <v>1422.4</v>
      </c>
      <c r="E191" s="220">
        <v>1219.2</v>
      </c>
      <c r="F191" s="220">
        <f t="shared" si="7"/>
        <v>1734190.0800000001</v>
      </c>
      <c r="G191" s="238">
        <v>193.67500000000001</v>
      </c>
      <c r="H191" s="220">
        <v>1066.8</v>
      </c>
      <c r="I191" s="221">
        <v>1.17</v>
      </c>
      <c r="J191" s="222">
        <v>24</v>
      </c>
      <c r="K191" s="239">
        <v>19.2</v>
      </c>
      <c r="L191" s="242">
        <v>22</v>
      </c>
      <c r="M191" s="223">
        <v>0.54</v>
      </c>
      <c r="N191" s="220">
        <v>7.4</v>
      </c>
      <c r="O191" s="224" t="s">
        <v>201</v>
      </c>
      <c r="P191" s="225" t="s">
        <v>211</v>
      </c>
      <c r="Q191" s="226">
        <v>0</v>
      </c>
      <c r="R191" s="227">
        <v>0</v>
      </c>
      <c r="S191" s="227">
        <v>0</v>
      </c>
      <c r="T191" s="219">
        <v>0</v>
      </c>
      <c r="U191" s="225" t="s">
        <v>212</v>
      </c>
      <c r="V191" s="226">
        <v>7.2999999999999996E-4</v>
      </c>
      <c r="W191" s="219">
        <v>373</v>
      </c>
      <c r="X191" s="225" t="s">
        <v>212</v>
      </c>
      <c r="Y191" s="229">
        <v>0.74</v>
      </c>
      <c r="Z191" s="240">
        <v>0.5</v>
      </c>
      <c r="AA191" s="193" t="s">
        <v>212</v>
      </c>
      <c r="AB191" s="139" t="s">
        <v>212</v>
      </c>
      <c r="AC191" s="231">
        <v>2</v>
      </c>
      <c r="AD191" s="224" t="s">
        <v>224</v>
      </c>
      <c r="AE191" s="225">
        <v>0.68</v>
      </c>
      <c r="AF191" s="147">
        <v>0.32</v>
      </c>
      <c r="AG191" s="145">
        <v>0.12</v>
      </c>
      <c r="AH191" s="145">
        <v>0.19</v>
      </c>
      <c r="AI191" s="146">
        <v>0.62</v>
      </c>
      <c r="AJ191" s="147">
        <v>0.42</v>
      </c>
      <c r="AK191" s="145">
        <v>0.24</v>
      </c>
      <c r="AL191" s="145">
        <v>0</v>
      </c>
      <c r="AM191" s="146">
        <v>0.66</v>
      </c>
      <c r="AN191" s="147">
        <v>0.4</v>
      </c>
      <c r="AO191" s="145">
        <v>0.17</v>
      </c>
      <c r="AP191" s="145">
        <v>0.47</v>
      </c>
      <c r="AQ191" s="146">
        <v>1.04</v>
      </c>
      <c r="AR191" s="147">
        <v>0.54</v>
      </c>
      <c r="AS191" s="145">
        <v>0.14000000000000001</v>
      </c>
      <c r="AT191" s="145">
        <v>0.19</v>
      </c>
      <c r="AU191" s="146">
        <v>0.43</v>
      </c>
      <c r="AV191" s="147">
        <v>0.2</v>
      </c>
      <c r="AW191" s="145">
        <v>0.27</v>
      </c>
      <c r="AX191" s="145">
        <v>0</v>
      </c>
      <c r="AY191" s="146">
        <v>0.47</v>
      </c>
      <c r="AZ191" s="147">
        <v>0</v>
      </c>
      <c r="BA191" s="145">
        <v>0.34</v>
      </c>
      <c r="BB191" s="145">
        <v>0.06</v>
      </c>
      <c r="BC191" s="146">
        <v>0.39</v>
      </c>
      <c r="BD191" s="148">
        <v>0.39</v>
      </c>
      <c r="BE191" s="147">
        <v>0.46</v>
      </c>
      <c r="BF191" s="145">
        <v>0</v>
      </c>
      <c r="BG191" s="145">
        <v>0.17</v>
      </c>
      <c r="BH191" s="146">
        <v>0.63</v>
      </c>
      <c r="BI191" s="147">
        <v>0.27</v>
      </c>
      <c r="BJ191" s="145">
        <v>0.16</v>
      </c>
      <c r="BK191" s="145">
        <v>0.22</v>
      </c>
      <c r="BL191" s="146">
        <v>0.65</v>
      </c>
      <c r="BM191" s="147">
        <v>1.27</v>
      </c>
      <c r="BN191" s="145">
        <v>1.19</v>
      </c>
      <c r="BO191" s="145">
        <v>0.76</v>
      </c>
      <c r="BP191" s="145">
        <v>1.81</v>
      </c>
      <c r="BQ191" s="145">
        <v>1.69</v>
      </c>
      <c r="BR191" s="145">
        <v>2.0099999999999998</v>
      </c>
      <c r="BS191" s="145">
        <v>2.0299999999999998</v>
      </c>
      <c r="BT191" s="145">
        <v>1.25</v>
      </c>
      <c r="BU191" s="146">
        <v>1.21</v>
      </c>
      <c r="BV191" s="74">
        <v>1734190.0800000001</v>
      </c>
      <c r="BW191" s="238">
        <v>193.67500000000001</v>
      </c>
      <c r="BX191" s="220">
        <v>1066.8</v>
      </c>
      <c r="BY191" s="242">
        <v>22</v>
      </c>
      <c r="BZ191" s="220">
        <v>7.4</v>
      </c>
      <c r="CA191" s="227">
        <v>0</v>
      </c>
      <c r="CB191" s="219">
        <v>0</v>
      </c>
      <c r="CC191" s="226">
        <v>7.2999999999999996E-4</v>
      </c>
      <c r="CD191" s="219">
        <v>373</v>
      </c>
      <c r="CE191" s="179">
        <f t="shared" si="8"/>
        <v>5.2937264344474037E-3</v>
      </c>
      <c r="CF191" s="180">
        <f t="shared" si="6"/>
        <v>0.68</v>
      </c>
    </row>
    <row r="192" spans="1:84" ht="24" customHeight="1" x14ac:dyDescent="0.25">
      <c r="A192" s="101">
        <v>191</v>
      </c>
      <c r="B192" s="102" t="s">
        <v>50</v>
      </c>
      <c r="C192" s="103" t="s">
        <v>405</v>
      </c>
      <c r="D192" s="104">
        <v>1422</v>
      </c>
      <c r="E192" s="105">
        <v>2845</v>
      </c>
      <c r="F192" s="106">
        <f t="shared" si="7"/>
        <v>4045590</v>
      </c>
      <c r="G192" s="105">
        <v>390</v>
      </c>
      <c r="H192" s="105">
        <v>2276</v>
      </c>
      <c r="I192" s="107">
        <v>0.5</v>
      </c>
      <c r="J192" s="155">
        <v>24</v>
      </c>
      <c r="K192" s="237">
        <v>19.2</v>
      </c>
      <c r="L192" s="157">
        <v>22</v>
      </c>
      <c r="M192" s="158">
        <v>0.92</v>
      </c>
      <c r="N192" s="106">
        <v>14.5</v>
      </c>
      <c r="O192" s="112" t="s">
        <v>201</v>
      </c>
      <c r="P192" s="113" t="s">
        <v>211</v>
      </c>
      <c r="Q192" s="114">
        <v>5.1000000000000004E-4</v>
      </c>
      <c r="R192" s="115">
        <v>0</v>
      </c>
      <c r="S192" s="115">
        <v>1.0200000000000001E-3</v>
      </c>
      <c r="T192" s="105">
        <v>400</v>
      </c>
      <c r="U192" s="116">
        <v>1707</v>
      </c>
      <c r="V192" s="114">
        <v>5.5999999999999995E-4</v>
      </c>
      <c r="W192" s="105">
        <v>400</v>
      </c>
      <c r="X192" s="113" t="s">
        <v>212</v>
      </c>
      <c r="Y192" s="160">
        <v>0.24</v>
      </c>
      <c r="Z192" s="117">
        <v>1</v>
      </c>
      <c r="AA192" s="108">
        <v>1.6</v>
      </c>
      <c r="AB192" s="106">
        <v>18.2</v>
      </c>
      <c r="AC192" s="109">
        <v>11.4</v>
      </c>
      <c r="AD192" s="118">
        <v>0.36</v>
      </c>
      <c r="AE192" s="119">
        <v>0.47</v>
      </c>
      <c r="AF192" s="97">
        <v>0.92</v>
      </c>
      <c r="AG192" s="95">
        <v>0.18</v>
      </c>
      <c r="AH192" s="95">
        <v>0.12</v>
      </c>
      <c r="AI192" s="96">
        <v>1.22</v>
      </c>
      <c r="AJ192" s="97">
        <v>0.55000000000000004</v>
      </c>
      <c r="AK192" s="95">
        <v>0.4</v>
      </c>
      <c r="AL192" s="95">
        <v>0</v>
      </c>
      <c r="AM192" s="96">
        <v>0.96</v>
      </c>
      <c r="AN192" s="97">
        <v>0</v>
      </c>
      <c r="AO192" s="95">
        <v>0.28999999999999998</v>
      </c>
      <c r="AP192" s="95">
        <v>0.33</v>
      </c>
      <c r="AQ192" s="96">
        <v>0.61</v>
      </c>
      <c r="AR192" s="97">
        <v>1.46</v>
      </c>
      <c r="AS192" s="95">
        <v>0.22</v>
      </c>
      <c r="AT192" s="95">
        <v>0.12</v>
      </c>
      <c r="AU192" s="96">
        <v>1.22</v>
      </c>
      <c r="AV192" s="97">
        <v>0.56999999999999995</v>
      </c>
      <c r="AW192" s="95">
        <v>0.45</v>
      </c>
      <c r="AX192" s="95">
        <v>0</v>
      </c>
      <c r="AY192" s="96">
        <v>1.02</v>
      </c>
      <c r="AZ192" s="97">
        <v>0.37</v>
      </c>
      <c r="BA192" s="95">
        <v>0.56000000000000005</v>
      </c>
      <c r="BB192" s="95">
        <v>0.03</v>
      </c>
      <c r="BC192" s="96">
        <v>0.97</v>
      </c>
      <c r="BD192" s="98">
        <v>1.1000000000000001</v>
      </c>
      <c r="BE192" s="97">
        <v>1.85</v>
      </c>
      <c r="BF192" s="95">
        <v>0</v>
      </c>
      <c r="BG192" s="95">
        <v>0.11</v>
      </c>
      <c r="BH192" s="96">
        <v>1.96</v>
      </c>
      <c r="BI192" s="97">
        <v>0.92</v>
      </c>
      <c r="BJ192" s="95">
        <v>0.27</v>
      </c>
      <c r="BK192" s="95">
        <v>0.14000000000000001</v>
      </c>
      <c r="BL192" s="96">
        <v>1.33</v>
      </c>
      <c r="BM192" s="97">
        <v>0.39</v>
      </c>
      <c r="BN192" s="95">
        <v>0.49</v>
      </c>
      <c r="BO192" s="95">
        <v>0.77</v>
      </c>
      <c r="BP192" s="95">
        <v>0.39</v>
      </c>
      <c r="BQ192" s="95">
        <v>0.46</v>
      </c>
      <c r="BR192" s="95">
        <v>0.49</v>
      </c>
      <c r="BS192" s="95">
        <v>0.43</v>
      </c>
      <c r="BT192" s="95">
        <v>0.24</v>
      </c>
      <c r="BU192" s="96">
        <v>0.35</v>
      </c>
      <c r="BV192" s="74">
        <v>4045590</v>
      </c>
      <c r="BW192" s="105">
        <v>390</v>
      </c>
      <c r="BX192" s="105">
        <v>2276</v>
      </c>
      <c r="BY192" s="157">
        <v>22</v>
      </c>
      <c r="BZ192" s="106">
        <v>14.5</v>
      </c>
      <c r="CA192" s="115">
        <v>1.0200000000000001E-3</v>
      </c>
      <c r="CB192" s="105">
        <v>400</v>
      </c>
      <c r="CC192" s="114">
        <v>5.5999999999999995E-4</v>
      </c>
      <c r="CD192" s="105">
        <v>400</v>
      </c>
      <c r="CE192" s="99">
        <f t="shared" si="8"/>
        <v>2.1630390698931999E-4</v>
      </c>
      <c r="CF192" s="100">
        <f t="shared" si="6"/>
        <v>0.47</v>
      </c>
    </row>
    <row r="193" spans="1:84" ht="24" x14ac:dyDescent="0.25">
      <c r="A193" s="101">
        <v>192</v>
      </c>
      <c r="B193" s="102"/>
      <c r="C193" s="103" t="s">
        <v>406</v>
      </c>
      <c r="D193" s="104">
        <v>1422</v>
      </c>
      <c r="E193" s="105">
        <v>2032</v>
      </c>
      <c r="F193" s="106">
        <f t="shared" si="7"/>
        <v>2889504</v>
      </c>
      <c r="G193" s="105">
        <v>390</v>
      </c>
      <c r="H193" s="106">
        <v>1625.6</v>
      </c>
      <c r="I193" s="107">
        <v>0.7</v>
      </c>
      <c r="J193" s="155">
        <v>24</v>
      </c>
      <c r="K193" s="237">
        <v>19.2</v>
      </c>
      <c r="L193" s="157">
        <v>22</v>
      </c>
      <c r="M193" s="158">
        <v>0.92</v>
      </c>
      <c r="N193" s="106">
        <v>14.5</v>
      </c>
      <c r="O193" s="112" t="s">
        <v>201</v>
      </c>
      <c r="P193" s="113" t="s">
        <v>211</v>
      </c>
      <c r="Q193" s="114">
        <v>7.2000000000000005E-4</v>
      </c>
      <c r="R193" s="115">
        <v>0</v>
      </c>
      <c r="S193" s="115">
        <v>1.4300000000000001E-3</v>
      </c>
      <c r="T193" s="105">
        <v>400</v>
      </c>
      <c r="U193" s="109">
        <v>1219.2</v>
      </c>
      <c r="V193" s="114">
        <v>5.5999999999999995E-4</v>
      </c>
      <c r="W193" s="105">
        <v>400</v>
      </c>
      <c r="X193" s="113" t="s">
        <v>212</v>
      </c>
      <c r="Y193" s="160">
        <v>0.23</v>
      </c>
      <c r="Z193" s="117">
        <v>1</v>
      </c>
      <c r="AA193" s="108">
        <v>2</v>
      </c>
      <c r="AB193" s="106">
        <v>15.7</v>
      </c>
      <c r="AC193" s="109">
        <v>7.9</v>
      </c>
      <c r="AD193" s="118">
        <v>0.31</v>
      </c>
      <c r="AE193" s="119">
        <v>0.46</v>
      </c>
      <c r="AF193" s="120">
        <v>0.56000000000000005</v>
      </c>
      <c r="AG193" s="118">
        <v>0.13</v>
      </c>
      <c r="AH193" s="118">
        <v>0.08</v>
      </c>
      <c r="AI193" s="119">
        <v>0.77</v>
      </c>
      <c r="AJ193" s="120">
        <v>0.39</v>
      </c>
      <c r="AK193" s="118">
        <v>0.28999999999999998</v>
      </c>
      <c r="AL193" s="118">
        <v>0</v>
      </c>
      <c r="AM193" s="119">
        <v>0.68</v>
      </c>
      <c r="AN193" s="120">
        <v>0</v>
      </c>
      <c r="AO193" s="118">
        <v>0.2</v>
      </c>
      <c r="AP193" s="118">
        <v>0.16</v>
      </c>
      <c r="AQ193" s="119">
        <v>0.37</v>
      </c>
      <c r="AR193" s="120">
        <v>0.91</v>
      </c>
      <c r="AS193" s="118">
        <v>0.15</v>
      </c>
      <c r="AT193" s="118">
        <v>0.08</v>
      </c>
      <c r="AU193" s="119">
        <v>0.87</v>
      </c>
      <c r="AV193" s="120">
        <v>0.32</v>
      </c>
      <c r="AW193" s="118">
        <v>0.32</v>
      </c>
      <c r="AX193" s="118">
        <v>0</v>
      </c>
      <c r="AY193" s="119">
        <v>0.64</v>
      </c>
      <c r="AZ193" s="120">
        <v>0.28999999999999998</v>
      </c>
      <c r="BA193" s="118">
        <v>0.4</v>
      </c>
      <c r="BB193" s="118">
        <v>0.02</v>
      </c>
      <c r="BC193" s="119">
        <v>0.71</v>
      </c>
      <c r="BD193" s="121">
        <v>0.73</v>
      </c>
      <c r="BE193" s="120">
        <v>0.94</v>
      </c>
      <c r="BF193" s="118">
        <v>0</v>
      </c>
      <c r="BG193" s="118">
        <v>0.08</v>
      </c>
      <c r="BH193" s="119">
        <v>1.02</v>
      </c>
      <c r="BI193" s="120">
        <v>0.66</v>
      </c>
      <c r="BJ193" s="118">
        <v>0.19</v>
      </c>
      <c r="BK193" s="118">
        <v>0.1</v>
      </c>
      <c r="BL193" s="119">
        <v>0.95</v>
      </c>
      <c r="BM193" s="120">
        <v>0.59</v>
      </c>
      <c r="BN193" s="118">
        <v>0.67</v>
      </c>
      <c r="BO193" s="118">
        <v>1.25</v>
      </c>
      <c r="BP193" s="118">
        <v>0.53</v>
      </c>
      <c r="BQ193" s="118">
        <v>0.72</v>
      </c>
      <c r="BR193" s="118">
        <v>0.64</v>
      </c>
      <c r="BS193" s="118">
        <v>0.62</v>
      </c>
      <c r="BT193" s="118">
        <v>0.45</v>
      </c>
      <c r="BU193" s="119">
        <v>0.48</v>
      </c>
      <c r="BV193" s="74">
        <v>2889504</v>
      </c>
      <c r="BW193" s="105">
        <v>390</v>
      </c>
      <c r="BX193" s="106">
        <v>1625.6</v>
      </c>
      <c r="BY193" s="157">
        <v>22</v>
      </c>
      <c r="BZ193" s="106">
        <v>14.5</v>
      </c>
      <c r="CA193" s="115">
        <v>1.4300000000000001E-3</v>
      </c>
      <c r="CB193" s="105">
        <v>400</v>
      </c>
      <c r="CC193" s="114">
        <v>5.5999999999999995E-4</v>
      </c>
      <c r="CD193" s="105">
        <v>400</v>
      </c>
      <c r="CE193" s="99">
        <f t="shared" si="8"/>
        <v>5.6783767413688669E-4</v>
      </c>
      <c r="CF193" s="100">
        <f t="shared" si="6"/>
        <v>0.46</v>
      </c>
    </row>
    <row r="194" spans="1:84" ht="24" x14ac:dyDescent="0.25">
      <c r="A194" s="122">
        <v>193</v>
      </c>
      <c r="B194" s="102"/>
      <c r="C194" s="103" t="s">
        <v>407</v>
      </c>
      <c r="D194" s="127">
        <v>1422</v>
      </c>
      <c r="E194" s="124">
        <v>1422</v>
      </c>
      <c r="F194" s="106">
        <f t="shared" si="7"/>
        <v>2022084</v>
      </c>
      <c r="G194" s="124">
        <v>390</v>
      </c>
      <c r="H194" s="124">
        <v>1137.5999999999999</v>
      </c>
      <c r="I194" s="107">
        <v>1</v>
      </c>
      <c r="J194" s="155">
        <v>24</v>
      </c>
      <c r="K194" s="237">
        <v>19.2</v>
      </c>
      <c r="L194" s="157">
        <v>22</v>
      </c>
      <c r="M194" s="158">
        <v>0.92</v>
      </c>
      <c r="N194" s="106">
        <v>14.5</v>
      </c>
      <c r="O194" s="112" t="s">
        <v>201</v>
      </c>
      <c r="P194" s="113" t="s">
        <v>211</v>
      </c>
      <c r="Q194" s="114">
        <v>1.0200000000000001E-3</v>
      </c>
      <c r="R194" s="115">
        <v>0</v>
      </c>
      <c r="S194" s="115">
        <v>2.0500000000000002E-3</v>
      </c>
      <c r="T194" s="105">
        <v>400</v>
      </c>
      <c r="U194" s="109">
        <v>853.2</v>
      </c>
      <c r="V194" s="114">
        <v>5.5999999999999995E-4</v>
      </c>
      <c r="W194" s="105">
        <v>400</v>
      </c>
      <c r="X194" s="113" t="s">
        <v>212</v>
      </c>
      <c r="Y194" s="160">
        <v>0.23</v>
      </c>
      <c r="Z194" s="117">
        <v>1</v>
      </c>
      <c r="AA194" s="108">
        <v>2.2000000000000002</v>
      </c>
      <c r="AB194" s="106">
        <v>15.4</v>
      </c>
      <c r="AC194" s="109">
        <v>7</v>
      </c>
      <c r="AD194" s="118">
        <v>0.18</v>
      </c>
      <c r="AE194" s="119">
        <v>0.32</v>
      </c>
      <c r="AF194" s="120">
        <v>0.36</v>
      </c>
      <c r="AG194" s="118">
        <v>0.09</v>
      </c>
      <c r="AH194" s="118">
        <v>0.06</v>
      </c>
      <c r="AI194" s="119">
        <v>0.5</v>
      </c>
      <c r="AJ194" s="120">
        <v>0.28000000000000003</v>
      </c>
      <c r="AK194" s="118">
        <v>0.2</v>
      </c>
      <c r="AL194" s="118">
        <v>0</v>
      </c>
      <c r="AM194" s="119">
        <v>0.48</v>
      </c>
      <c r="AN194" s="120">
        <v>0</v>
      </c>
      <c r="AO194" s="118">
        <v>0.14000000000000001</v>
      </c>
      <c r="AP194" s="118">
        <v>0.08</v>
      </c>
      <c r="AQ194" s="119">
        <v>0.22</v>
      </c>
      <c r="AR194" s="120">
        <v>0.49</v>
      </c>
      <c r="AS194" s="118">
        <v>0.11</v>
      </c>
      <c r="AT194" s="118">
        <v>0.06</v>
      </c>
      <c r="AU194" s="119">
        <v>0.61</v>
      </c>
      <c r="AV194" s="120">
        <v>0.19</v>
      </c>
      <c r="AW194" s="118">
        <v>0.22</v>
      </c>
      <c r="AX194" s="118">
        <v>0</v>
      </c>
      <c r="AY194" s="119">
        <v>0.41</v>
      </c>
      <c r="AZ194" s="120">
        <v>0.22</v>
      </c>
      <c r="BA194" s="118">
        <v>0.28000000000000003</v>
      </c>
      <c r="BB194" s="118">
        <v>0.02</v>
      </c>
      <c r="BC194" s="119">
        <v>0.51</v>
      </c>
      <c r="BD194" s="121">
        <v>0.5</v>
      </c>
      <c r="BE194" s="120">
        <v>0.46</v>
      </c>
      <c r="BF194" s="118">
        <v>0</v>
      </c>
      <c r="BG194" s="118">
        <v>0.05</v>
      </c>
      <c r="BH194" s="119">
        <v>0.52</v>
      </c>
      <c r="BI194" s="120">
        <v>0.46</v>
      </c>
      <c r="BJ194" s="118">
        <v>0.13</v>
      </c>
      <c r="BK194" s="118">
        <v>7.0000000000000007E-2</v>
      </c>
      <c r="BL194" s="119">
        <v>0.67</v>
      </c>
      <c r="BM194" s="120">
        <v>0.63</v>
      </c>
      <c r="BN194" s="118">
        <v>0.66</v>
      </c>
      <c r="BO194" s="118">
        <v>1.43</v>
      </c>
      <c r="BP194" s="118">
        <v>0.52</v>
      </c>
      <c r="BQ194" s="118">
        <v>0.77</v>
      </c>
      <c r="BR194" s="118">
        <v>0.62</v>
      </c>
      <c r="BS194" s="118">
        <v>0.64</v>
      </c>
      <c r="BT194" s="118">
        <v>0.62</v>
      </c>
      <c r="BU194" s="119">
        <v>0.48</v>
      </c>
      <c r="BV194" s="74">
        <v>2022084</v>
      </c>
      <c r="BW194" s="124">
        <v>390</v>
      </c>
      <c r="BX194" s="124">
        <v>1137.5999999999999</v>
      </c>
      <c r="BY194" s="157">
        <v>22</v>
      </c>
      <c r="BZ194" s="106">
        <v>14.5</v>
      </c>
      <c r="CA194" s="115">
        <v>2.0500000000000002E-3</v>
      </c>
      <c r="CB194" s="105">
        <v>400</v>
      </c>
      <c r="CC194" s="114">
        <v>5.5999999999999995E-4</v>
      </c>
      <c r="CD194" s="105">
        <v>400</v>
      </c>
      <c r="CE194" s="99">
        <f t="shared" si="8"/>
        <v>1.1179631432795989E-3</v>
      </c>
      <c r="CF194" s="100">
        <f t="shared" ref="CF194:CF257" si="9">AE194</f>
        <v>0.32</v>
      </c>
    </row>
    <row r="195" spans="1:84" ht="24" x14ac:dyDescent="0.25">
      <c r="A195" s="122">
        <v>194</v>
      </c>
      <c r="B195" s="102"/>
      <c r="C195" s="103" t="s">
        <v>408</v>
      </c>
      <c r="D195" s="127">
        <v>1422</v>
      </c>
      <c r="E195" s="124">
        <v>2845</v>
      </c>
      <c r="F195" s="106">
        <f t="shared" ref="F195:F258" si="10">E195*D195</f>
        <v>4045590</v>
      </c>
      <c r="G195" s="124">
        <v>390</v>
      </c>
      <c r="H195" s="124">
        <v>2276</v>
      </c>
      <c r="I195" s="107">
        <v>0.5</v>
      </c>
      <c r="J195" s="155">
        <v>24</v>
      </c>
      <c r="K195" s="237">
        <v>19.2</v>
      </c>
      <c r="L195" s="157">
        <v>22</v>
      </c>
      <c r="M195" s="158">
        <v>0.92</v>
      </c>
      <c r="N195" s="106">
        <v>14.5</v>
      </c>
      <c r="O195" s="112" t="s">
        <v>201</v>
      </c>
      <c r="P195" s="113" t="s">
        <v>211</v>
      </c>
      <c r="Q195" s="114">
        <v>5.1000000000000004E-4</v>
      </c>
      <c r="R195" s="115">
        <v>0</v>
      </c>
      <c r="S195" s="115">
        <v>1.0200000000000001E-3</v>
      </c>
      <c r="T195" s="105">
        <v>400</v>
      </c>
      <c r="U195" s="116">
        <v>1707</v>
      </c>
      <c r="V195" s="114">
        <v>1.1000000000000001E-3</v>
      </c>
      <c r="W195" s="105">
        <v>400</v>
      </c>
      <c r="X195" s="113" t="s">
        <v>212</v>
      </c>
      <c r="Y195" s="160">
        <v>0.24</v>
      </c>
      <c r="Z195" s="117">
        <v>1</v>
      </c>
      <c r="AA195" s="108">
        <v>1.4</v>
      </c>
      <c r="AB195" s="106">
        <v>25.3</v>
      </c>
      <c r="AC195" s="109">
        <v>18.100000000000001</v>
      </c>
      <c r="AD195" s="118">
        <v>0.38</v>
      </c>
      <c r="AE195" s="119">
        <v>0.44</v>
      </c>
      <c r="AF195" s="120">
        <v>0.92</v>
      </c>
      <c r="AG195" s="118">
        <v>0.35</v>
      </c>
      <c r="AH195" s="118">
        <v>0.12</v>
      </c>
      <c r="AI195" s="119">
        <v>1.39</v>
      </c>
      <c r="AJ195" s="120">
        <v>0.55000000000000004</v>
      </c>
      <c r="AK195" s="118">
        <v>0.79</v>
      </c>
      <c r="AL195" s="118">
        <v>0</v>
      </c>
      <c r="AM195" s="119">
        <v>1.35</v>
      </c>
      <c r="AN195" s="120">
        <v>0</v>
      </c>
      <c r="AO195" s="118">
        <v>0.56000000000000005</v>
      </c>
      <c r="AP195" s="118">
        <v>0.33</v>
      </c>
      <c r="AQ195" s="119">
        <v>0.89</v>
      </c>
      <c r="AR195" s="120">
        <v>1.46</v>
      </c>
      <c r="AS195" s="118">
        <v>0.42</v>
      </c>
      <c r="AT195" s="118">
        <v>0.12</v>
      </c>
      <c r="AU195" s="119">
        <v>1.22</v>
      </c>
      <c r="AV195" s="120">
        <v>0.56999999999999995</v>
      </c>
      <c r="AW195" s="118">
        <v>0.88</v>
      </c>
      <c r="AX195" s="118">
        <v>0</v>
      </c>
      <c r="AY195" s="119">
        <v>1.45</v>
      </c>
      <c r="AZ195" s="120">
        <v>0.37</v>
      </c>
      <c r="BA195" s="118">
        <v>0.78</v>
      </c>
      <c r="BB195" s="118">
        <v>0.03</v>
      </c>
      <c r="BC195" s="119">
        <v>1.19</v>
      </c>
      <c r="BD195" s="121">
        <v>1.1000000000000001</v>
      </c>
      <c r="BE195" s="120">
        <v>1.85</v>
      </c>
      <c r="BF195" s="118">
        <v>0</v>
      </c>
      <c r="BG195" s="118">
        <v>0.11</v>
      </c>
      <c r="BH195" s="119">
        <v>1.96</v>
      </c>
      <c r="BI195" s="120">
        <v>0.92</v>
      </c>
      <c r="BJ195" s="118">
        <v>0.53</v>
      </c>
      <c r="BK195" s="118">
        <v>0.14000000000000001</v>
      </c>
      <c r="BL195" s="119">
        <v>1.59</v>
      </c>
      <c r="BM195" s="120">
        <v>0.32</v>
      </c>
      <c r="BN195" s="118">
        <v>0.33</v>
      </c>
      <c r="BO195" s="118">
        <v>0.49</v>
      </c>
      <c r="BP195" s="118">
        <v>0.36</v>
      </c>
      <c r="BQ195" s="118">
        <v>0.3</v>
      </c>
      <c r="BR195" s="118">
        <v>0.37</v>
      </c>
      <c r="BS195" s="118">
        <v>0.4</v>
      </c>
      <c r="BT195" s="118">
        <v>0.22</v>
      </c>
      <c r="BU195" s="119">
        <v>0.28000000000000003</v>
      </c>
      <c r="BV195" s="74">
        <v>4045590</v>
      </c>
      <c r="BW195" s="124">
        <v>390</v>
      </c>
      <c r="BX195" s="124">
        <v>2276</v>
      </c>
      <c r="BY195" s="157">
        <v>22</v>
      </c>
      <c r="BZ195" s="106">
        <v>14.5</v>
      </c>
      <c r="CA195" s="115">
        <v>1.0200000000000001E-3</v>
      </c>
      <c r="CB195" s="105">
        <v>400</v>
      </c>
      <c r="CC195" s="114">
        <v>1.1000000000000001E-3</v>
      </c>
      <c r="CD195" s="105">
        <v>400</v>
      </c>
      <c r="CE195" s="99">
        <f t="shared" ref="CE195:CE258" si="11">BT195/(G195*E195)*1000</f>
        <v>1.9827858140687666E-4</v>
      </c>
      <c r="CF195" s="100">
        <f t="shared" si="9"/>
        <v>0.44</v>
      </c>
    </row>
    <row r="196" spans="1:84" ht="24" x14ac:dyDescent="0.25">
      <c r="A196" s="101">
        <v>195</v>
      </c>
      <c r="B196" s="102"/>
      <c r="C196" s="103" t="s">
        <v>409</v>
      </c>
      <c r="D196" s="104">
        <v>1422</v>
      </c>
      <c r="E196" s="105">
        <v>2032</v>
      </c>
      <c r="F196" s="106">
        <f t="shared" si="10"/>
        <v>2889504</v>
      </c>
      <c r="G196" s="105">
        <v>390</v>
      </c>
      <c r="H196" s="106">
        <v>1625.6</v>
      </c>
      <c r="I196" s="107">
        <v>0.7</v>
      </c>
      <c r="J196" s="155">
        <v>24</v>
      </c>
      <c r="K196" s="237">
        <v>19.2</v>
      </c>
      <c r="L196" s="157">
        <v>22</v>
      </c>
      <c r="M196" s="158">
        <v>0.92</v>
      </c>
      <c r="N196" s="106">
        <v>14.5</v>
      </c>
      <c r="O196" s="112" t="s">
        <v>201</v>
      </c>
      <c r="P196" s="113" t="s">
        <v>211</v>
      </c>
      <c r="Q196" s="114">
        <v>7.2000000000000005E-4</v>
      </c>
      <c r="R196" s="115">
        <v>0</v>
      </c>
      <c r="S196" s="115">
        <v>1.4300000000000001E-3</v>
      </c>
      <c r="T196" s="105">
        <v>400</v>
      </c>
      <c r="U196" s="109">
        <v>1219.2</v>
      </c>
      <c r="V196" s="114">
        <v>1.1000000000000001E-3</v>
      </c>
      <c r="W196" s="105">
        <v>400</v>
      </c>
      <c r="X196" s="113" t="s">
        <v>212</v>
      </c>
      <c r="Y196" s="160">
        <v>0.24</v>
      </c>
      <c r="Z196" s="117">
        <v>1</v>
      </c>
      <c r="AA196" s="108">
        <v>1.7</v>
      </c>
      <c r="AB196" s="106">
        <v>17.899999999999999</v>
      </c>
      <c r="AC196" s="109">
        <v>10.5</v>
      </c>
      <c r="AD196" s="118">
        <v>0.31</v>
      </c>
      <c r="AE196" s="119">
        <v>0.49</v>
      </c>
      <c r="AF196" s="120">
        <v>0.56000000000000005</v>
      </c>
      <c r="AG196" s="118">
        <v>0.25</v>
      </c>
      <c r="AH196" s="118">
        <v>0.08</v>
      </c>
      <c r="AI196" s="119">
        <v>0.89</v>
      </c>
      <c r="AJ196" s="120">
        <v>0.39</v>
      </c>
      <c r="AK196" s="118">
        <v>0.56999999999999995</v>
      </c>
      <c r="AL196" s="118">
        <v>0</v>
      </c>
      <c r="AM196" s="119">
        <v>0.96</v>
      </c>
      <c r="AN196" s="120">
        <v>0</v>
      </c>
      <c r="AO196" s="118">
        <v>0.4</v>
      </c>
      <c r="AP196" s="118">
        <v>0.16</v>
      </c>
      <c r="AQ196" s="119">
        <v>0.56999999999999995</v>
      </c>
      <c r="AR196" s="120">
        <v>0.91</v>
      </c>
      <c r="AS196" s="118">
        <v>0.3</v>
      </c>
      <c r="AT196" s="118">
        <v>0.08</v>
      </c>
      <c r="AU196" s="119">
        <v>0.87</v>
      </c>
      <c r="AV196" s="120">
        <v>0.32</v>
      </c>
      <c r="AW196" s="118">
        <v>0.63</v>
      </c>
      <c r="AX196" s="118">
        <v>0</v>
      </c>
      <c r="AY196" s="119">
        <v>0.95</v>
      </c>
      <c r="AZ196" s="120">
        <v>0.28999999999999998</v>
      </c>
      <c r="BA196" s="118">
        <v>0.56000000000000005</v>
      </c>
      <c r="BB196" s="118">
        <v>0.02</v>
      </c>
      <c r="BC196" s="119">
        <v>0.87</v>
      </c>
      <c r="BD196" s="121">
        <v>0.73</v>
      </c>
      <c r="BE196" s="120">
        <v>0.94</v>
      </c>
      <c r="BF196" s="118">
        <v>0</v>
      </c>
      <c r="BG196" s="118">
        <v>0.08</v>
      </c>
      <c r="BH196" s="119">
        <v>1.02</v>
      </c>
      <c r="BI196" s="120">
        <v>0.66</v>
      </c>
      <c r="BJ196" s="118">
        <v>0.38</v>
      </c>
      <c r="BK196" s="118">
        <v>0.1</v>
      </c>
      <c r="BL196" s="119">
        <v>1.1399999999999999</v>
      </c>
      <c r="BM196" s="120">
        <v>0.55000000000000004</v>
      </c>
      <c r="BN196" s="118">
        <v>0.51</v>
      </c>
      <c r="BO196" s="118">
        <v>0.86</v>
      </c>
      <c r="BP196" s="118">
        <v>0.56000000000000005</v>
      </c>
      <c r="BQ196" s="118">
        <v>0.51</v>
      </c>
      <c r="BR196" s="118">
        <v>0.56000000000000005</v>
      </c>
      <c r="BS196" s="118">
        <v>0.66</v>
      </c>
      <c r="BT196" s="118">
        <v>0.48</v>
      </c>
      <c r="BU196" s="119">
        <v>0.43</v>
      </c>
      <c r="BV196" s="74">
        <v>2889504</v>
      </c>
      <c r="BW196" s="105">
        <v>390</v>
      </c>
      <c r="BX196" s="106">
        <v>1625.6</v>
      </c>
      <c r="BY196" s="157">
        <v>22</v>
      </c>
      <c r="BZ196" s="106">
        <v>14.5</v>
      </c>
      <c r="CA196" s="115">
        <v>1.4300000000000001E-3</v>
      </c>
      <c r="CB196" s="105">
        <v>400</v>
      </c>
      <c r="CC196" s="114">
        <v>1.1000000000000001E-3</v>
      </c>
      <c r="CD196" s="105">
        <v>400</v>
      </c>
      <c r="CE196" s="99">
        <f t="shared" si="11"/>
        <v>6.0569351907934583E-4</v>
      </c>
      <c r="CF196" s="100">
        <f t="shared" si="9"/>
        <v>0.49</v>
      </c>
    </row>
    <row r="197" spans="1:84" ht="24" x14ac:dyDescent="0.25">
      <c r="A197" s="128">
        <v>196</v>
      </c>
      <c r="B197" s="129"/>
      <c r="C197" s="130" t="s">
        <v>410</v>
      </c>
      <c r="D197" s="131">
        <v>1422</v>
      </c>
      <c r="E197" s="132">
        <v>1422</v>
      </c>
      <c r="F197" s="133">
        <f t="shared" si="10"/>
        <v>2022084</v>
      </c>
      <c r="G197" s="132">
        <v>390</v>
      </c>
      <c r="H197" s="133">
        <v>1137.5999999999999</v>
      </c>
      <c r="I197" s="134">
        <v>1</v>
      </c>
      <c r="J197" s="164">
        <v>24</v>
      </c>
      <c r="K197" s="237">
        <v>19.2</v>
      </c>
      <c r="L197" s="242">
        <v>22</v>
      </c>
      <c r="M197" s="166">
        <v>0.92</v>
      </c>
      <c r="N197" s="133">
        <v>14.5</v>
      </c>
      <c r="O197" s="139" t="s">
        <v>201</v>
      </c>
      <c r="P197" s="140" t="s">
        <v>211</v>
      </c>
      <c r="Q197" s="141">
        <v>1.0200000000000001E-3</v>
      </c>
      <c r="R197" s="142">
        <v>0</v>
      </c>
      <c r="S197" s="142">
        <v>2.0500000000000002E-3</v>
      </c>
      <c r="T197" s="132">
        <v>400</v>
      </c>
      <c r="U197" s="136">
        <v>853.2</v>
      </c>
      <c r="V197" s="141">
        <v>1.1000000000000001E-3</v>
      </c>
      <c r="W197" s="132">
        <v>400</v>
      </c>
      <c r="X197" s="140" t="s">
        <v>212</v>
      </c>
      <c r="Y197" s="167">
        <v>0.24</v>
      </c>
      <c r="Z197" s="144">
        <v>1</v>
      </c>
      <c r="AA197" s="135">
        <v>2.1</v>
      </c>
      <c r="AB197" s="133">
        <v>25.7</v>
      </c>
      <c r="AC197" s="136">
        <v>12.2</v>
      </c>
      <c r="AD197" s="145">
        <v>0.26</v>
      </c>
      <c r="AE197" s="146">
        <v>0.38</v>
      </c>
      <c r="AF197" s="147">
        <v>0.36</v>
      </c>
      <c r="AG197" s="145">
        <v>0.18</v>
      </c>
      <c r="AH197" s="145">
        <v>0.06</v>
      </c>
      <c r="AI197" s="146">
        <v>0.59</v>
      </c>
      <c r="AJ197" s="147">
        <v>0.28000000000000003</v>
      </c>
      <c r="AK197" s="145">
        <v>0.4</v>
      </c>
      <c r="AL197" s="145">
        <v>0</v>
      </c>
      <c r="AM197" s="146">
        <v>0.67</v>
      </c>
      <c r="AN197" s="147">
        <v>0</v>
      </c>
      <c r="AO197" s="145">
        <v>0.28000000000000003</v>
      </c>
      <c r="AP197" s="145">
        <v>0.08</v>
      </c>
      <c r="AQ197" s="146">
        <v>0.36</v>
      </c>
      <c r="AR197" s="147">
        <v>0.49</v>
      </c>
      <c r="AS197" s="145">
        <v>0.21</v>
      </c>
      <c r="AT197" s="145">
        <v>0.06</v>
      </c>
      <c r="AU197" s="146">
        <v>0.61</v>
      </c>
      <c r="AV197" s="147">
        <v>0.19</v>
      </c>
      <c r="AW197" s="145">
        <v>0.44</v>
      </c>
      <c r="AX197" s="145">
        <v>0</v>
      </c>
      <c r="AY197" s="146">
        <v>0.63</v>
      </c>
      <c r="AZ197" s="147">
        <v>0.22</v>
      </c>
      <c r="BA197" s="145">
        <v>0.39</v>
      </c>
      <c r="BB197" s="145">
        <v>0.02</v>
      </c>
      <c r="BC197" s="146">
        <v>0.63</v>
      </c>
      <c r="BD197" s="148">
        <v>0.5</v>
      </c>
      <c r="BE197" s="147">
        <v>0.46</v>
      </c>
      <c r="BF197" s="145">
        <v>0</v>
      </c>
      <c r="BG197" s="145">
        <v>0.06</v>
      </c>
      <c r="BH197" s="146">
        <v>0.52</v>
      </c>
      <c r="BI197" s="147">
        <v>0.46</v>
      </c>
      <c r="BJ197" s="145">
        <v>0.26</v>
      </c>
      <c r="BK197" s="145">
        <v>7.0000000000000007E-2</v>
      </c>
      <c r="BL197" s="146">
        <v>0.8</v>
      </c>
      <c r="BM197" s="147">
        <v>0.64</v>
      </c>
      <c r="BN197" s="145">
        <v>0.56999999999999995</v>
      </c>
      <c r="BO197" s="145">
        <v>1.05</v>
      </c>
      <c r="BP197" s="145">
        <v>0.63</v>
      </c>
      <c r="BQ197" s="145">
        <v>0.61</v>
      </c>
      <c r="BR197" s="145">
        <v>0.61</v>
      </c>
      <c r="BS197" s="145">
        <v>0.77</v>
      </c>
      <c r="BT197" s="145">
        <v>0.74</v>
      </c>
      <c r="BU197" s="146">
        <v>0.48</v>
      </c>
      <c r="BV197" s="74">
        <v>2022084</v>
      </c>
      <c r="BW197" s="132">
        <v>390</v>
      </c>
      <c r="BX197" s="133">
        <v>1137.5999999999999</v>
      </c>
      <c r="BY197" s="242">
        <v>22</v>
      </c>
      <c r="BZ197" s="133">
        <v>14.5</v>
      </c>
      <c r="CA197" s="142">
        <v>2.0500000000000002E-3</v>
      </c>
      <c r="CB197" s="132">
        <v>400</v>
      </c>
      <c r="CC197" s="141">
        <v>1.1000000000000001E-3</v>
      </c>
      <c r="CD197" s="132">
        <v>400</v>
      </c>
      <c r="CE197" s="179">
        <f t="shared" si="11"/>
        <v>1.3343431064950051E-3</v>
      </c>
      <c r="CF197" s="180">
        <f t="shared" si="9"/>
        <v>0.38</v>
      </c>
    </row>
    <row r="198" spans="1:84" ht="24" hidden="1" x14ac:dyDescent="0.25">
      <c r="A198" s="78">
        <v>197</v>
      </c>
      <c r="B198" s="79" t="s">
        <v>411</v>
      </c>
      <c r="C198" s="80" t="s">
        <v>412</v>
      </c>
      <c r="D198" s="81">
        <v>1875</v>
      </c>
      <c r="E198" s="82">
        <v>1975</v>
      </c>
      <c r="F198" s="83">
        <f t="shared" si="10"/>
        <v>3703125</v>
      </c>
      <c r="G198" s="82">
        <v>140</v>
      </c>
      <c r="H198" s="82">
        <v>1580</v>
      </c>
      <c r="I198" s="84">
        <v>0.95</v>
      </c>
      <c r="J198" s="85">
        <v>28.3</v>
      </c>
      <c r="K198" s="86">
        <v>18.2</v>
      </c>
      <c r="L198" s="87">
        <v>24.8</v>
      </c>
      <c r="M198" s="88">
        <v>0.85</v>
      </c>
      <c r="N198" s="83">
        <v>10.9</v>
      </c>
      <c r="O198" s="89" t="s">
        <v>201</v>
      </c>
      <c r="P198" s="90" t="s">
        <v>202</v>
      </c>
      <c r="Q198" s="91">
        <v>2.3E-3</v>
      </c>
      <c r="R198" s="82">
        <v>0</v>
      </c>
      <c r="S198" s="92">
        <v>4.5900000000000003E-3</v>
      </c>
      <c r="T198" s="82">
        <v>465</v>
      </c>
      <c r="U198" s="93">
        <v>1975</v>
      </c>
      <c r="V198" s="81">
        <v>0</v>
      </c>
      <c r="W198" s="82">
        <v>599</v>
      </c>
      <c r="X198" s="90" t="s">
        <v>413</v>
      </c>
      <c r="Y198" s="94">
        <v>0</v>
      </c>
      <c r="Z198" s="94">
        <v>1</v>
      </c>
      <c r="AA198" s="85">
        <v>1.4</v>
      </c>
      <c r="AB198" s="83">
        <v>3.2</v>
      </c>
      <c r="AC198" s="86">
        <v>2.2000000000000002</v>
      </c>
      <c r="AD198" s="95">
        <v>0.28999999999999998</v>
      </c>
      <c r="AE198" s="96">
        <v>0.32</v>
      </c>
      <c r="AF198" s="97">
        <v>0.32</v>
      </c>
      <c r="AG198" s="95">
        <v>0</v>
      </c>
      <c r="AH198" s="95">
        <v>0</v>
      </c>
      <c r="AI198" s="96">
        <v>0.32</v>
      </c>
      <c r="AJ198" s="97">
        <v>0.22</v>
      </c>
      <c r="AK198" s="95">
        <v>0</v>
      </c>
      <c r="AL198" s="95">
        <v>0</v>
      </c>
      <c r="AM198" s="96">
        <v>0.22</v>
      </c>
      <c r="AN198" s="97">
        <v>0.45</v>
      </c>
      <c r="AO198" s="95">
        <v>0</v>
      </c>
      <c r="AP198" s="95">
        <v>0</v>
      </c>
      <c r="AQ198" s="96">
        <v>0.45</v>
      </c>
      <c r="AR198" s="97">
        <v>0.47</v>
      </c>
      <c r="AS198" s="95">
        <v>0</v>
      </c>
      <c r="AT198" s="95">
        <v>0</v>
      </c>
      <c r="AU198" s="96">
        <v>0.47</v>
      </c>
      <c r="AV198" s="97">
        <v>0.17</v>
      </c>
      <c r="AW198" s="95">
        <v>0</v>
      </c>
      <c r="AX198" s="95">
        <v>0</v>
      </c>
      <c r="AY198" s="96">
        <v>0.17</v>
      </c>
      <c r="AZ198" s="97">
        <v>0.25</v>
      </c>
      <c r="BA198" s="95">
        <v>0</v>
      </c>
      <c r="BB198" s="95">
        <v>0</v>
      </c>
      <c r="BC198" s="96">
        <v>0.25</v>
      </c>
      <c r="BD198" s="98">
        <v>0.2</v>
      </c>
      <c r="BE198" s="97">
        <v>0.47</v>
      </c>
      <c r="BF198" s="95">
        <v>0</v>
      </c>
      <c r="BG198" s="95">
        <v>0</v>
      </c>
      <c r="BH198" s="96">
        <v>0.47</v>
      </c>
      <c r="BI198" s="97">
        <v>0.45</v>
      </c>
      <c r="BJ198" s="95">
        <v>0</v>
      </c>
      <c r="BK198" s="95">
        <v>0</v>
      </c>
      <c r="BL198" s="96">
        <v>0.45</v>
      </c>
      <c r="BM198" s="97">
        <v>0.97</v>
      </c>
      <c r="BN198" s="95">
        <v>1.43</v>
      </c>
      <c r="BO198" s="95">
        <v>0.71</v>
      </c>
      <c r="BP198" s="95">
        <v>0.68</v>
      </c>
      <c r="BQ198" s="95">
        <v>1.82</v>
      </c>
      <c r="BR198" s="95">
        <v>1.28</v>
      </c>
      <c r="BS198" s="95">
        <v>1.58</v>
      </c>
      <c r="BT198" s="95">
        <v>0.67</v>
      </c>
      <c r="BU198" s="96">
        <v>0.7</v>
      </c>
      <c r="BV198" s="74">
        <v>3703125</v>
      </c>
      <c r="BW198" s="82">
        <v>140</v>
      </c>
      <c r="BX198" s="82">
        <v>1580</v>
      </c>
      <c r="BY198" s="87">
        <v>24.8</v>
      </c>
      <c r="BZ198" s="83">
        <v>10.9</v>
      </c>
      <c r="CA198" s="92">
        <v>4.5900000000000003E-3</v>
      </c>
      <c r="CB198" s="82">
        <v>465</v>
      </c>
      <c r="CC198" s="81">
        <v>0</v>
      </c>
      <c r="CD198" s="82">
        <v>599</v>
      </c>
      <c r="CE198" s="99">
        <f t="shared" si="11"/>
        <v>2.4231464737793852E-3</v>
      </c>
      <c r="CF198" s="100">
        <f t="shared" si="9"/>
        <v>0.32</v>
      </c>
    </row>
    <row r="199" spans="1:84" ht="24" hidden="1" x14ac:dyDescent="0.25">
      <c r="A199" s="101">
        <v>198</v>
      </c>
      <c r="B199" s="102"/>
      <c r="C199" s="103" t="s">
        <v>414</v>
      </c>
      <c r="D199" s="104">
        <v>1875</v>
      </c>
      <c r="E199" s="105">
        <v>1975</v>
      </c>
      <c r="F199" s="106">
        <f t="shared" si="10"/>
        <v>3703125</v>
      </c>
      <c r="G199" s="105">
        <v>140</v>
      </c>
      <c r="H199" s="105">
        <v>1580</v>
      </c>
      <c r="I199" s="107">
        <v>0.95</v>
      </c>
      <c r="J199" s="108">
        <v>28.3</v>
      </c>
      <c r="K199" s="109">
        <v>18.2</v>
      </c>
      <c r="L199" s="110">
        <v>24.8</v>
      </c>
      <c r="M199" s="111">
        <v>0.85</v>
      </c>
      <c r="N199" s="106">
        <v>10.9</v>
      </c>
      <c r="O199" s="112" t="s">
        <v>201</v>
      </c>
      <c r="P199" s="113" t="s">
        <v>202</v>
      </c>
      <c r="Q199" s="114">
        <v>2.3E-3</v>
      </c>
      <c r="R199" s="105">
        <v>0</v>
      </c>
      <c r="S199" s="115">
        <v>4.5900000000000003E-3</v>
      </c>
      <c r="T199" s="105">
        <v>465</v>
      </c>
      <c r="U199" s="116">
        <v>1975</v>
      </c>
      <c r="V199" s="104">
        <v>0</v>
      </c>
      <c r="W199" s="105">
        <v>599</v>
      </c>
      <c r="X199" s="113" t="s">
        <v>413</v>
      </c>
      <c r="Y199" s="117">
        <v>0</v>
      </c>
      <c r="Z199" s="117">
        <v>1</v>
      </c>
      <c r="AA199" s="108">
        <v>1.7</v>
      </c>
      <c r="AB199" s="106">
        <v>3.2</v>
      </c>
      <c r="AC199" s="109">
        <v>1.9</v>
      </c>
      <c r="AD199" s="118">
        <v>0.3</v>
      </c>
      <c r="AE199" s="119">
        <v>0.31</v>
      </c>
      <c r="AF199" s="120">
        <v>0.32</v>
      </c>
      <c r="AG199" s="118">
        <v>0</v>
      </c>
      <c r="AH199" s="118">
        <v>0</v>
      </c>
      <c r="AI199" s="119">
        <v>0.32</v>
      </c>
      <c r="AJ199" s="120">
        <v>0.22</v>
      </c>
      <c r="AK199" s="118">
        <v>0</v>
      </c>
      <c r="AL199" s="118">
        <v>0</v>
      </c>
      <c r="AM199" s="119">
        <v>0.22</v>
      </c>
      <c r="AN199" s="120">
        <v>0.51</v>
      </c>
      <c r="AO199" s="118">
        <v>0</v>
      </c>
      <c r="AP199" s="118">
        <v>0</v>
      </c>
      <c r="AQ199" s="119">
        <v>0.51</v>
      </c>
      <c r="AR199" s="120">
        <v>0.47</v>
      </c>
      <c r="AS199" s="118">
        <v>0</v>
      </c>
      <c r="AT199" s="118">
        <v>0</v>
      </c>
      <c r="AU199" s="119">
        <v>0.47</v>
      </c>
      <c r="AV199" s="120">
        <v>0.17</v>
      </c>
      <c r="AW199" s="118">
        <v>0</v>
      </c>
      <c r="AX199" s="118">
        <v>0</v>
      </c>
      <c r="AY199" s="119">
        <v>0.17</v>
      </c>
      <c r="AZ199" s="120">
        <v>0.25</v>
      </c>
      <c r="BA199" s="118">
        <v>0</v>
      </c>
      <c r="BB199" s="118">
        <v>0</v>
      </c>
      <c r="BC199" s="119">
        <v>0.25</v>
      </c>
      <c r="BD199" s="121">
        <v>0.2</v>
      </c>
      <c r="BE199" s="120">
        <v>0.47</v>
      </c>
      <c r="BF199" s="118">
        <v>0</v>
      </c>
      <c r="BG199" s="118">
        <v>0</v>
      </c>
      <c r="BH199" s="119">
        <v>0.47</v>
      </c>
      <c r="BI199" s="120">
        <v>0.45</v>
      </c>
      <c r="BJ199" s="118">
        <v>0</v>
      </c>
      <c r="BK199" s="118">
        <v>0</v>
      </c>
      <c r="BL199" s="119">
        <v>0.45</v>
      </c>
      <c r="BM199" s="120">
        <v>0.96</v>
      </c>
      <c r="BN199" s="118">
        <v>1.41</v>
      </c>
      <c r="BO199" s="118">
        <v>0.62</v>
      </c>
      <c r="BP199" s="118">
        <v>0.67</v>
      </c>
      <c r="BQ199" s="118">
        <v>1.8</v>
      </c>
      <c r="BR199" s="118">
        <v>1.27</v>
      </c>
      <c r="BS199" s="118">
        <v>1.56</v>
      </c>
      <c r="BT199" s="118">
        <v>0.66</v>
      </c>
      <c r="BU199" s="119">
        <v>0.69</v>
      </c>
      <c r="BV199" s="74">
        <v>3703125</v>
      </c>
      <c r="BW199" s="105">
        <v>140</v>
      </c>
      <c r="BX199" s="105">
        <v>1580</v>
      </c>
      <c r="BY199" s="110">
        <v>24.8</v>
      </c>
      <c r="BZ199" s="106">
        <v>10.9</v>
      </c>
      <c r="CA199" s="115">
        <v>4.5900000000000003E-3</v>
      </c>
      <c r="CB199" s="105">
        <v>465</v>
      </c>
      <c r="CC199" s="104">
        <v>0</v>
      </c>
      <c r="CD199" s="105">
        <v>599</v>
      </c>
      <c r="CE199" s="99">
        <f t="shared" si="11"/>
        <v>2.3869801084990959E-3</v>
      </c>
      <c r="CF199" s="100">
        <f t="shared" si="9"/>
        <v>0.31</v>
      </c>
    </row>
    <row r="200" spans="1:84" ht="24" hidden="1" x14ac:dyDescent="0.25">
      <c r="A200" s="101">
        <v>199</v>
      </c>
      <c r="B200" s="102"/>
      <c r="C200" s="103" t="s">
        <v>415</v>
      </c>
      <c r="D200" s="104">
        <v>1875</v>
      </c>
      <c r="E200" s="105">
        <v>1975</v>
      </c>
      <c r="F200" s="106">
        <f t="shared" si="10"/>
        <v>3703125</v>
      </c>
      <c r="G200" s="105">
        <v>140</v>
      </c>
      <c r="H200" s="105">
        <v>1580</v>
      </c>
      <c r="I200" s="107">
        <v>0.95</v>
      </c>
      <c r="J200" s="108">
        <v>28.3</v>
      </c>
      <c r="K200" s="109">
        <v>18.2</v>
      </c>
      <c r="L200" s="110">
        <v>24.8</v>
      </c>
      <c r="M200" s="111">
        <v>0.77</v>
      </c>
      <c r="N200" s="106">
        <v>10.4</v>
      </c>
      <c r="O200" s="112" t="s">
        <v>201</v>
      </c>
      <c r="P200" s="113" t="s">
        <v>202</v>
      </c>
      <c r="Q200" s="114">
        <v>2.3E-3</v>
      </c>
      <c r="R200" s="105">
        <v>0</v>
      </c>
      <c r="S200" s="115">
        <v>4.5900000000000003E-3</v>
      </c>
      <c r="T200" s="105">
        <v>465</v>
      </c>
      <c r="U200" s="116">
        <v>1975</v>
      </c>
      <c r="V200" s="104">
        <v>0</v>
      </c>
      <c r="W200" s="105">
        <v>599</v>
      </c>
      <c r="X200" s="113" t="s">
        <v>413</v>
      </c>
      <c r="Y200" s="160">
        <v>0.62</v>
      </c>
      <c r="Z200" s="117">
        <v>1</v>
      </c>
      <c r="AA200" s="108">
        <v>1.6</v>
      </c>
      <c r="AB200" s="106">
        <v>3.3</v>
      </c>
      <c r="AC200" s="109">
        <v>2</v>
      </c>
      <c r="AD200" s="118">
        <v>0.43</v>
      </c>
      <c r="AE200" s="119">
        <v>0.46</v>
      </c>
      <c r="AF200" s="120">
        <v>0.32</v>
      </c>
      <c r="AG200" s="118">
        <v>0</v>
      </c>
      <c r="AH200" s="118">
        <v>0.16</v>
      </c>
      <c r="AI200" s="119">
        <v>0.48</v>
      </c>
      <c r="AJ200" s="120">
        <v>0.4</v>
      </c>
      <c r="AK200" s="118">
        <v>0</v>
      </c>
      <c r="AL200" s="118">
        <v>0</v>
      </c>
      <c r="AM200" s="119">
        <v>0.4</v>
      </c>
      <c r="AN200" s="120">
        <v>0.47</v>
      </c>
      <c r="AO200" s="118">
        <v>0</v>
      </c>
      <c r="AP200" s="118">
        <v>0.2</v>
      </c>
      <c r="AQ200" s="119">
        <v>0.67</v>
      </c>
      <c r="AR200" s="120">
        <v>0.46</v>
      </c>
      <c r="AS200" s="118">
        <v>0</v>
      </c>
      <c r="AT200" s="118">
        <v>0.16</v>
      </c>
      <c r="AU200" s="119">
        <v>0.54</v>
      </c>
      <c r="AV200" s="120">
        <v>0.17</v>
      </c>
      <c r="AW200" s="118">
        <v>0</v>
      </c>
      <c r="AX200" s="118">
        <v>0</v>
      </c>
      <c r="AY200" s="119">
        <v>0.17</v>
      </c>
      <c r="AZ200" s="120">
        <v>0.24</v>
      </c>
      <c r="BA200" s="118">
        <v>0</v>
      </c>
      <c r="BB200" s="118">
        <v>0.05</v>
      </c>
      <c r="BC200" s="119">
        <v>0.28999999999999998</v>
      </c>
      <c r="BD200" s="121">
        <v>0.2</v>
      </c>
      <c r="BE200" s="120">
        <v>0.43</v>
      </c>
      <c r="BF200" s="118">
        <v>0</v>
      </c>
      <c r="BG200" s="118">
        <v>0.15</v>
      </c>
      <c r="BH200" s="119">
        <v>0.57999999999999996</v>
      </c>
      <c r="BI200" s="120">
        <v>0.41</v>
      </c>
      <c r="BJ200" s="118">
        <v>0</v>
      </c>
      <c r="BK200" s="118">
        <v>0.2</v>
      </c>
      <c r="BL200" s="119">
        <v>0.6</v>
      </c>
      <c r="BM200" s="120">
        <v>0.97</v>
      </c>
      <c r="BN200" s="118">
        <v>1.1499999999999999</v>
      </c>
      <c r="BO200" s="118">
        <v>0.69</v>
      </c>
      <c r="BP200" s="118">
        <v>0.85</v>
      </c>
      <c r="BQ200" s="118">
        <v>2.74</v>
      </c>
      <c r="BR200" s="118">
        <v>1.61</v>
      </c>
      <c r="BS200" s="118">
        <v>2.3199999999999998</v>
      </c>
      <c r="BT200" s="118">
        <v>0.8</v>
      </c>
      <c r="BU200" s="119">
        <v>0.77</v>
      </c>
      <c r="BV200" s="74">
        <v>3703125</v>
      </c>
      <c r="BW200" s="105">
        <v>140</v>
      </c>
      <c r="BX200" s="105">
        <v>1580</v>
      </c>
      <c r="BY200" s="110">
        <v>24.8</v>
      </c>
      <c r="BZ200" s="106">
        <v>10.4</v>
      </c>
      <c r="CA200" s="115">
        <v>4.5900000000000003E-3</v>
      </c>
      <c r="CB200" s="105">
        <v>465</v>
      </c>
      <c r="CC200" s="104">
        <v>0</v>
      </c>
      <c r="CD200" s="105">
        <v>599</v>
      </c>
      <c r="CE200" s="99">
        <f t="shared" si="11"/>
        <v>2.8933092224231469E-3</v>
      </c>
      <c r="CF200" s="100">
        <f t="shared" si="9"/>
        <v>0.46</v>
      </c>
    </row>
    <row r="201" spans="1:84" ht="24" hidden="1" x14ac:dyDescent="0.25">
      <c r="A201" s="101">
        <v>200</v>
      </c>
      <c r="B201" s="102"/>
      <c r="C201" s="103" t="s">
        <v>416</v>
      </c>
      <c r="D201" s="104">
        <v>1875</v>
      </c>
      <c r="E201" s="105">
        <v>1975</v>
      </c>
      <c r="F201" s="106">
        <f t="shared" si="10"/>
        <v>3703125</v>
      </c>
      <c r="G201" s="105">
        <v>140</v>
      </c>
      <c r="H201" s="105">
        <v>1580</v>
      </c>
      <c r="I201" s="107">
        <v>0.95</v>
      </c>
      <c r="J201" s="108">
        <v>28.3</v>
      </c>
      <c r="K201" s="109">
        <v>18.2</v>
      </c>
      <c r="L201" s="110">
        <v>24.8</v>
      </c>
      <c r="M201" s="111">
        <v>0.77</v>
      </c>
      <c r="N201" s="106">
        <v>10.4</v>
      </c>
      <c r="O201" s="112" t="s">
        <v>201</v>
      </c>
      <c r="P201" s="113" t="s">
        <v>202</v>
      </c>
      <c r="Q201" s="114">
        <v>2.3E-3</v>
      </c>
      <c r="R201" s="105">
        <v>0</v>
      </c>
      <c r="S201" s="115">
        <v>4.5900000000000003E-3</v>
      </c>
      <c r="T201" s="105">
        <v>465</v>
      </c>
      <c r="U201" s="116">
        <v>1975</v>
      </c>
      <c r="V201" s="104">
        <v>0</v>
      </c>
      <c r="W201" s="105">
        <v>599</v>
      </c>
      <c r="X201" s="113" t="s">
        <v>413</v>
      </c>
      <c r="Y201" s="160">
        <v>0.63</v>
      </c>
      <c r="Z201" s="117">
        <v>1</v>
      </c>
      <c r="AA201" s="108">
        <v>1.6</v>
      </c>
      <c r="AB201" s="106">
        <v>4.8</v>
      </c>
      <c r="AC201" s="109">
        <v>3.1</v>
      </c>
      <c r="AD201" s="118">
        <v>0.37</v>
      </c>
      <c r="AE201" s="119">
        <v>0.42</v>
      </c>
      <c r="AF201" s="120">
        <v>0.32</v>
      </c>
      <c r="AG201" s="118">
        <v>0</v>
      </c>
      <c r="AH201" s="118">
        <v>0.17</v>
      </c>
      <c r="AI201" s="119">
        <v>0.48</v>
      </c>
      <c r="AJ201" s="120">
        <v>0.41</v>
      </c>
      <c r="AK201" s="118">
        <v>0</v>
      </c>
      <c r="AL201" s="118">
        <v>0</v>
      </c>
      <c r="AM201" s="119">
        <v>0.41</v>
      </c>
      <c r="AN201" s="120">
        <v>0.22</v>
      </c>
      <c r="AO201" s="118">
        <v>0</v>
      </c>
      <c r="AP201" s="118">
        <v>0.2</v>
      </c>
      <c r="AQ201" s="119">
        <v>0.42</v>
      </c>
      <c r="AR201" s="120">
        <v>0.46</v>
      </c>
      <c r="AS201" s="118">
        <v>0</v>
      </c>
      <c r="AT201" s="118">
        <v>0.17</v>
      </c>
      <c r="AU201" s="119">
        <v>0.54</v>
      </c>
      <c r="AV201" s="120">
        <v>0.17</v>
      </c>
      <c r="AW201" s="118">
        <v>0</v>
      </c>
      <c r="AX201" s="118">
        <v>0</v>
      </c>
      <c r="AY201" s="119">
        <v>0.17</v>
      </c>
      <c r="AZ201" s="120">
        <v>0.24</v>
      </c>
      <c r="BA201" s="118">
        <v>0</v>
      </c>
      <c r="BB201" s="118">
        <v>0.05</v>
      </c>
      <c r="BC201" s="119">
        <v>0.28999999999999998</v>
      </c>
      <c r="BD201" s="121">
        <v>0.2</v>
      </c>
      <c r="BE201" s="120">
        <v>0.43</v>
      </c>
      <c r="BF201" s="118">
        <v>0</v>
      </c>
      <c r="BG201" s="118">
        <v>0.15</v>
      </c>
      <c r="BH201" s="119">
        <v>0.57999999999999996</v>
      </c>
      <c r="BI201" s="120">
        <v>0.41</v>
      </c>
      <c r="BJ201" s="118">
        <v>0</v>
      </c>
      <c r="BK201" s="118">
        <v>0.2</v>
      </c>
      <c r="BL201" s="119">
        <v>0.61</v>
      </c>
      <c r="BM201" s="120">
        <v>0.88</v>
      </c>
      <c r="BN201" s="118">
        <v>1.04</v>
      </c>
      <c r="BO201" s="118">
        <v>1.01</v>
      </c>
      <c r="BP201" s="118">
        <v>0.78</v>
      </c>
      <c r="BQ201" s="118">
        <v>2.5</v>
      </c>
      <c r="BR201" s="118">
        <v>1.47</v>
      </c>
      <c r="BS201" s="118">
        <v>2.12</v>
      </c>
      <c r="BT201" s="118">
        <v>0.73</v>
      </c>
      <c r="BU201" s="119">
        <v>0.7</v>
      </c>
      <c r="BV201" s="74">
        <v>3703125</v>
      </c>
      <c r="BW201" s="105">
        <v>140</v>
      </c>
      <c r="BX201" s="105">
        <v>1580</v>
      </c>
      <c r="BY201" s="110">
        <v>24.8</v>
      </c>
      <c r="BZ201" s="106">
        <v>10.4</v>
      </c>
      <c r="CA201" s="115">
        <v>4.5900000000000003E-3</v>
      </c>
      <c r="CB201" s="105">
        <v>465</v>
      </c>
      <c r="CC201" s="104">
        <v>0</v>
      </c>
      <c r="CD201" s="105">
        <v>599</v>
      </c>
      <c r="CE201" s="99">
        <f t="shared" si="11"/>
        <v>2.6401446654611212E-3</v>
      </c>
      <c r="CF201" s="100">
        <f t="shared" si="9"/>
        <v>0.42</v>
      </c>
    </row>
    <row r="202" spans="1:84" ht="24" hidden="1" x14ac:dyDescent="0.25">
      <c r="A202" s="101">
        <v>201</v>
      </c>
      <c r="B202" s="102"/>
      <c r="C202" s="103" t="s">
        <v>417</v>
      </c>
      <c r="D202" s="104">
        <v>1875</v>
      </c>
      <c r="E202" s="105">
        <v>1975</v>
      </c>
      <c r="F202" s="106">
        <f t="shared" si="10"/>
        <v>3703125</v>
      </c>
      <c r="G202" s="105">
        <v>140</v>
      </c>
      <c r="H202" s="105">
        <v>1580</v>
      </c>
      <c r="I202" s="107">
        <v>0.95</v>
      </c>
      <c r="J202" s="108">
        <v>28.3</v>
      </c>
      <c r="K202" s="109">
        <v>17.2</v>
      </c>
      <c r="L202" s="110">
        <v>25.7</v>
      </c>
      <c r="M202" s="111">
        <v>0.7</v>
      </c>
      <c r="N202" s="106">
        <v>10.8</v>
      </c>
      <c r="O202" s="112" t="s">
        <v>201</v>
      </c>
      <c r="P202" s="113" t="s">
        <v>202</v>
      </c>
      <c r="Q202" s="114">
        <v>2.3E-3</v>
      </c>
      <c r="R202" s="105">
        <v>0</v>
      </c>
      <c r="S202" s="115">
        <v>4.5900000000000003E-3</v>
      </c>
      <c r="T202" s="105">
        <v>465</v>
      </c>
      <c r="U202" s="116">
        <v>1975</v>
      </c>
      <c r="V202" s="104">
        <v>0</v>
      </c>
      <c r="W202" s="105">
        <v>599</v>
      </c>
      <c r="X202" s="113" t="s">
        <v>413</v>
      </c>
      <c r="Y202" s="117">
        <v>0</v>
      </c>
      <c r="Z202" s="117">
        <v>1</v>
      </c>
      <c r="AA202" s="108">
        <v>1.6</v>
      </c>
      <c r="AB202" s="106">
        <v>5.7</v>
      </c>
      <c r="AC202" s="109">
        <v>3.7</v>
      </c>
      <c r="AD202" s="118">
        <v>0.26</v>
      </c>
      <c r="AE202" s="119">
        <v>0.36</v>
      </c>
      <c r="AF202" s="120">
        <v>0.32</v>
      </c>
      <c r="AG202" s="118">
        <v>0</v>
      </c>
      <c r="AH202" s="118">
        <v>0</v>
      </c>
      <c r="AI202" s="119">
        <v>0.32</v>
      </c>
      <c r="AJ202" s="120">
        <v>0.22</v>
      </c>
      <c r="AK202" s="118">
        <v>0.06</v>
      </c>
      <c r="AL202" s="118">
        <v>0</v>
      </c>
      <c r="AM202" s="119">
        <v>0.28000000000000003</v>
      </c>
      <c r="AN202" s="120">
        <v>0.08</v>
      </c>
      <c r="AO202" s="118">
        <v>0</v>
      </c>
      <c r="AP202" s="118">
        <v>0</v>
      </c>
      <c r="AQ202" s="119">
        <v>0.08</v>
      </c>
      <c r="AR202" s="120">
        <v>0.47</v>
      </c>
      <c r="AS202" s="118">
        <v>0</v>
      </c>
      <c r="AT202" s="118">
        <v>0</v>
      </c>
      <c r="AU202" s="119">
        <v>0.47</v>
      </c>
      <c r="AV202" s="120">
        <v>0.17</v>
      </c>
      <c r="AW202" s="118">
        <v>0</v>
      </c>
      <c r="AX202" s="118">
        <v>0</v>
      </c>
      <c r="AY202" s="119">
        <v>0.17</v>
      </c>
      <c r="AZ202" s="120">
        <v>0.25</v>
      </c>
      <c r="BA202" s="118">
        <v>0</v>
      </c>
      <c r="BB202" s="118">
        <v>0</v>
      </c>
      <c r="BC202" s="119">
        <v>0.25</v>
      </c>
      <c r="BD202" s="121">
        <v>0.2</v>
      </c>
      <c r="BE202" s="120">
        <v>0.39</v>
      </c>
      <c r="BF202" s="118">
        <v>0</v>
      </c>
      <c r="BG202" s="118">
        <v>0</v>
      </c>
      <c r="BH202" s="119">
        <v>0.39</v>
      </c>
      <c r="BI202" s="120">
        <v>0.37</v>
      </c>
      <c r="BJ202" s="118">
        <v>0</v>
      </c>
      <c r="BK202" s="118">
        <v>0</v>
      </c>
      <c r="BL202" s="119">
        <v>0.37</v>
      </c>
      <c r="BM202" s="120">
        <v>1.1000000000000001</v>
      </c>
      <c r="BN202" s="118">
        <v>1.27</v>
      </c>
      <c r="BO202" s="118">
        <v>4.72</v>
      </c>
      <c r="BP202" s="118">
        <v>0.77</v>
      </c>
      <c r="BQ202" s="118">
        <v>2.0699999999999998</v>
      </c>
      <c r="BR202" s="118">
        <v>1.46</v>
      </c>
      <c r="BS202" s="118">
        <v>1.78</v>
      </c>
      <c r="BT202" s="118">
        <v>0.92</v>
      </c>
      <c r="BU202" s="119">
        <v>0.97</v>
      </c>
      <c r="BV202" s="74">
        <v>3703125</v>
      </c>
      <c r="BW202" s="105">
        <v>140</v>
      </c>
      <c r="BX202" s="105">
        <v>1580</v>
      </c>
      <c r="BY202" s="110">
        <v>25.7</v>
      </c>
      <c r="BZ202" s="106">
        <v>10.8</v>
      </c>
      <c r="CA202" s="115">
        <v>4.5900000000000003E-3</v>
      </c>
      <c r="CB202" s="105">
        <v>465</v>
      </c>
      <c r="CC202" s="104">
        <v>0</v>
      </c>
      <c r="CD202" s="105">
        <v>599</v>
      </c>
      <c r="CE202" s="99">
        <f t="shared" si="11"/>
        <v>3.3273056057866184E-3</v>
      </c>
      <c r="CF202" s="100">
        <f t="shared" si="9"/>
        <v>0.36</v>
      </c>
    </row>
    <row r="203" spans="1:84" ht="24" hidden="1" x14ac:dyDescent="0.25">
      <c r="A203" s="122">
        <v>202</v>
      </c>
      <c r="B203" s="102"/>
      <c r="C203" s="103" t="s">
        <v>418</v>
      </c>
      <c r="D203" s="104">
        <v>1875</v>
      </c>
      <c r="E203" s="105">
        <v>1975</v>
      </c>
      <c r="F203" s="106">
        <f t="shared" si="10"/>
        <v>3703125</v>
      </c>
      <c r="G203" s="105">
        <v>140</v>
      </c>
      <c r="H203" s="105">
        <v>1580</v>
      </c>
      <c r="I203" s="107">
        <v>0.95</v>
      </c>
      <c r="J203" s="108">
        <v>28.3</v>
      </c>
      <c r="K203" s="109">
        <v>17.2</v>
      </c>
      <c r="L203" s="110">
        <v>25.7</v>
      </c>
      <c r="M203" s="111">
        <v>0.7</v>
      </c>
      <c r="N203" s="106">
        <v>10.8</v>
      </c>
      <c r="O203" s="112" t="s">
        <v>201</v>
      </c>
      <c r="P203" s="113" t="s">
        <v>202</v>
      </c>
      <c r="Q203" s="114">
        <v>2.3E-3</v>
      </c>
      <c r="R203" s="105">
        <v>0</v>
      </c>
      <c r="S203" s="115">
        <v>4.5900000000000003E-3</v>
      </c>
      <c r="T203" s="105">
        <v>465</v>
      </c>
      <c r="U203" s="116">
        <v>1975</v>
      </c>
      <c r="V203" s="104">
        <v>0</v>
      </c>
      <c r="W203" s="105">
        <v>599</v>
      </c>
      <c r="X203" s="116">
        <v>625</v>
      </c>
      <c r="Y203" s="117">
        <v>0</v>
      </c>
      <c r="Z203" s="117">
        <v>1</v>
      </c>
      <c r="AA203" s="108">
        <v>1.9</v>
      </c>
      <c r="AB203" s="106">
        <v>7</v>
      </c>
      <c r="AC203" s="109">
        <v>3.6</v>
      </c>
      <c r="AD203" s="118">
        <v>0.28999999999999998</v>
      </c>
      <c r="AE203" s="119">
        <v>0.42</v>
      </c>
      <c r="AF203" s="120">
        <v>0.32</v>
      </c>
      <c r="AG203" s="118">
        <v>0</v>
      </c>
      <c r="AH203" s="118">
        <v>0</v>
      </c>
      <c r="AI203" s="119">
        <v>0.32</v>
      </c>
      <c r="AJ203" s="120">
        <v>0.22</v>
      </c>
      <c r="AK203" s="118">
        <v>0.12</v>
      </c>
      <c r="AL203" s="118">
        <v>0</v>
      </c>
      <c r="AM203" s="119">
        <v>0.34</v>
      </c>
      <c r="AN203" s="120">
        <v>0.09</v>
      </c>
      <c r="AO203" s="118">
        <v>0</v>
      </c>
      <c r="AP203" s="118">
        <v>0</v>
      </c>
      <c r="AQ203" s="119">
        <v>0.09</v>
      </c>
      <c r="AR203" s="120">
        <v>0.47</v>
      </c>
      <c r="AS203" s="118">
        <v>0</v>
      </c>
      <c r="AT203" s="118">
        <v>0</v>
      </c>
      <c r="AU203" s="119">
        <v>0.47</v>
      </c>
      <c r="AV203" s="120">
        <v>0.17</v>
      </c>
      <c r="AW203" s="118">
        <v>0</v>
      </c>
      <c r="AX203" s="118">
        <v>0</v>
      </c>
      <c r="AY203" s="119">
        <v>0.17</v>
      </c>
      <c r="AZ203" s="120">
        <v>0.25</v>
      </c>
      <c r="BA203" s="118">
        <v>0</v>
      </c>
      <c r="BB203" s="118">
        <v>0</v>
      </c>
      <c r="BC203" s="119">
        <v>0.25</v>
      </c>
      <c r="BD203" s="121">
        <v>0.2</v>
      </c>
      <c r="BE203" s="120">
        <v>0.39</v>
      </c>
      <c r="BF203" s="118">
        <v>0</v>
      </c>
      <c r="BG203" s="118">
        <v>0</v>
      </c>
      <c r="BH203" s="119">
        <v>0.39</v>
      </c>
      <c r="BI203" s="120">
        <v>0.37</v>
      </c>
      <c r="BJ203" s="118">
        <v>0</v>
      </c>
      <c r="BK203" s="118">
        <v>0</v>
      </c>
      <c r="BL203" s="119">
        <v>0.37</v>
      </c>
      <c r="BM203" s="120">
        <v>1.3</v>
      </c>
      <c r="BN203" s="118">
        <v>1.24</v>
      </c>
      <c r="BO203" s="118">
        <v>4.88</v>
      </c>
      <c r="BP203" s="118">
        <v>0.91</v>
      </c>
      <c r="BQ203" s="118">
        <v>2.4500000000000002</v>
      </c>
      <c r="BR203" s="118">
        <v>1.72</v>
      </c>
      <c r="BS203" s="118">
        <v>2.11</v>
      </c>
      <c r="BT203" s="118">
        <v>1.0900000000000001</v>
      </c>
      <c r="BU203" s="119">
        <v>1.1499999999999999</v>
      </c>
      <c r="BV203" s="74">
        <v>3703125</v>
      </c>
      <c r="BW203" s="105">
        <v>140</v>
      </c>
      <c r="BX203" s="105">
        <v>1580</v>
      </c>
      <c r="BY203" s="110">
        <v>25.7</v>
      </c>
      <c r="BZ203" s="106">
        <v>10.8</v>
      </c>
      <c r="CA203" s="115">
        <v>4.5900000000000003E-3</v>
      </c>
      <c r="CB203" s="105">
        <v>465</v>
      </c>
      <c r="CC203" s="104">
        <v>0</v>
      </c>
      <c r="CD203" s="105">
        <v>599</v>
      </c>
      <c r="CE203" s="99">
        <f t="shared" si="11"/>
        <v>3.9421338155515373E-3</v>
      </c>
      <c r="CF203" s="100">
        <f t="shared" si="9"/>
        <v>0.42</v>
      </c>
    </row>
    <row r="204" spans="1:84" ht="24" hidden="1" x14ac:dyDescent="0.25">
      <c r="A204" s="126">
        <v>203</v>
      </c>
      <c r="B204" s="102"/>
      <c r="C204" s="103" t="s">
        <v>419</v>
      </c>
      <c r="D204" s="104">
        <v>1875</v>
      </c>
      <c r="E204" s="105">
        <v>1975</v>
      </c>
      <c r="F204" s="106">
        <f t="shared" si="10"/>
        <v>3703125</v>
      </c>
      <c r="G204" s="105">
        <v>140</v>
      </c>
      <c r="H204" s="105">
        <v>1580</v>
      </c>
      <c r="I204" s="107">
        <v>0.95</v>
      </c>
      <c r="J204" s="108">
        <v>28.3</v>
      </c>
      <c r="K204" s="109">
        <v>17.2</v>
      </c>
      <c r="L204" s="110">
        <v>25.7</v>
      </c>
      <c r="M204" s="111">
        <v>0.57999999999999996</v>
      </c>
      <c r="N204" s="106">
        <v>11.2</v>
      </c>
      <c r="O204" s="112" t="s">
        <v>201</v>
      </c>
      <c r="P204" s="113" t="s">
        <v>202</v>
      </c>
      <c r="Q204" s="114">
        <v>2.3E-3</v>
      </c>
      <c r="R204" s="105">
        <v>0</v>
      </c>
      <c r="S204" s="115">
        <v>4.5900000000000003E-3</v>
      </c>
      <c r="T204" s="105">
        <v>465</v>
      </c>
      <c r="U204" s="116">
        <v>1975</v>
      </c>
      <c r="V204" s="104">
        <v>0</v>
      </c>
      <c r="W204" s="105">
        <v>599</v>
      </c>
      <c r="X204" s="116">
        <v>625</v>
      </c>
      <c r="Y204" s="117">
        <v>0</v>
      </c>
      <c r="Z204" s="117">
        <v>1</v>
      </c>
      <c r="AA204" s="108">
        <v>1.6</v>
      </c>
      <c r="AB204" s="106">
        <v>6.9</v>
      </c>
      <c r="AC204" s="109">
        <v>4.2</v>
      </c>
      <c r="AD204" s="118">
        <v>0.32</v>
      </c>
      <c r="AE204" s="119">
        <v>0.44</v>
      </c>
      <c r="AF204" s="120">
        <v>0.33</v>
      </c>
      <c r="AG204" s="118">
        <v>0</v>
      </c>
      <c r="AH204" s="118">
        <v>0</v>
      </c>
      <c r="AI204" s="119">
        <v>0.33</v>
      </c>
      <c r="AJ204" s="120">
        <v>0.22</v>
      </c>
      <c r="AK204" s="118">
        <v>0.12</v>
      </c>
      <c r="AL204" s="118">
        <v>0</v>
      </c>
      <c r="AM204" s="119">
        <v>0.34</v>
      </c>
      <c r="AN204" s="120">
        <v>0</v>
      </c>
      <c r="AO204" s="118">
        <v>0</v>
      </c>
      <c r="AP204" s="118">
        <v>0</v>
      </c>
      <c r="AQ204" s="119">
        <v>0</v>
      </c>
      <c r="AR204" s="120">
        <v>0.47</v>
      </c>
      <c r="AS204" s="118">
        <v>0</v>
      </c>
      <c r="AT204" s="118">
        <v>0</v>
      </c>
      <c r="AU204" s="119">
        <v>0.47</v>
      </c>
      <c r="AV204" s="120">
        <v>0.18</v>
      </c>
      <c r="AW204" s="118">
        <v>0</v>
      </c>
      <c r="AX204" s="118">
        <v>0</v>
      </c>
      <c r="AY204" s="119">
        <v>0.18</v>
      </c>
      <c r="AZ204" s="120">
        <v>0.25</v>
      </c>
      <c r="BA204" s="118">
        <v>0</v>
      </c>
      <c r="BB204" s="118">
        <v>0</v>
      </c>
      <c r="BC204" s="119">
        <v>0.25</v>
      </c>
      <c r="BD204" s="121">
        <v>0.2</v>
      </c>
      <c r="BE204" s="120">
        <v>0.32</v>
      </c>
      <c r="BF204" s="118">
        <v>0</v>
      </c>
      <c r="BG204" s="118">
        <v>0</v>
      </c>
      <c r="BH204" s="119">
        <v>0.32</v>
      </c>
      <c r="BI204" s="120">
        <v>0.3</v>
      </c>
      <c r="BJ204" s="118">
        <v>0</v>
      </c>
      <c r="BK204" s="118">
        <v>0</v>
      </c>
      <c r="BL204" s="119">
        <v>0.3</v>
      </c>
      <c r="BM204" s="120">
        <v>1.32</v>
      </c>
      <c r="BN204" s="118">
        <v>1.28</v>
      </c>
      <c r="BO204" s="124"/>
      <c r="BP204" s="118">
        <v>0.92</v>
      </c>
      <c r="BQ204" s="118">
        <v>2.48</v>
      </c>
      <c r="BR204" s="118">
        <v>1.75</v>
      </c>
      <c r="BS204" s="118">
        <v>2.1800000000000002</v>
      </c>
      <c r="BT204" s="118">
        <v>1.36</v>
      </c>
      <c r="BU204" s="119">
        <v>1.43</v>
      </c>
      <c r="BV204" s="74">
        <v>3703125</v>
      </c>
      <c r="BW204" s="105">
        <v>140</v>
      </c>
      <c r="BX204" s="105">
        <v>1580</v>
      </c>
      <c r="BY204" s="110">
        <v>25.7</v>
      </c>
      <c r="BZ204" s="106">
        <v>11.2</v>
      </c>
      <c r="CA204" s="115">
        <v>4.5900000000000003E-3</v>
      </c>
      <c r="CB204" s="105">
        <v>465</v>
      </c>
      <c r="CC204" s="104">
        <v>0</v>
      </c>
      <c r="CD204" s="105">
        <v>599</v>
      </c>
      <c r="CE204" s="99">
        <f t="shared" si="11"/>
        <v>4.9186256781193491E-3</v>
      </c>
      <c r="CF204" s="100">
        <f t="shared" si="9"/>
        <v>0.44</v>
      </c>
    </row>
    <row r="205" spans="1:84" ht="24" hidden="1" x14ac:dyDescent="0.25">
      <c r="A205" s="101">
        <v>204</v>
      </c>
      <c r="B205" s="102"/>
      <c r="C205" s="103" t="s">
        <v>420</v>
      </c>
      <c r="D205" s="104">
        <v>1875</v>
      </c>
      <c r="E205" s="105">
        <v>1975</v>
      </c>
      <c r="F205" s="106">
        <f t="shared" si="10"/>
        <v>3703125</v>
      </c>
      <c r="G205" s="105">
        <v>140</v>
      </c>
      <c r="H205" s="105">
        <v>1580</v>
      </c>
      <c r="I205" s="107">
        <v>0.95</v>
      </c>
      <c r="J205" s="108">
        <v>28.3</v>
      </c>
      <c r="K205" s="109">
        <v>16.5</v>
      </c>
      <c r="L205" s="110">
        <v>15.7</v>
      </c>
      <c r="M205" s="111">
        <v>0.57999999999999996</v>
      </c>
      <c r="N205" s="106">
        <v>11.6</v>
      </c>
      <c r="O205" s="112" t="s">
        <v>201</v>
      </c>
      <c r="P205" s="113" t="s">
        <v>202</v>
      </c>
      <c r="Q205" s="114">
        <v>2.3E-3</v>
      </c>
      <c r="R205" s="105">
        <v>0</v>
      </c>
      <c r="S205" s="115">
        <v>4.5900000000000003E-3</v>
      </c>
      <c r="T205" s="105">
        <v>465</v>
      </c>
      <c r="U205" s="116">
        <v>1975</v>
      </c>
      <c r="V205" s="243">
        <v>4.0000000000000002E-4</v>
      </c>
      <c r="W205" s="105">
        <v>599</v>
      </c>
      <c r="X205" s="116">
        <v>469</v>
      </c>
      <c r="Y205" s="117">
        <v>0</v>
      </c>
      <c r="Z205" s="117">
        <v>1</v>
      </c>
      <c r="AA205" s="108">
        <v>2</v>
      </c>
      <c r="AB205" s="106">
        <v>8.3000000000000007</v>
      </c>
      <c r="AC205" s="109">
        <v>4.0999999999999996</v>
      </c>
      <c r="AD205" s="118">
        <v>0.35</v>
      </c>
      <c r="AE205" s="119">
        <v>0.53</v>
      </c>
      <c r="AF205" s="120">
        <v>0.34</v>
      </c>
      <c r="AG205" s="118">
        <v>0.11</v>
      </c>
      <c r="AH205" s="118">
        <v>0</v>
      </c>
      <c r="AI205" s="119">
        <v>0.44</v>
      </c>
      <c r="AJ205" s="120">
        <v>0.22</v>
      </c>
      <c r="AK205" s="118">
        <v>0.18</v>
      </c>
      <c r="AL205" s="118">
        <v>0</v>
      </c>
      <c r="AM205" s="119">
        <v>0.4</v>
      </c>
      <c r="AN205" s="120">
        <v>0</v>
      </c>
      <c r="AO205" s="118">
        <v>0.17</v>
      </c>
      <c r="AP205" s="118">
        <v>0</v>
      </c>
      <c r="AQ205" s="119">
        <v>0.17</v>
      </c>
      <c r="AR205" s="120">
        <v>0.48</v>
      </c>
      <c r="AS205" s="118">
        <v>0.13</v>
      </c>
      <c r="AT205" s="118">
        <v>0</v>
      </c>
      <c r="AU205" s="119">
        <v>0.57999999999999996</v>
      </c>
      <c r="AV205" s="120">
        <v>0.18</v>
      </c>
      <c r="AW205" s="118">
        <v>0.27</v>
      </c>
      <c r="AX205" s="118">
        <v>0</v>
      </c>
      <c r="AY205" s="119">
        <v>0.45</v>
      </c>
      <c r="AZ205" s="120">
        <v>0.25</v>
      </c>
      <c r="BA205" s="118">
        <v>0.31</v>
      </c>
      <c r="BB205" s="118">
        <v>0</v>
      </c>
      <c r="BC205" s="119">
        <v>0.56999999999999995</v>
      </c>
      <c r="BD205" s="121">
        <v>0.47</v>
      </c>
      <c r="BE205" s="120">
        <v>0.32</v>
      </c>
      <c r="BF205" s="118">
        <v>0</v>
      </c>
      <c r="BG205" s="118">
        <v>0</v>
      </c>
      <c r="BH205" s="119">
        <v>0.32</v>
      </c>
      <c r="BI205" s="120">
        <v>0.3</v>
      </c>
      <c r="BJ205" s="118">
        <v>0.16</v>
      </c>
      <c r="BK205" s="118">
        <v>0</v>
      </c>
      <c r="BL205" s="119">
        <v>0.46</v>
      </c>
      <c r="BM205" s="120">
        <v>1.19</v>
      </c>
      <c r="BN205" s="118">
        <v>1.32</v>
      </c>
      <c r="BO205" s="118">
        <v>3.1</v>
      </c>
      <c r="BP205" s="118">
        <v>0.92</v>
      </c>
      <c r="BQ205" s="118">
        <v>1.19</v>
      </c>
      <c r="BR205" s="118">
        <v>0.93</v>
      </c>
      <c r="BS205" s="118">
        <v>1.1299999999999999</v>
      </c>
      <c r="BT205" s="118">
        <v>1.65</v>
      </c>
      <c r="BU205" s="119">
        <v>1.1399999999999999</v>
      </c>
      <c r="BV205" s="74">
        <v>3703125</v>
      </c>
      <c r="BW205" s="105">
        <v>140</v>
      </c>
      <c r="BX205" s="105">
        <v>1580</v>
      </c>
      <c r="BY205" s="110">
        <v>15.7</v>
      </c>
      <c r="BZ205" s="106">
        <v>11.6</v>
      </c>
      <c r="CA205" s="115">
        <v>4.5900000000000003E-3</v>
      </c>
      <c r="CB205" s="105">
        <v>465</v>
      </c>
      <c r="CC205" s="243">
        <v>4.0000000000000002E-4</v>
      </c>
      <c r="CD205" s="105">
        <v>599</v>
      </c>
      <c r="CE205" s="99">
        <f t="shared" si="11"/>
        <v>5.9674502712477387E-3</v>
      </c>
      <c r="CF205" s="100">
        <f t="shared" si="9"/>
        <v>0.53</v>
      </c>
    </row>
    <row r="206" spans="1:84" ht="24" hidden="1" x14ac:dyDescent="0.25">
      <c r="A206" s="101">
        <v>205</v>
      </c>
      <c r="B206" s="102"/>
      <c r="C206" s="103" t="s">
        <v>421</v>
      </c>
      <c r="D206" s="104">
        <v>1875</v>
      </c>
      <c r="E206" s="105">
        <v>1975</v>
      </c>
      <c r="F206" s="106">
        <f t="shared" si="10"/>
        <v>3703125</v>
      </c>
      <c r="G206" s="105">
        <v>140</v>
      </c>
      <c r="H206" s="105">
        <v>1580</v>
      </c>
      <c r="I206" s="107">
        <v>0.95</v>
      </c>
      <c r="J206" s="108">
        <v>28.3</v>
      </c>
      <c r="K206" s="109">
        <v>17.2</v>
      </c>
      <c r="L206" s="110">
        <v>25.7</v>
      </c>
      <c r="M206" s="111">
        <v>0.57999999999999996</v>
      </c>
      <c r="N206" s="106">
        <v>11.2</v>
      </c>
      <c r="O206" s="112" t="s">
        <v>201</v>
      </c>
      <c r="P206" s="113" t="s">
        <v>202</v>
      </c>
      <c r="Q206" s="114">
        <v>2.3E-3</v>
      </c>
      <c r="R206" s="105">
        <v>0</v>
      </c>
      <c r="S206" s="115">
        <v>4.5900000000000003E-3</v>
      </c>
      <c r="T206" s="105">
        <v>465</v>
      </c>
      <c r="U206" s="116">
        <v>1975</v>
      </c>
      <c r="V206" s="243">
        <v>2.9999999999999997E-4</v>
      </c>
      <c r="W206" s="105">
        <v>599</v>
      </c>
      <c r="X206" s="116">
        <v>625</v>
      </c>
      <c r="Y206" s="160">
        <v>0.62</v>
      </c>
      <c r="Z206" s="117">
        <v>1</v>
      </c>
      <c r="AA206" s="108">
        <v>1.6</v>
      </c>
      <c r="AB206" s="106">
        <v>7</v>
      </c>
      <c r="AC206" s="109">
        <v>4.3</v>
      </c>
      <c r="AD206" s="118">
        <v>0.43</v>
      </c>
      <c r="AE206" s="119">
        <v>0.54</v>
      </c>
      <c r="AF206" s="120">
        <v>0.33</v>
      </c>
      <c r="AG206" s="118">
        <v>0.08</v>
      </c>
      <c r="AH206" s="118">
        <v>0.16</v>
      </c>
      <c r="AI206" s="119">
        <v>0.56999999999999995</v>
      </c>
      <c r="AJ206" s="120">
        <v>0.41</v>
      </c>
      <c r="AK206" s="118">
        <v>0.12</v>
      </c>
      <c r="AL206" s="118">
        <v>0</v>
      </c>
      <c r="AM206" s="119">
        <v>0.53</v>
      </c>
      <c r="AN206" s="120">
        <v>0</v>
      </c>
      <c r="AO206" s="118">
        <v>0.13</v>
      </c>
      <c r="AP206" s="118">
        <v>0.2</v>
      </c>
      <c r="AQ206" s="119">
        <v>0.33</v>
      </c>
      <c r="AR206" s="120">
        <v>0.47</v>
      </c>
      <c r="AS206" s="118">
        <v>0.1</v>
      </c>
      <c r="AT206" s="118">
        <v>0.16</v>
      </c>
      <c r="AU206" s="119">
        <v>0.56000000000000005</v>
      </c>
      <c r="AV206" s="120">
        <v>0.18</v>
      </c>
      <c r="AW206" s="118">
        <v>0.2</v>
      </c>
      <c r="AX206" s="118">
        <v>0</v>
      </c>
      <c r="AY206" s="119">
        <v>0.38</v>
      </c>
      <c r="AZ206" s="120">
        <v>0.25</v>
      </c>
      <c r="BA206" s="118">
        <v>0.27</v>
      </c>
      <c r="BB206" s="118">
        <v>0.05</v>
      </c>
      <c r="BC206" s="119">
        <v>0.56999999999999995</v>
      </c>
      <c r="BD206" s="121">
        <v>0.46</v>
      </c>
      <c r="BE206" s="120">
        <v>0.32</v>
      </c>
      <c r="BF206" s="118">
        <v>0</v>
      </c>
      <c r="BG206" s="118">
        <v>0.15</v>
      </c>
      <c r="BH206" s="119">
        <v>0.47</v>
      </c>
      <c r="BI206" s="120">
        <v>0.3</v>
      </c>
      <c r="BJ206" s="118">
        <v>0.12</v>
      </c>
      <c r="BK206" s="118">
        <v>0.2</v>
      </c>
      <c r="BL206" s="119">
        <v>0.62</v>
      </c>
      <c r="BM206" s="120">
        <v>0.93</v>
      </c>
      <c r="BN206" s="118">
        <v>1.02</v>
      </c>
      <c r="BO206" s="118">
        <v>1.62</v>
      </c>
      <c r="BP206" s="118">
        <v>0.95</v>
      </c>
      <c r="BQ206" s="118">
        <v>1.43</v>
      </c>
      <c r="BR206" s="118">
        <v>0.95</v>
      </c>
      <c r="BS206" s="118">
        <v>1.17</v>
      </c>
      <c r="BT206" s="118">
        <v>1.1299999999999999</v>
      </c>
      <c r="BU206" s="119">
        <v>0.86</v>
      </c>
      <c r="BV206" s="74">
        <v>3703125</v>
      </c>
      <c r="BW206" s="105">
        <v>140</v>
      </c>
      <c r="BX206" s="105">
        <v>1580</v>
      </c>
      <c r="BY206" s="110">
        <v>25.7</v>
      </c>
      <c r="BZ206" s="106">
        <v>11.2</v>
      </c>
      <c r="CA206" s="115">
        <v>4.5900000000000003E-3</v>
      </c>
      <c r="CB206" s="105">
        <v>465</v>
      </c>
      <c r="CC206" s="243">
        <v>2.9999999999999997E-4</v>
      </c>
      <c r="CD206" s="105">
        <v>599</v>
      </c>
      <c r="CE206" s="99">
        <f t="shared" si="11"/>
        <v>4.0867992766726938E-3</v>
      </c>
      <c r="CF206" s="100">
        <f t="shared" si="9"/>
        <v>0.54</v>
      </c>
    </row>
    <row r="207" spans="1:84" ht="24" hidden="1" x14ac:dyDescent="0.25">
      <c r="A207" s="101">
        <v>206</v>
      </c>
      <c r="B207" s="102"/>
      <c r="C207" s="103" t="s">
        <v>422</v>
      </c>
      <c r="D207" s="104">
        <v>1875</v>
      </c>
      <c r="E207" s="105">
        <v>1975</v>
      </c>
      <c r="F207" s="106">
        <f t="shared" si="10"/>
        <v>3703125</v>
      </c>
      <c r="G207" s="105">
        <v>140</v>
      </c>
      <c r="H207" s="105">
        <v>1580</v>
      </c>
      <c r="I207" s="107">
        <v>0.95</v>
      </c>
      <c r="J207" s="108">
        <v>28.3</v>
      </c>
      <c r="K207" s="156">
        <v>17.899999999999999</v>
      </c>
      <c r="L207" s="110">
        <v>14.6</v>
      </c>
      <c r="M207" s="111">
        <v>0.51</v>
      </c>
      <c r="N207" s="106">
        <v>8.5</v>
      </c>
      <c r="O207" s="112" t="s">
        <v>201</v>
      </c>
      <c r="P207" s="113" t="s">
        <v>202</v>
      </c>
      <c r="Q207" s="114">
        <v>2.3E-3</v>
      </c>
      <c r="R207" s="105">
        <v>0</v>
      </c>
      <c r="S207" s="115">
        <v>4.5900000000000003E-3</v>
      </c>
      <c r="T207" s="105">
        <v>465</v>
      </c>
      <c r="U207" s="116">
        <v>1975</v>
      </c>
      <c r="V207" s="243">
        <v>4.0000000000000002E-4</v>
      </c>
      <c r="W207" s="105">
        <v>599</v>
      </c>
      <c r="X207" s="116">
        <v>469</v>
      </c>
      <c r="Y207" s="160">
        <v>0.6</v>
      </c>
      <c r="Z207" s="117">
        <v>1</v>
      </c>
      <c r="AA207" s="108">
        <v>1.8</v>
      </c>
      <c r="AB207" s="106">
        <v>7</v>
      </c>
      <c r="AC207" s="109">
        <v>3.9</v>
      </c>
      <c r="AD207" s="118">
        <v>0.47</v>
      </c>
      <c r="AE207" s="119">
        <v>0.61</v>
      </c>
      <c r="AF207" s="120">
        <v>0.28999999999999998</v>
      </c>
      <c r="AG207" s="118">
        <v>0.11</v>
      </c>
      <c r="AH207" s="118">
        <v>0.16</v>
      </c>
      <c r="AI207" s="119">
        <v>0.55000000000000004</v>
      </c>
      <c r="AJ207" s="120">
        <v>0.4</v>
      </c>
      <c r="AK207" s="118">
        <v>0.18</v>
      </c>
      <c r="AL207" s="118">
        <v>0</v>
      </c>
      <c r="AM207" s="119">
        <v>0.57999999999999996</v>
      </c>
      <c r="AN207" s="120">
        <v>0.01</v>
      </c>
      <c r="AO207" s="118">
        <v>0.17</v>
      </c>
      <c r="AP207" s="118">
        <v>0.19</v>
      </c>
      <c r="AQ207" s="119">
        <v>0.37</v>
      </c>
      <c r="AR207" s="120">
        <v>0.41</v>
      </c>
      <c r="AS207" s="118">
        <v>0.13</v>
      </c>
      <c r="AT207" s="118">
        <v>0.16</v>
      </c>
      <c r="AU207" s="119">
        <v>0.49</v>
      </c>
      <c r="AV207" s="120">
        <v>0.15</v>
      </c>
      <c r="AW207" s="118">
        <v>0.27</v>
      </c>
      <c r="AX207" s="118">
        <v>0</v>
      </c>
      <c r="AY207" s="119">
        <v>0.42</v>
      </c>
      <c r="AZ207" s="120">
        <v>0.22</v>
      </c>
      <c r="BA207" s="118">
        <v>0.31</v>
      </c>
      <c r="BB207" s="118">
        <v>0.04</v>
      </c>
      <c r="BC207" s="119">
        <v>0.57999999999999996</v>
      </c>
      <c r="BD207" s="121">
        <v>0.4</v>
      </c>
      <c r="BE207" s="120">
        <v>0.28000000000000003</v>
      </c>
      <c r="BF207" s="118">
        <v>0</v>
      </c>
      <c r="BG207" s="118">
        <v>0.15</v>
      </c>
      <c r="BH207" s="119">
        <v>0.43</v>
      </c>
      <c r="BI207" s="120">
        <v>0.27</v>
      </c>
      <c r="BJ207" s="118">
        <v>0.16</v>
      </c>
      <c r="BK207" s="118">
        <v>0.19</v>
      </c>
      <c r="BL207" s="119">
        <v>0.62</v>
      </c>
      <c r="BM207" s="120">
        <v>1.1000000000000001</v>
      </c>
      <c r="BN207" s="118">
        <v>1.05</v>
      </c>
      <c r="BO207" s="118">
        <v>1.65</v>
      </c>
      <c r="BP207" s="118">
        <v>1.24</v>
      </c>
      <c r="BQ207" s="118">
        <v>1.45</v>
      </c>
      <c r="BR207" s="118">
        <v>1.05</v>
      </c>
      <c r="BS207" s="118">
        <v>1.53</v>
      </c>
      <c r="BT207" s="118">
        <v>1.42</v>
      </c>
      <c r="BU207" s="119">
        <v>0.98</v>
      </c>
      <c r="BV207" s="74">
        <v>3703125</v>
      </c>
      <c r="BW207" s="105">
        <v>140</v>
      </c>
      <c r="BX207" s="105">
        <v>1580</v>
      </c>
      <c r="BY207" s="110">
        <v>14.6</v>
      </c>
      <c r="BZ207" s="106">
        <v>8.5</v>
      </c>
      <c r="CA207" s="115">
        <v>4.5900000000000003E-3</v>
      </c>
      <c r="CB207" s="105">
        <v>465</v>
      </c>
      <c r="CC207" s="243">
        <v>4.0000000000000002E-4</v>
      </c>
      <c r="CD207" s="105">
        <v>599</v>
      </c>
      <c r="CE207" s="99">
        <f t="shared" si="11"/>
        <v>5.1356238698010842E-3</v>
      </c>
      <c r="CF207" s="100">
        <f t="shared" si="9"/>
        <v>0.61</v>
      </c>
    </row>
    <row r="208" spans="1:84" ht="24" hidden="1" x14ac:dyDescent="0.25">
      <c r="A208" s="101">
        <v>207</v>
      </c>
      <c r="B208" s="102"/>
      <c r="C208" s="103" t="s">
        <v>423</v>
      </c>
      <c r="D208" s="104">
        <v>1875</v>
      </c>
      <c r="E208" s="105">
        <v>1975</v>
      </c>
      <c r="F208" s="106">
        <f t="shared" si="10"/>
        <v>3703125</v>
      </c>
      <c r="G208" s="105">
        <v>140</v>
      </c>
      <c r="H208" s="105">
        <v>1580</v>
      </c>
      <c r="I208" s="107">
        <v>0.95</v>
      </c>
      <c r="J208" s="108">
        <v>28.3</v>
      </c>
      <c r="K208" s="156">
        <v>17.899999999999999</v>
      </c>
      <c r="L208" s="110">
        <v>14.6</v>
      </c>
      <c r="M208" s="111">
        <v>0.51</v>
      </c>
      <c r="N208" s="106">
        <v>8.5</v>
      </c>
      <c r="O208" s="112" t="s">
        <v>201</v>
      </c>
      <c r="P208" s="113" t="s">
        <v>202</v>
      </c>
      <c r="Q208" s="114">
        <v>2.3E-3</v>
      </c>
      <c r="R208" s="105">
        <v>0</v>
      </c>
      <c r="S208" s="115">
        <v>4.5900000000000003E-3</v>
      </c>
      <c r="T208" s="105">
        <v>465</v>
      </c>
      <c r="U208" s="116">
        <v>1975</v>
      </c>
      <c r="V208" s="243">
        <v>4.0000000000000002E-4</v>
      </c>
      <c r="W208" s="105">
        <v>599</v>
      </c>
      <c r="X208" s="116">
        <v>469</v>
      </c>
      <c r="Y208" s="160">
        <v>0.6</v>
      </c>
      <c r="Z208" s="117">
        <v>1</v>
      </c>
      <c r="AA208" s="108">
        <v>1.8</v>
      </c>
      <c r="AB208" s="106">
        <v>8.1999999999999993</v>
      </c>
      <c r="AC208" s="109">
        <v>4.5</v>
      </c>
      <c r="AD208" s="118">
        <v>0.39</v>
      </c>
      <c r="AE208" s="119">
        <v>0.59</v>
      </c>
      <c r="AF208" s="120">
        <v>0.28999999999999998</v>
      </c>
      <c r="AG208" s="118">
        <v>0.11</v>
      </c>
      <c r="AH208" s="118">
        <v>0.16</v>
      </c>
      <c r="AI208" s="119">
        <v>0.55000000000000004</v>
      </c>
      <c r="AJ208" s="120">
        <v>0.4</v>
      </c>
      <c r="AK208" s="118">
        <v>0.18</v>
      </c>
      <c r="AL208" s="118">
        <v>0</v>
      </c>
      <c r="AM208" s="119">
        <v>0.57999999999999996</v>
      </c>
      <c r="AN208" s="120">
        <v>0</v>
      </c>
      <c r="AO208" s="118">
        <v>0.17</v>
      </c>
      <c r="AP208" s="118">
        <v>0.18</v>
      </c>
      <c r="AQ208" s="119">
        <v>0.36</v>
      </c>
      <c r="AR208" s="120">
        <v>0.41</v>
      </c>
      <c r="AS208" s="118">
        <v>0.13</v>
      </c>
      <c r="AT208" s="118">
        <v>0.16</v>
      </c>
      <c r="AU208" s="119">
        <v>0.49</v>
      </c>
      <c r="AV208" s="120">
        <v>0.15</v>
      </c>
      <c r="AW208" s="118">
        <v>0.27</v>
      </c>
      <c r="AX208" s="118">
        <v>0</v>
      </c>
      <c r="AY208" s="119">
        <v>0.42</v>
      </c>
      <c r="AZ208" s="120">
        <v>0.22</v>
      </c>
      <c r="BA208" s="118">
        <v>0.31</v>
      </c>
      <c r="BB208" s="118">
        <v>0.04</v>
      </c>
      <c r="BC208" s="119">
        <v>0.57999999999999996</v>
      </c>
      <c r="BD208" s="121">
        <v>0.4</v>
      </c>
      <c r="BE208" s="120">
        <v>0.28000000000000003</v>
      </c>
      <c r="BF208" s="118">
        <v>0</v>
      </c>
      <c r="BG208" s="118">
        <v>0.14000000000000001</v>
      </c>
      <c r="BH208" s="119">
        <v>0.43</v>
      </c>
      <c r="BI208" s="120">
        <v>0.27</v>
      </c>
      <c r="BJ208" s="118">
        <v>0.16</v>
      </c>
      <c r="BK208" s="118">
        <v>0.19</v>
      </c>
      <c r="BL208" s="119">
        <v>0.62</v>
      </c>
      <c r="BM208" s="120">
        <v>1.08</v>
      </c>
      <c r="BN208" s="118">
        <v>1.03</v>
      </c>
      <c r="BO208" s="118">
        <v>1.67</v>
      </c>
      <c r="BP208" s="118">
        <v>1.21</v>
      </c>
      <c r="BQ208" s="118">
        <v>1.42</v>
      </c>
      <c r="BR208" s="118">
        <v>1.02</v>
      </c>
      <c r="BS208" s="118">
        <v>1.49</v>
      </c>
      <c r="BT208" s="118">
        <v>1.39</v>
      </c>
      <c r="BU208" s="119">
        <v>0.96</v>
      </c>
      <c r="BV208" s="74">
        <v>3703125</v>
      </c>
      <c r="BW208" s="105">
        <v>140</v>
      </c>
      <c r="BX208" s="105">
        <v>1580</v>
      </c>
      <c r="BY208" s="110">
        <v>14.6</v>
      </c>
      <c r="BZ208" s="106">
        <v>8.5</v>
      </c>
      <c r="CA208" s="115">
        <v>4.5900000000000003E-3</v>
      </c>
      <c r="CB208" s="105">
        <v>465</v>
      </c>
      <c r="CC208" s="243">
        <v>4.0000000000000002E-4</v>
      </c>
      <c r="CD208" s="105">
        <v>599</v>
      </c>
      <c r="CE208" s="99">
        <f t="shared" si="11"/>
        <v>5.0271247739602162E-3</v>
      </c>
      <c r="CF208" s="100">
        <f t="shared" si="9"/>
        <v>0.59</v>
      </c>
    </row>
    <row r="209" spans="1:84" ht="24" hidden="1" x14ac:dyDescent="0.25">
      <c r="A209" s="128">
        <v>208</v>
      </c>
      <c r="B209" s="129"/>
      <c r="C209" s="130" t="s">
        <v>424</v>
      </c>
      <c r="D209" s="131">
        <v>1875</v>
      </c>
      <c r="E209" s="132">
        <v>1975</v>
      </c>
      <c r="F209" s="133">
        <f t="shared" si="10"/>
        <v>3703125</v>
      </c>
      <c r="G209" s="132">
        <v>140</v>
      </c>
      <c r="H209" s="132">
        <v>1580</v>
      </c>
      <c r="I209" s="134">
        <v>0.95</v>
      </c>
      <c r="J209" s="135">
        <v>28.3</v>
      </c>
      <c r="K209" s="136">
        <v>13.9</v>
      </c>
      <c r="L209" s="137">
        <v>22.8</v>
      </c>
      <c r="M209" s="138">
        <v>0.82</v>
      </c>
      <c r="N209" s="133">
        <v>11.8</v>
      </c>
      <c r="O209" s="139" t="s">
        <v>201</v>
      </c>
      <c r="P209" s="140" t="s">
        <v>202</v>
      </c>
      <c r="Q209" s="141">
        <v>2.3E-3</v>
      </c>
      <c r="R209" s="132">
        <v>0</v>
      </c>
      <c r="S209" s="142">
        <v>4.5900000000000003E-3</v>
      </c>
      <c r="T209" s="132">
        <v>465</v>
      </c>
      <c r="U209" s="143">
        <v>1975</v>
      </c>
      <c r="V209" s="244">
        <v>5.0000000000000001E-4</v>
      </c>
      <c r="W209" s="132">
        <v>599</v>
      </c>
      <c r="X209" s="143">
        <v>375</v>
      </c>
      <c r="Y209" s="167">
        <v>0.61</v>
      </c>
      <c r="Z209" s="144">
        <v>1</v>
      </c>
      <c r="AA209" s="135">
        <v>2.4</v>
      </c>
      <c r="AB209" s="133">
        <v>7.5</v>
      </c>
      <c r="AC209" s="136">
        <v>3.1</v>
      </c>
      <c r="AD209" s="145">
        <v>0.45</v>
      </c>
      <c r="AE209" s="146">
        <v>0.62</v>
      </c>
      <c r="AF209" s="147">
        <v>0.34</v>
      </c>
      <c r="AG209" s="145">
        <v>0.13</v>
      </c>
      <c r="AH209" s="145">
        <v>0.16</v>
      </c>
      <c r="AI209" s="146">
        <v>0.63</v>
      </c>
      <c r="AJ209" s="147">
        <v>0.4</v>
      </c>
      <c r="AK209" s="145">
        <v>0.24</v>
      </c>
      <c r="AL209" s="145">
        <v>0</v>
      </c>
      <c r="AM209" s="146">
        <v>0.64</v>
      </c>
      <c r="AN209" s="147">
        <v>0.22</v>
      </c>
      <c r="AO209" s="145">
        <v>0.21</v>
      </c>
      <c r="AP209" s="145">
        <v>0.2</v>
      </c>
      <c r="AQ209" s="146">
        <v>0.63</v>
      </c>
      <c r="AR209" s="147">
        <v>0.49</v>
      </c>
      <c r="AS209" s="145">
        <v>0.16</v>
      </c>
      <c r="AT209" s="145">
        <v>0.16</v>
      </c>
      <c r="AU209" s="146">
        <v>0.57999999999999996</v>
      </c>
      <c r="AV209" s="147">
        <v>0.18</v>
      </c>
      <c r="AW209" s="145">
        <v>0.33</v>
      </c>
      <c r="AX209" s="145">
        <v>0</v>
      </c>
      <c r="AY209" s="146">
        <v>0.51</v>
      </c>
      <c r="AZ209" s="147">
        <v>0.25</v>
      </c>
      <c r="BA209" s="145">
        <v>0.35</v>
      </c>
      <c r="BB209" s="145">
        <v>0.04</v>
      </c>
      <c r="BC209" s="146">
        <v>0.65</v>
      </c>
      <c r="BD209" s="148">
        <v>0.47</v>
      </c>
      <c r="BE209" s="147">
        <v>0.46</v>
      </c>
      <c r="BF209" s="145">
        <v>0</v>
      </c>
      <c r="BG209" s="145">
        <v>0.15</v>
      </c>
      <c r="BH209" s="146">
        <v>0.6</v>
      </c>
      <c r="BI209" s="147">
        <v>0.43</v>
      </c>
      <c r="BJ209" s="145">
        <v>0.2</v>
      </c>
      <c r="BK209" s="145">
        <v>0.19</v>
      </c>
      <c r="BL209" s="146">
        <v>0.83</v>
      </c>
      <c r="BM209" s="147">
        <v>0.98</v>
      </c>
      <c r="BN209" s="145">
        <v>0.96</v>
      </c>
      <c r="BO209" s="145">
        <v>0.98</v>
      </c>
      <c r="BP209" s="145">
        <v>1.07</v>
      </c>
      <c r="BQ209" s="145">
        <v>1.2</v>
      </c>
      <c r="BR209" s="145">
        <v>0.95</v>
      </c>
      <c r="BS209" s="145">
        <v>1.31</v>
      </c>
      <c r="BT209" s="145">
        <v>1.02</v>
      </c>
      <c r="BU209" s="146">
        <v>0.75</v>
      </c>
      <c r="BV209" s="74">
        <v>3703125</v>
      </c>
      <c r="BW209" s="132">
        <v>140</v>
      </c>
      <c r="BX209" s="132">
        <v>1580</v>
      </c>
      <c r="BY209" s="137">
        <v>22.8</v>
      </c>
      <c r="BZ209" s="133">
        <v>11.8</v>
      </c>
      <c r="CA209" s="142">
        <v>4.5900000000000003E-3</v>
      </c>
      <c r="CB209" s="132">
        <v>465</v>
      </c>
      <c r="CC209" s="244">
        <v>5.0000000000000001E-4</v>
      </c>
      <c r="CD209" s="132">
        <v>599</v>
      </c>
      <c r="CE209" s="99">
        <f t="shared" si="11"/>
        <v>3.6889692585895121E-3</v>
      </c>
      <c r="CF209" s="100">
        <f t="shared" si="9"/>
        <v>0.62</v>
      </c>
    </row>
    <row r="210" spans="1:84" ht="36" hidden="1" x14ac:dyDescent="0.25">
      <c r="A210" s="78">
        <v>209</v>
      </c>
      <c r="B210" s="79" t="s">
        <v>52</v>
      </c>
      <c r="C210" s="80" t="s">
        <v>425</v>
      </c>
      <c r="D210" s="81">
        <v>2600</v>
      </c>
      <c r="E210" s="82">
        <v>3620</v>
      </c>
      <c r="F210" s="83">
        <f t="shared" si="10"/>
        <v>9412000</v>
      </c>
      <c r="G210" s="82">
        <v>140</v>
      </c>
      <c r="H210" s="82">
        <v>2896</v>
      </c>
      <c r="I210" s="84">
        <v>0.72</v>
      </c>
      <c r="J210" s="85">
        <v>14.7</v>
      </c>
      <c r="K210" s="86">
        <v>17.5</v>
      </c>
      <c r="L210" s="87">
        <v>30.4</v>
      </c>
      <c r="M210" s="88">
        <v>0.76</v>
      </c>
      <c r="N210" s="83">
        <v>9.1999999999999993</v>
      </c>
      <c r="O210" s="89" t="s">
        <v>201</v>
      </c>
      <c r="P210" s="90" t="s">
        <v>202</v>
      </c>
      <c r="Q210" s="245">
        <v>1E-3</v>
      </c>
      <c r="R210" s="82">
        <v>0</v>
      </c>
      <c r="S210" s="246">
        <v>2E-3</v>
      </c>
      <c r="T210" s="82">
        <v>488</v>
      </c>
      <c r="U210" s="93">
        <v>0</v>
      </c>
      <c r="V210" s="81">
        <v>0</v>
      </c>
      <c r="W210" s="82">
        <v>615</v>
      </c>
      <c r="X210" s="93">
        <v>0</v>
      </c>
      <c r="Y210" s="94">
        <v>0</v>
      </c>
      <c r="Z210" s="94">
        <v>1</v>
      </c>
      <c r="AA210" s="85">
        <v>1.9</v>
      </c>
      <c r="AB210" s="83">
        <v>8.1</v>
      </c>
      <c r="AC210" s="86">
        <v>4.2</v>
      </c>
      <c r="AD210" s="95">
        <v>0.28000000000000003</v>
      </c>
      <c r="AE210" s="96">
        <v>0.6</v>
      </c>
      <c r="AF210" s="97">
        <v>0.43</v>
      </c>
      <c r="AG210" s="95">
        <v>0</v>
      </c>
      <c r="AH210" s="95">
        <v>0</v>
      </c>
      <c r="AI210" s="96">
        <v>0.43</v>
      </c>
      <c r="AJ210" s="97">
        <v>0.28999999999999998</v>
      </c>
      <c r="AK210" s="95">
        <v>0.14000000000000001</v>
      </c>
      <c r="AL210" s="95">
        <v>0</v>
      </c>
      <c r="AM210" s="96">
        <v>0.43</v>
      </c>
      <c r="AN210" s="97">
        <v>0</v>
      </c>
      <c r="AO210" s="95">
        <v>0</v>
      </c>
      <c r="AP210" s="95">
        <v>0</v>
      </c>
      <c r="AQ210" s="96">
        <v>0</v>
      </c>
      <c r="AR210" s="97">
        <v>0.69</v>
      </c>
      <c r="AS210" s="95">
        <v>0</v>
      </c>
      <c r="AT210" s="95">
        <v>0</v>
      </c>
      <c r="AU210" s="96">
        <v>0.68</v>
      </c>
      <c r="AV210" s="97">
        <v>0.24</v>
      </c>
      <c r="AW210" s="95">
        <v>0</v>
      </c>
      <c r="AX210" s="95">
        <v>0</v>
      </c>
      <c r="AY210" s="96">
        <v>0.24</v>
      </c>
      <c r="AZ210" s="97">
        <v>0.25</v>
      </c>
      <c r="BA210" s="95">
        <v>0</v>
      </c>
      <c r="BB210" s="95">
        <v>0</v>
      </c>
      <c r="BC210" s="96">
        <v>0.25</v>
      </c>
      <c r="BD210" s="98">
        <v>0.28000000000000003</v>
      </c>
      <c r="BE210" s="97">
        <v>0.74</v>
      </c>
      <c r="BF210" s="95">
        <v>0</v>
      </c>
      <c r="BG210" s="95">
        <v>0</v>
      </c>
      <c r="BH210" s="96">
        <v>0.74</v>
      </c>
      <c r="BI210" s="97">
        <v>0.53</v>
      </c>
      <c r="BJ210" s="95">
        <v>0</v>
      </c>
      <c r="BK210" s="95">
        <v>0</v>
      </c>
      <c r="BL210" s="96">
        <v>0.53</v>
      </c>
      <c r="BM210" s="97">
        <v>1.42</v>
      </c>
      <c r="BN210" s="95">
        <v>1.4</v>
      </c>
      <c r="BO210" s="190"/>
      <c r="BP210" s="95">
        <v>0.89</v>
      </c>
      <c r="BQ210" s="95">
        <v>2.5299999999999998</v>
      </c>
      <c r="BR210" s="95">
        <v>2.39</v>
      </c>
      <c r="BS210" s="95">
        <v>2.1800000000000002</v>
      </c>
      <c r="BT210" s="95">
        <v>0.81</v>
      </c>
      <c r="BU210" s="96">
        <v>1.1299999999999999</v>
      </c>
      <c r="BV210" s="74">
        <v>9412000</v>
      </c>
      <c r="BW210" s="82">
        <v>140</v>
      </c>
      <c r="BX210" s="82">
        <v>2896</v>
      </c>
      <c r="BY210" s="87">
        <v>30.4</v>
      </c>
      <c r="BZ210" s="83">
        <v>9.1999999999999993</v>
      </c>
      <c r="CA210" s="246">
        <v>2E-3</v>
      </c>
      <c r="CB210" s="82">
        <v>488</v>
      </c>
      <c r="CC210" s="81">
        <v>0</v>
      </c>
      <c r="CD210" s="82">
        <v>615</v>
      </c>
      <c r="CE210" s="99">
        <f t="shared" si="11"/>
        <v>1.5982636148382007E-3</v>
      </c>
      <c r="CF210" s="100">
        <f t="shared" si="9"/>
        <v>0.6</v>
      </c>
    </row>
    <row r="211" spans="1:84" ht="36" hidden="1" x14ac:dyDescent="0.25">
      <c r="A211" s="101">
        <v>210</v>
      </c>
      <c r="B211" s="102"/>
      <c r="C211" s="103" t="s">
        <v>426</v>
      </c>
      <c r="D211" s="104">
        <v>2600</v>
      </c>
      <c r="E211" s="105">
        <v>3620</v>
      </c>
      <c r="F211" s="106">
        <f t="shared" si="10"/>
        <v>9412000</v>
      </c>
      <c r="G211" s="105">
        <v>140</v>
      </c>
      <c r="H211" s="105">
        <v>2896</v>
      </c>
      <c r="I211" s="107">
        <v>0.72</v>
      </c>
      <c r="J211" s="108">
        <v>14.7</v>
      </c>
      <c r="K211" s="109">
        <v>17.5</v>
      </c>
      <c r="L211" s="110">
        <v>30.4</v>
      </c>
      <c r="M211" s="111">
        <v>0.76</v>
      </c>
      <c r="N211" s="106">
        <v>9.1999999999999993</v>
      </c>
      <c r="O211" s="112" t="s">
        <v>201</v>
      </c>
      <c r="P211" s="113" t="s">
        <v>202</v>
      </c>
      <c r="Q211" s="247">
        <v>1E-3</v>
      </c>
      <c r="R211" s="105">
        <v>0</v>
      </c>
      <c r="S211" s="248">
        <v>2E-3</v>
      </c>
      <c r="T211" s="105">
        <v>488</v>
      </c>
      <c r="U211" s="116">
        <v>0</v>
      </c>
      <c r="V211" s="104">
        <v>0</v>
      </c>
      <c r="W211" s="105">
        <v>615</v>
      </c>
      <c r="X211" s="116">
        <v>0</v>
      </c>
      <c r="Y211" s="117">
        <v>0</v>
      </c>
      <c r="Z211" s="117">
        <v>1</v>
      </c>
      <c r="AA211" s="108">
        <v>2.5</v>
      </c>
      <c r="AB211" s="106">
        <v>7.1</v>
      </c>
      <c r="AC211" s="109">
        <v>2.9</v>
      </c>
      <c r="AD211" s="118">
        <v>0.35</v>
      </c>
      <c r="AE211" s="119">
        <v>0.65</v>
      </c>
      <c r="AF211" s="120">
        <v>0.43</v>
      </c>
      <c r="AG211" s="118">
        <v>0</v>
      </c>
      <c r="AH211" s="118">
        <v>0</v>
      </c>
      <c r="AI211" s="119">
        <v>0.43</v>
      </c>
      <c r="AJ211" s="120">
        <v>0.28999999999999998</v>
      </c>
      <c r="AK211" s="118">
        <v>0.14000000000000001</v>
      </c>
      <c r="AL211" s="118">
        <v>0</v>
      </c>
      <c r="AM211" s="119">
        <v>0.43</v>
      </c>
      <c r="AN211" s="120">
        <v>0.35</v>
      </c>
      <c r="AO211" s="118">
        <v>0</v>
      </c>
      <c r="AP211" s="118">
        <v>0</v>
      </c>
      <c r="AQ211" s="119">
        <v>0.35</v>
      </c>
      <c r="AR211" s="120">
        <v>0.69</v>
      </c>
      <c r="AS211" s="118">
        <v>0</v>
      </c>
      <c r="AT211" s="118">
        <v>0</v>
      </c>
      <c r="AU211" s="119">
        <v>0.68</v>
      </c>
      <c r="AV211" s="120">
        <v>0.24</v>
      </c>
      <c r="AW211" s="118">
        <v>0</v>
      </c>
      <c r="AX211" s="118">
        <v>0</v>
      </c>
      <c r="AY211" s="119">
        <v>0.24</v>
      </c>
      <c r="AZ211" s="120">
        <v>0.25</v>
      </c>
      <c r="BA211" s="118">
        <v>0</v>
      </c>
      <c r="BB211" s="118">
        <v>0</v>
      </c>
      <c r="BC211" s="119">
        <v>0.25</v>
      </c>
      <c r="BD211" s="121">
        <v>0.28000000000000003</v>
      </c>
      <c r="BE211" s="120">
        <v>0.74</v>
      </c>
      <c r="BF211" s="118">
        <v>0</v>
      </c>
      <c r="BG211" s="118">
        <v>0</v>
      </c>
      <c r="BH211" s="119">
        <v>0.74</v>
      </c>
      <c r="BI211" s="120">
        <v>0.53</v>
      </c>
      <c r="BJ211" s="118">
        <v>0</v>
      </c>
      <c r="BK211" s="118">
        <v>0</v>
      </c>
      <c r="BL211" s="119">
        <v>0.53</v>
      </c>
      <c r="BM211" s="120">
        <v>1.52</v>
      </c>
      <c r="BN211" s="118">
        <v>1.5</v>
      </c>
      <c r="BO211" s="118">
        <v>1.86</v>
      </c>
      <c r="BP211" s="118">
        <v>0.95</v>
      </c>
      <c r="BQ211" s="118">
        <v>2.71</v>
      </c>
      <c r="BR211" s="118">
        <v>2.56</v>
      </c>
      <c r="BS211" s="118">
        <v>2.33</v>
      </c>
      <c r="BT211" s="118">
        <v>0.87</v>
      </c>
      <c r="BU211" s="119">
        <v>1.21</v>
      </c>
      <c r="BV211" s="74">
        <v>9412000</v>
      </c>
      <c r="BW211" s="105">
        <v>140</v>
      </c>
      <c r="BX211" s="105">
        <v>2896</v>
      </c>
      <c r="BY211" s="110">
        <v>30.4</v>
      </c>
      <c r="BZ211" s="106">
        <v>9.1999999999999993</v>
      </c>
      <c r="CA211" s="248">
        <v>2E-3</v>
      </c>
      <c r="CB211" s="105">
        <v>488</v>
      </c>
      <c r="CC211" s="104">
        <v>0</v>
      </c>
      <c r="CD211" s="105">
        <v>615</v>
      </c>
      <c r="CE211" s="99">
        <f t="shared" si="11"/>
        <v>1.7166535122336225E-3</v>
      </c>
      <c r="CF211" s="100">
        <f t="shared" si="9"/>
        <v>0.65</v>
      </c>
    </row>
    <row r="212" spans="1:84" ht="36" hidden="1" x14ac:dyDescent="0.25">
      <c r="A212" s="101">
        <v>211</v>
      </c>
      <c r="B212" s="102"/>
      <c r="C212" s="103" t="s">
        <v>427</v>
      </c>
      <c r="D212" s="104">
        <v>2600</v>
      </c>
      <c r="E212" s="105">
        <v>3620</v>
      </c>
      <c r="F212" s="106">
        <f t="shared" si="10"/>
        <v>9412000</v>
      </c>
      <c r="G212" s="105">
        <v>140</v>
      </c>
      <c r="H212" s="105">
        <v>2896</v>
      </c>
      <c r="I212" s="107">
        <v>0.72</v>
      </c>
      <c r="J212" s="108">
        <v>14.7</v>
      </c>
      <c r="K212" s="109">
        <v>17.5</v>
      </c>
      <c r="L212" s="110">
        <v>30.4</v>
      </c>
      <c r="M212" s="111">
        <v>0.76</v>
      </c>
      <c r="N212" s="106">
        <v>9.1999999999999993</v>
      </c>
      <c r="O212" s="112" t="s">
        <v>201</v>
      </c>
      <c r="P212" s="113" t="s">
        <v>202</v>
      </c>
      <c r="Q212" s="247">
        <v>1E-3</v>
      </c>
      <c r="R212" s="248">
        <v>2.0000000000000001E-4</v>
      </c>
      <c r="S212" s="248">
        <v>2.0999999999999999E-3</v>
      </c>
      <c r="T212" s="105">
        <v>488</v>
      </c>
      <c r="U212" s="116">
        <v>1810</v>
      </c>
      <c r="V212" s="104">
        <v>0</v>
      </c>
      <c r="W212" s="105">
        <v>615</v>
      </c>
      <c r="X212" s="116">
        <v>0</v>
      </c>
      <c r="Y212" s="117">
        <v>0</v>
      </c>
      <c r="Z212" s="117">
        <v>1</v>
      </c>
      <c r="AA212" s="108">
        <v>2.1</v>
      </c>
      <c r="AB212" s="106">
        <v>8.8000000000000007</v>
      </c>
      <c r="AC212" s="109">
        <v>4.3</v>
      </c>
      <c r="AD212" s="118">
        <v>0.35</v>
      </c>
      <c r="AE212" s="119">
        <v>0.51</v>
      </c>
      <c r="AF212" s="120">
        <v>0.43</v>
      </c>
      <c r="AG212" s="118">
        <v>0</v>
      </c>
      <c r="AH212" s="118">
        <v>0</v>
      </c>
      <c r="AI212" s="119">
        <v>0.43</v>
      </c>
      <c r="AJ212" s="120">
        <v>0.28999999999999998</v>
      </c>
      <c r="AK212" s="118">
        <v>0.14000000000000001</v>
      </c>
      <c r="AL212" s="118">
        <v>0</v>
      </c>
      <c r="AM212" s="119">
        <v>0.43</v>
      </c>
      <c r="AN212" s="120">
        <v>0</v>
      </c>
      <c r="AO212" s="118">
        <v>0</v>
      </c>
      <c r="AP212" s="118">
        <v>0</v>
      </c>
      <c r="AQ212" s="119">
        <v>0</v>
      </c>
      <c r="AR212" s="120">
        <v>0.69</v>
      </c>
      <c r="AS212" s="118">
        <v>0</v>
      </c>
      <c r="AT212" s="118">
        <v>0</v>
      </c>
      <c r="AU212" s="119">
        <v>0.68</v>
      </c>
      <c r="AV212" s="120">
        <v>0.24</v>
      </c>
      <c r="AW212" s="118">
        <v>0</v>
      </c>
      <c r="AX212" s="118">
        <v>0</v>
      </c>
      <c r="AY212" s="119">
        <v>0.24</v>
      </c>
      <c r="AZ212" s="120">
        <v>0.25</v>
      </c>
      <c r="BA212" s="118">
        <v>0.26</v>
      </c>
      <c r="BB212" s="118">
        <v>0</v>
      </c>
      <c r="BC212" s="119">
        <v>0.51</v>
      </c>
      <c r="BD212" s="121">
        <v>0.28000000000000003</v>
      </c>
      <c r="BE212" s="120">
        <v>0.74</v>
      </c>
      <c r="BF212" s="118">
        <v>0</v>
      </c>
      <c r="BG212" s="118">
        <v>0</v>
      </c>
      <c r="BH212" s="119">
        <v>0.74</v>
      </c>
      <c r="BI212" s="120">
        <v>0.53</v>
      </c>
      <c r="BJ212" s="118">
        <v>0</v>
      </c>
      <c r="BK212" s="118">
        <v>0</v>
      </c>
      <c r="BL212" s="119">
        <v>0.53</v>
      </c>
      <c r="BM212" s="120">
        <v>1.21</v>
      </c>
      <c r="BN212" s="118">
        <v>1.19</v>
      </c>
      <c r="BO212" s="124"/>
      <c r="BP212" s="118">
        <v>0.76</v>
      </c>
      <c r="BQ212" s="118">
        <v>2.15</v>
      </c>
      <c r="BR212" s="118">
        <v>1.01</v>
      </c>
      <c r="BS212" s="118">
        <v>1.85</v>
      </c>
      <c r="BT212" s="118">
        <v>0.69</v>
      </c>
      <c r="BU212" s="119">
        <v>0.97</v>
      </c>
      <c r="BV212" s="74">
        <v>9412000</v>
      </c>
      <c r="BW212" s="105">
        <v>140</v>
      </c>
      <c r="BX212" s="105">
        <v>2896</v>
      </c>
      <c r="BY212" s="110">
        <v>30.4</v>
      </c>
      <c r="BZ212" s="106">
        <v>9.1999999999999993</v>
      </c>
      <c r="CA212" s="248">
        <v>2.0999999999999999E-3</v>
      </c>
      <c r="CB212" s="105">
        <v>488</v>
      </c>
      <c r="CC212" s="104">
        <v>0</v>
      </c>
      <c r="CD212" s="105">
        <v>615</v>
      </c>
      <c r="CE212" s="99">
        <f t="shared" si="11"/>
        <v>1.3614838200473559E-3</v>
      </c>
      <c r="CF212" s="100">
        <f t="shared" si="9"/>
        <v>0.51</v>
      </c>
    </row>
    <row r="213" spans="1:84" ht="36" hidden="1" x14ac:dyDescent="0.25">
      <c r="A213" s="122">
        <v>212</v>
      </c>
      <c r="B213" s="102"/>
      <c r="C213" s="103" t="s">
        <v>428</v>
      </c>
      <c r="D213" s="127">
        <v>2600</v>
      </c>
      <c r="E213" s="124">
        <v>3620</v>
      </c>
      <c r="F213" s="106">
        <f t="shared" si="10"/>
        <v>9412000</v>
      </c>
      <c r="G213" s="124">
        <v>140</v>
      </c>
      <c r="H213" s="124">
        <v>2896</v>
      </c>
      <c r="I213" s="125">
        <v>0.72</v>
      </c>
      <c r="J213" s="127">
        <v>14.7</v>
      </c>
      <c r="K213" s="125">
        <v>17.5</v>
      </c>
      <c r="L213" s="110">
        <v>30.4</v>
      </c>
      <c r="M213" s="111">
        <v>0.76</v>
      </c>
      <c r="N213" s="106">
        <v>9.1999999999999993</v>
      </c>
      <c r="O213" s="112" t="s">
        <v>201</v>
      </c>
      <c r="P213" s="113" t="s">
        <v>202</v>
      </c>
      <c r="Q213" s="247">
        <v>1E-3</v>
      </c>
      <c r="R213" s="248">
        <v>2.9999999999999997E-4</v>
      </c>
      <c r="S213" s="248">
        <v>2.2000000000000001E-3</v>
      </c>
      <c r="T213" s="105">
        <v>488</v>
      </c>
      <c r="U213" s="116">
        <v>1206</v>
      </c>
      <c r="V213" s="104">
        <v>0</v>
      </c>
      <c r="W213" s="105">
        <v>615</v>
      </c>
      <c r="X213" s="116">
        <v>0</v>
      </c>
      <c r="Y213" s="117">
        <v>0</v>
      </c>
      <c r="Z213" s="117">
        <v>1</v>
      </c>
      <c r="AA213" s="108">
        <v>2.2000000000000002</v>
      </c>
      <c r="AB213" s="106">
        <v>5.7</v>
      </c>
      <c r="AC213" s="109">
        <v>2.7</v>
      </c>
      <c r="AD213" s="118">
        <v>0.43</v>
      </c>
      <c r="AE213" s="119">
        <v>0.62</v>
      </c>
      <c r="AF213" s="120">
        <v>0.43</v>
      </c>
      <c r="AG213" s="118">
        <v>0</v>
      </c>
      <c r="AH213" s="118">
        <v>0</v>
      </c>
      <c r="AI213" s="119">
        <v>0.43</v>
      </c>
      <c r="AJ213" s="120">
        <v>0.28999999999999998</v>
      </c>
      <c r="AK213" s="118">
        <v>0.14000000000000001</v>
      </c>
      <c r="AL213" s="118">
        <v>0</v>
      </c>
      <c r="AM213" s="119">
        <v>0.43</v>
      </c>
      <c r="AN213" s="120">
        <v>0.42</v>
      </c>
      <c r="AO213" s="118">
        <v>0</v>
      </c>
      <c r="AP213" s="118">
        <v>0</v>
      </c>
      <c r="AQ213" s="119">
        <v>0.42</v>
      </c>
      <c r="AR213" s="120">
        <v>0.69</v>
      </c>
      <c r="AS213" s="118">
        <v>0</v>
      </c>
      <c r="AT213" s="118">
        <v>0</v>
      </c>
      <c r="AU213" s="119">
        <v>0.68</v>
      </c>
      <c r="AV213" s="120">
        <v>0.24</v>
      </c>
      <c r="AW213" s="118">
        <v>0</v>
      </c>
      <c r="AX213" s="118">
        <v>0</v>
      </c>
      <c r="AY213" s="119">
        <v>0.24</v>
      </c>
      <c r="AZ213" s="120">
        <v>0.25</v>
      </c>
      <c r="BA213" s="118">
        <v>0.31</v>
      </c>
      <c r="BB213" s="118">
        <v>0</v>
      </c>
      <c r="BC213" s="119">
        <v>0.56999999999999995</v>
      </c>
      <c r="BD213" s="121">
        <v>0.28000000000000003</v>
      </c>
      <c r="BE213" s="120">
        <v>0.74</v>
      </c>
      <c r="BF213" s="118">
        <v>0</v>
      </c>
      <c r="BG213" s="118">
        <v>0</v>
      </c>
      <c r="BH213" s="119">
        <v>0.74</v>
      </c>
      <c r="BI213" s="120">
        <v>0.53</v>
      </c>
      <c r="BJ213" s="118">
        <v>0</v>
      </c>
      <c r="BK213" s="118">
        <v>0</v>
      </c>
      <c r="BL213" s="119">
        <v>0.53</v>
      </c>
      <c r="BM213" s="120">
        <v>1.45</v>
      </c>
      <c r="BN213" s="118">
        <v>1.44</v>
      </c>
      <c r="BO213" s="118">
        <v>1.47</v>
      </c>
      <c r="BP213" s="118">
        <v>0.91</v>
      </c>
      <c r="BQ213" s="118">
        <v>2.59</v>
      </c>
      <c r="BR213" s="118">
        <v>1.0900000000000001</v>
      </c>
      <c r="BS213" s="118">
        <v>2.23</v>
      </c>
      <c r="BT213" s="118">
        <v>0.83</v>
      </c>
      <c r="BU213" s="119">
        <v>1.1599999999999999</v>
      </c>
      <c r="BV213" s="74">
        <v>9412000</v>
      </c>
      <c r="BW213" s="124">
        <v>140</v>
      </c>
      <c r="BX213" s="124">
        <v>2896</v>
      </c>
      <c r="BY213" s="110">
        <v>30.4</v>
      </c>
      <c r="BZ213" s="106">
        <v>9.1999999999999993</v>
      </c>
      <c r="CA213" s="248">
        <v>2.2000000000000001E-3</v>
      </c>
      <c r="CB213" s="105">
        <v>488</v>
      </c>
      <c r="CC213" s="104">
        <v>0</v>
      </c>
      <c r="CD213" s="105">
        <v>615</v>
      </c>
      <c r="CE213" s="99">
        <f t="shared" si="11"/>
        <v>1.6377269139700079E-3</v>
      </c>
      <c r="CF213" s="100">
        <f t="shared" si="9"/>
        <v>0.62</v>
      </c>
    </row>
    <row r="214" spans="1:84" ht="36" x14ac:dyDescent="0.25">
      <c r="A214" s="122">
        <v>213</v>
      </c>
      <c r="B214" s="102"/>
      <c r="C214" s="103" t="s">
        <v>429</v>
      </c>
      <c r="D214" s="127">
        <v>2257</v>
      </c>
      <c r="E214" s="124">
        <v>3621</v>
      </c>
      <c r="F214" s="106">
        <f t="shared" si="10"/>
        <v>8172597</v>
      </c>
      <c r="G214" s="124">
        <v>141</v>
      </c>
      <c r="H214" s="124">
        <v>2897</v>
      </c>
      <c r="I214" s="125">
        <v>0.62</v>
      </c>
      <c r="J214" s="155">
        <v>19.2</v>
      </c>
      <c r="K214" s="237">
        <v>17.899999999999999</v>
      </c>
      <c r="L214" s="110">
        <v>53.9</v>
      </c>
      <c r="M214" s="111">
        <v>0.47</v>
      </c>
      <c r="N214" s="106">
        <v>4.8</v>
      </c>
      <c r="O214" s="112" t="s">
        <v>201</v>
      </c>
      <c r="P214" s="113" t="s">
        <v>211</v>
      </c>
      <c r="Q214" s="243">
        <v>5.0000000000000001E-4</v>
      </c>
      <c r="R214" s="248">
        <v>2.9999999999999997E-4</v>
      </c>
      <c r="S214" s="248">
        <v>1.1999999999999999E-3</v>
      </c>
      <c r="T214" s="105">
        <v>488</v>
      </c>
      <c r="U214" s="116">
        <v>1207</v>
      </c>
      <c r="V214" s="243">
        <v>1E-4</v>
      </c>
      <c r="W214" s="105">
        <v>615</v>
      </c>
      <c r="X214" s="116">
        <v>1354</v>
      </c>
      <c r="Y214" s="117">
        <v>0</v>
      </c>
      <c r="Z214" s="117">
        <v>1</v>
      </c>
      <c r="AA214" s="108">
        <v>1.8</v>
      </c>
      <c r="AB214" s="106">
        <v>7.4</v>
      </c>
      <c r="AC214" s="109">
        <v>4.2</v>
      </c>
      <c r="AD214" s="118">
        <v>0.22</v>
      </c>
      <c r="AE214" s="119">
        <v>0.38</v>
      </c>
      <c r="AF214" s="120">
        <v>0.38</v>
      </c>
      <c r="AG214" s="118">
        <v>0.06</v>
      </c>
      <c r="AH214" s="118">
        <v>0</v>
      </c>
      <c r="AI214" s="119">
        <v>0.44</v>
      </c>
      <c r="AJ214" s="120">
        <v>0.34</v>
      </c>
      <c r="AK214" s="118">
        <v>0.16</v>
      </c>
      <c r="AL214" s="118">
        <v>0</v>
      </c>
      <c r="AM214" s="119">
        <v>0.5</v>
      </c>
      <c r="AN214" s="120">
        <v>0</v>
      </c>
      <c r="AO214" s="118">
        <v>0.09</v>
      </c>
      <c r="AP214" s="118">
        <v>0</v>
      </c>
      <c r="AQ214" s="119">
        <v>0.09</v>
      </c>
      <c r="AR214" s="120">
        <v>0.62</v>
      </c>
      <c r="AS214" s="118">
        <v>7.0000000000000007E-2</v>
      </c>
      <c r="AT214" s="118">
        <v>0</v>
      </c>
      <c r="AU214" s="119">
        <v>0.56000000000000005</v>
      </c>
      <c r="AV214" s="120">
        <v>0.23</v>
      </c>
      <c r="AW214" s="118">
        <v>0.14000000000000001</v>
      </c>
      <c r="AX214" s="118">
        <v>0</v>
      </c>
      <c r="AY214" s="119">
        <v>0.37</v>
      </c>
      <c r="AZ214" s="120">
        <v>0.21</v>
      </c>
      <c r="BA214" s="118">
        <v>0.64</v>
      </c>
      <c r="BB214" s="118">
        <v>0</v>
      </c>
      <c r="BC214" s="119">
        <v>0.85</v>
      </c>
      <c r="BD214" s="121">
        <v>0.49</v>
      </c>
      <c r="BE214" s="120">
        <v>0.61</v>
      </c>
      <c r="BF214" s="118">
        <v>0</v>
      </c>
      <c r="BG214" s="118">
        <v>0</v>
      </c>
      <c r="BH214" s="119">
        <v>0.61</v>
      </c>
      <c r="BI214" s="120">
        <v>0.38</v>
      </c>
      <c r="BJ214" s="118">
        <v>0.09</v>
      </c>
      <c r="BK214" s="118">
        <v>0</v>
      </c>
      <c r="BL214" s="119">
        <v>0.47</v>
      </c>
      <c r="BM214" s="120">
        <v>0.87</v>
      </c>
      <c r="BN214" s="118">
        <v>0.77</v>
      </c>
      <c r="BO214" s="118">
        <v>4.2</v>
      </c>
      <c r="BP214" s="118">
        <v>0.68</v>
      </c>
      <c r="BQ214" s="118">
        <v>1.04</v>
      </c>
      <c r="BR214" s="118">
        <v>0.45</v>
      </c>
      <c r="BS214" s="118">
        <v>0.79</v>
      </c>
      <c r="BT214" s="118">
        <v>0.63</v>
      </c>
      <c r="BU214" s="119">
        <v>0.83</v>
      </c>
      <c r="BV214" s="74">
        <v>8172597</v>
      </c>
      <c r="BW214" s="124">
        <v>141</v>
      </c>
      <c r="BX214" s="124">
        <v>2897</v>
      </c>
      <c r="BY214" s="110">
        <v>53.9</v>
      </c>
      <c r="BZ214" s="106">
        <v>4.8</v>
      </c>
      <c r="CA214" s="248">
        <v>1.1999999999999999E-3</v>
      </c>
      <c r="CB214" s="105">
        <v>488</v>
      </c>
      <c r="CC214" s="243">
        <v>1E-4</v>
      </c>
      <c r="CD214" s="105">
        <v>615</v>
      </c>
      <c r="CE214" s="99">
        <f t="shared" si="11"/>
        <v>1.2339367871811594E-3</v>
      </c>
      <c r="CF214" s="100">
        <f t="shared" si="9"/>
        <v>0.38</v>
      </c>
    </row>
    <row r="215" spans="1:84" ht="36" x14ac:dyDescent="0.25">
      <c r="A215" s="101">
        <v>214</v>
      </c>
      <c r="B215" s="102"/>
      <c r="C215" s="103" t="s">
        <v>430</v>
      </c>
      <c r="D215" s="104">
        <v>2257</v>
      </c>
      <c r="E215" s="105">
        <v>3622</v>
      </c>
      <c r="F215" s="106">
        <f t="shared" si="10"/>
        <v>8174854</v>
      </c>
      <c r="G215" s="105">
        <v>140</v>
      </c>
      <c r="H215" s="105">
        <v>2898</v>
      </c>
      <c r="I215" s="107">
        <v>0.62</v>
      </c>
      <c r="J215" s="155">
        <v>19.2</v>
      </c>
      <c r="K215" s="156">
        <v>17.899999999999999</v>
      </c>
      <c r="L215" s="110">
        <v>53.9</v>
      </c>
      <c r="M215" s="111">
        <v>0.47</v>
      </c>
      <c r="N215" s="106">
        <v>4.8</v>
      </c>
      <c r="O215" s="112" t="s">
        <v>201</v>
      </c>
      <c r="P215" s="113" t="s">
        <v>211</v>
      </c>
      <c r="Q215" s="243">
        <v>5.0000000000000001E-4</v>
      </c>
      <c r="R215" s="248">
        <v>2.9999999999999997E-4</v>
      </c>
      <c r="S215" s="248">
        <v>1.1999999999999999E-3</v>
      </c>
      <c r="T215" s="105">
        <v>488</v>
      </c>
      <c r="U215" s="116">
        <v>1207</v>
      </c>
      <c r="V215" s="243">
        <v>1E-4</v>
      </c>
      <c r="W215" s="105">
        <v>615</v>
      </c>
      <c r="X215" s="116">
        <v>1354</v>
      </c>
      <c r="Y215" s="117">
        <v>0</v>
      </c>
      <c r="Z215" s="117">
        <v>1</v>
      </c>
      <c r="AA215" s="108">
        <v>1.9</v>
      </c>
      <c r="AB215" s="106">
        <v>9.1</v>
      </c>
      <c r="AC215" s="109">
        <v>4.8</v>
      </c>
      <c r="AD215" s="118">
        <v>0.27</v>
      </c>
      <c r="AE215" s="119">
        <v>0.43</v>
      </c>
      <c r="AF215" s="120">
        <v>0.38</v>
      </c>
      <c r="AG215" s="118">
        <v>0.06</v>
      </c>
      <c r="AH215" s="118">
        <v>0</v>
      </c>
      <c r="AI215" s="119">
        <v>0.44</v>
      </c>
      <c r="AJ215" s="120">
        <v>0.34</v>
      </c>
      <c r="AK215" s="118">
        <v>0.16</v>
      </c>
      <c r="AL215" s="118">
        <v>0</v>
      </c>
      <c r="AM215" s="119">
        <v>0.5</v>
      </c>
      <c r="AN215" s="120">
        <v>0</v>
      </c>
      <c r="AO215" s="118">
        <v>0.09</v>
      </c>
      <c r="AP215" s="118">
        <v>0</v>
      </c>
      <c r="AQ215" s="119">
        <v>0.09</v>
      </c>
      <c r="AR215" s="120">
        <v>0.62</v>
      </c>
      <c r="AS215" s="118">
        <v>7.0000000000000007E-2</v>
      </c>
      <c r="AT215" s="118">
        <v>0</v>
      </c>
      <c r="AU215" s="119">
        <v>0.56000000000000005</v>
      </c>
      <c r="AV215" s="120">
        <v>0.23</v>
      </c>
      <c r="AW215" s="118">
        <v>0.14000000000000001</v>
      </c>
      <c r="AX215" s="118">
        <v>0</v>
      </c>
      <c r="AY215" s="119">
        <v>0.37</v>
      </c>
      <c r="AZ215" s="120">
        <v>0.21</v>
      </c>
      <c r="BA215" s="118">
        <v>0.65</v>
      </c>
      <c r="BB215" s="118">
        <v>0</v>
      </c>
      <c r="BC215" s="119">
        <v>0.85</v>
      </c>
      <c r="BD215" s="121">
        <v>0.49</v>
      </c>
      <c r="BE215" s="120">
        <v>0.61</v>
      </c>
      <c r="BF215" s="118">
        <v>0</v>
      </c>
      <c r="BG215" s="118">
        <v>0</v>
      </c>
      <c r="BH215" s="119">
        <v>0.61</v>
      </c>
      <c r="BI215" s="120">
        <v>0.38</v>
      </c>
      <c r="BJ215" s="118">
        <v>0.09</v>
      </c>
      <c r="BK215" s="118">
        <v>0</v>
      </c>
      <c r="BL215" s="119">
        <v>0.47</v>
      </c>
      <c r="BM215" s="120">
        <v>0.97</v>
      </c>
      <c r="BN215" s="118">
        <v>0.86</v>
      </c>
      <c r="BO215" s="118">
        <v>4.63</v>
      </c>
      <c r="BP215" s="118">
        <v>0.76</v>
      </c>
      <c r="BQ215" s="118">
        <v>1.1499999999999999</v>
      </c>
      <c r="BR215" s="118">
        <v>0.5</v>
      </c>
      <c r="BS215" s="118">
        <v>0.88</v>
      </c>
      <c r="BT215" s="118">
        <v>0.7</v>
      </c>
      <c r="BU215" s="119">
        <v>0.92</v>
      </c>
      <c r="BV215" s="74">
        <v>8174854</v>
      </c>
      <c r="BW215" s="105">
        <v>140</v>
      </c>
      <c r="BX215" s="105">
        <v>2898</v>
      </c>
      <c r="BY215" s="110">
        <v>53.9</v>
      </c>
      <c r="BZ215" s="106">
        <v>4.8</v>
      </c>
      <c r="CA215" s="248">
        <v>1.1999999999999999E-3</v>
      </c>
      <c r="CB215" s="105">
        <v>488</v>
      </c>
      <c r="CC215" s="243">
        <v>1E-4</v>
      </c>
      <c r="CD215" s="105">
        <v>615</v>
      </c>
      <c r="CE215" s="99">
        <f t="shared" si="11"/>
        <v>1.3804527885146326E-3</v>
      </c>
      <c r="CF215" s="100">
        <f t="shared" si="9"/>
        <v>0.43</v>
      </c>
    </row>
    <row r="216" spans="1:84" ht="36" x14ac:dyDescent="0.25">
      <c r="A216" s="101">
        <v>215</v>
      </c>
      <c r="B216" s="102"/>
      <c r="C216" s="103" t="s">
        <v>431</v>
      </c>
      <c r="D216" s="104">
        <v>2253</v>
      </c>
      <c r="E216" s="105">
        <v>3631</v>
      </c>
      <c r="F216" s="106">
        <f t="shared" si="10"/>
        <v>8180643</v>
      </c>
      <c r="G216" s="105">
        <v>140</v>
      </c>
      <c r="H216" s="105">
        <v>2905</v>
      </c>
      <c r="I216" s="107">
        <v>0.62</v>
      </c>
      <c r="J216" s="155">
        <v>19.2</v>
      </c>
      <c r="K216" s="156">
        <v>17.899999999999999</v>
      </c>
      <c r="L216" s="110">
        <v>53.9</v>
      </c>
      <c r="M216" s="111">
        <v>0.47</v>
      </c>
      <c r="N216" s="106">
        <v>4.8</v>
      </c>
      <c r="O216" s="112" t="s">
        <v>201</v>
      </c>
      <c r="P216" s="113" t="s">
        <v>211</v>
      </c>
      <c r="Q216" s="243">
        <v>5.0000000000000001E-4</v>
      </c>
      <c r="R216" s="248">
        <v>4.0000000000000002E-4</v>
      </c>
      <c r="S216" s="248">
        <v>1.2999999999999999E-3</v>
      </c>
      <c r="T216" s="105">
        <v>488</v>
      </c>
      <c r="U216" s="116">
        <v>908</v>
      </c>
      <c r="V216" s="243">
        <v>1E-4</v>
      </c>
      <c r="W216" s="105">
        <v>615</v>
      </c>
      <c r="X216" s="116">
        <v>1352</v>
      </c>
      <c r="Y216" s="117">
        <v>0</v>
      </c>
      <c r="Z216" s="117">
        <v>1</v>
      </c>
      <c r="AA216" s="108">
        <v>2.6</v>
      </c>
      <c r="AB216" s="106">
        <v>10.4</v>
      </c>
      <c r="AC216" s="109">
        <v>4.0999999999999996</v>
      </c>
      <c r="AD216" s="118">
        <v>0.31</v>
      </c>
      <c r="AE216" s="119">
        <v>0.44</v>
      </c>
      <c r="AF216" s="120">
        <v>0.39</v>
      </c>
      <c r="AG216" s="118">
        <v>0.06</v>
      </c>
      <c r="AH216" s="118">
        <v>0</v>
      </c>
      <c r="AI216" s="119">
        <v>0.45</v>
      </c>
      <c r="AJ216" s="120">
        <v>0.34</v>
      </c>
      <c r="AK216" s="118">
        <v>0.16</v>
      </c>
      <c r="AL216" s="118">
        <v>0</v>
      </c>
      <c r="AM216" s="119">
        <v>0.5</v>
      </c>
      <c r="AN216" s="120">
        <v>0</v>
      </c>
      <c r="AO216" s="118">
        <v>0.09</v>
      </c>
      <c r="AP216" s="118">
        <v>0</v>
      </c>
      <c r="AQ216" s="119">
        <v>0.09</v>
      </c>
      <c r="AR216" s="120">
        <v>0.62</v>
      </c>
      <c r="AS216" s="118">
        <v>7.0000000000000007E-2</v>
      </c>
      <c r="AT216" s="118">
        <v>0</v>
      </c>
      <c r="AU216" s="119">
        <v>0.56000000000000005</v>
      </c>
      <c r="AV216" s="120">
        <v>0.23</v>
      </c>
      <c r="AW216" s="118">
        <v>0.15</v>
      </c>
      <c r="AX216" s="118">
        <v>0</v>
      </c>
      <c r="AY216" s="119">
        <v>0.37</v>
      </c>
      <c r="AZ216" s="120">
        <v>0.21</v>
      </c>
      <c r="BA216" s="118">
        <v>0.7</v>
      </c>
      <c r="BB216" s="118">
        <v>0</v>
      </c>
      <c r="BC216" s="119">
        <v>0.91</v>
      </c>
      <c r="BD216" s="121">
        <v>0.49</v>
      </c>
      <c r="BE216" s="120">
        <v>0.62</v>
      </c>
      <c r="BF216" s="118">
        <v>0</v>
      </c>
      <c r="BG216" s="118">
        <v>0</v>
      </c>
      <c r="BH216" s="119">
        <v>0.62</v>
      </c>
      <c r="BI216" s="120">
        <v>0.38</v>
      </c>
      <c r="BJ216" s="118">
        <v>0.09</v>
      </c>
      <c r="BK216" s="118">
        <v>0</v>
      </c>
      <c r="BL216" s="119">
        <v>0.47</v>
      </c>
      <c r="BM216" s="120">
        <v>0.98</v>
      </c>
      <c r="BN216" s="118">
        <v>0.88</v>
      </c>
      <c r="BO216" s="118">
        <v>4.71</v>
      </c>
      <c r="BP216" s="118">
        <v>0.77</v>
      </c>
      <c r="BQ216" s="118">
        <v>1.17</v>
      </c>
      <c r="BR216" s="118">
        <v>0.48</v>
      </c>
      <c r="BS216" s="118">
        <v>0.89</v>
      </c>
      <c r="BT216" s="118">
        <v>0.71</v>
      </c>
      <c r="BU216" s="119">
        <v>0.93</v>
      </c>
      <c r="BV216" s="74">
        <v>8180643</v>
      </c>
      <c r="BW216" s="105">
        <v>140</v>
      </c>
      <c r="BX216" s="105">
        <v>2905</v>
      </c>
      <c r="BY216" s="110">
        <v>53.9</v>
      </c>
      <c r="BZ216" s="106">
        <v>4.8</v>
      </c>
      <c r="CA216" s="248">
        <v>1.2999999999999999E-3</v>
      </c>
      <c r="CB216" s="105">
        <v>488</v>
      </c>
      <c r="CC216" s="243">
        <v>1E-4</v>
      </c>
      <c r="CD216" s="105">
        <v>615</v>
      </c>
      <c r="CE216" s="99">
        <f t="shared" si="11"/>
        <v>1.3967029940590943E-3</v>
      </c>
      <c r="CF216" s="100">
        <f t="shared" si="9"/>
        <v>0.44</v>
      </c>
    </row>
    <row r="217" spans="1:84" ht="36" x14ac:dyDescent="0.25">
      <c r="A217" s="128">
        <v>216</v>
      </c>
      <c r="B217" s="129"/>
      <c r="C217" s="130" t="s">
        <v>432</v>
      </c>
      <c r="D217" s="131">
        <v>2253</v>
      </c>
      <c r="E217" s="132">
        <v>3644</v>
      </c>
      <c r="F217" s="133">
        <f t="shared" si="10"/>
        <v>8209932</v>
      </c>
      <c r="G217" s="132">
        <v>141</v>
      </c>
      <c r="H217" s="132">
        <v>2915</v>
      </c>
      <c r="I217" s="134">
        <v>0.62</v>
      </c>
      <c r="J217" s="164">
        <v>19.2</v>
      </c>
      <c r="K217" s="165">
        <v>17.899999999999999</v>
      </c>
      <c r="L217" s="137">
        <v>53.9</v>
      </c>
      <c r="M217" s="138">
        <v>0.47</v>
      </c>
      <c r="N217" s="133">
        <v>4.8</v>
      </c>
      <c r="O217" s="139" t="s">
        <v>201</v>
      </c>
      <c r="P217" s="140" t="s">
        <v>211</v>
      </c>
      <c r="Q217" s="244">
        <v>5.0000000000000001E-4</v>
      </c>
      <c r="R217" s="249">
        <v>4.0000000000000002E-4</v>
      </c>
      <c r="S217" s="249">
        <v>1.2999999999999999E-3</v>
      </c>
      <c r="T217" s="132">
        <v>488</v>
      </c>
      <c r="U217" s="143">
        <v>911</v>
      </c>
      <c r="V217" s="244">
        <v>1E-4</v>
      </c>
      <c r="W217" s="132">
        <v>615</v>
      </c>
      <c r="X217" s="143">
        <v>1352</v>
      </c>
      <c r="Y217" s="144">
        <v>0</v>
      </c>
      <c r="Z217" s="144">
        <v>1</v>
      </c>
      <c r="AA217" s="135">
        <v>2.6</v>
      </c>
      <c r="AB217" s="133">
        <v>11.7</v>
      </c>
      <c r="AC217" s="136">
        <v>4.5999999999999996</v>
      </c>
      <c r="AD217" s="145">
        <v>0.27</v>
      </c>
      <c r="AE217" s="146">
        <v>0.42</v>
      </c>
      <c r="AF217" s="147">
        <v>0.39</v>
      </c>
      <c r="AG217" s="145">
        <v>0.06</v>
      </c>
      <c r="AH217" s="145">
        <v>0</v>
      </c>
      <c r="AI217" s="146">
        <v>0.45</v>
      </c>
      <c r="AJ217" s="147">
        <v>0.34</v>
      </c>
      <c r="AK217" s="145">
        <v>0.16</v>
      </c>
      <c r="AL217" s="145">
        <v>0</v>
      </c>
      <c r="AM217" s="146">
        <v>0.5</v>
      </c>
      <c r="AN217" s="147">
        <v>0</v>
      </c>
      <c r="AO217" s="145">
        <v>0.09</v>
      </c>
      <c r="AP217" s="145">
        <v>0</v>
      </c>
      <c r="AQ217" s="146">
        <v>0.09</v>
      </c>
      <c r="AR217" s="147">
        <v>0.63</v>
      </c>
      <c r="AS217" s="145">
        <v>7.0000000000000007E-2</v>
      </c>
      <c r="AT217" s="145">
        <v>0</v>
      </c>
      <c r="AU217" s="146">
        <v>0.56999999999999995</v>
      </c>
      <c r="AV217" s="147">
        <v>0.23</v>
      </c>
      <c r="AW217" s="145">
        <v>0.14000000000000001</v>
      </c>
      <c r="AX217" s="145">
        <v>0</v>
      </c>
      <c r="AY217" s="146">
        <v>0.38</v>
      </c>
      <c r="AZ217" s="147">
        <v>0.21</v>
      </c>
      <c r="BA217" s="145">
        <v>0.7</v>
      </c>
      <c r="BB217" s="145">
        <v>0</v>
      </c>
      <c r="BC217" s="146">
        <v>0.91</v>
      </c>
      <c r="BD217" s="148">
        <v>0.49</v>
      </c>
      <c r="BE217" s="147">
        <v>0.62</v>
      </c>
      <c r="BF217" s="145">
        <v>0</v>
      </c>
      <c r="BG217" s="145">
        <v>0</v>
      </c>
      <c r="BH217" s="146">
        <v>0.62</v>
      </c>
      <c r="BI217" s="147">
        <v>0.38</v>
      </c>
      <c r="BJ217" s="145">
        <v>0.09</v>
      </c>
      <c r="BK217" s="145">
        <v>0</v>
      </c>
      <c r="BL217" s="146">
        <v>0.47</v>
      </c>
      <c r="BM217" s="147">
        <v>0.93</v>
      </c>
      <c r="BN217" s="145">
        <v>0.83</v>
      </c>
      <c r="BO217" s="145">
        <v>4.49</v>
      </c>
      <c r="BP217" s="145">
        <v>0.73</v>
      </c>
      <c r="BQ217" s="145">
        <v>1.1100000000000001</v>
      </c>
      <c r="BR217" s="145">
        <v>0.46</v>
      </c>
      <c r="BS217" s="145">
        <v>0.84</v>
      </c>
      <c r="BT217" s="145">
        <v>0.67</v>
      </c>
      <c r="BU217" s="146">
        <v>0.88</v>
      </c>
      <c r="BV217" s="74">
        <v>8209932</v>
      </c>
      <c r="BW217" s="132">
        <v>141</v>
      </c>
      <c r="BX217" s="132">
        <v>2915</v>
      </c>
      <c r="BY217" s="137">
        <v>53.9</v>
      </c>
      <c r="BZ217" s="133">
        <v>4.8</v>
      </c>
      <c r="CA217" s="249">
        <v>1.2999999999999999E-3</v>
      </c>
      <c r="CB217" s="132">
        <v>488</v>
      </c>
      <c r="CC217" s="244">
        <v>1E-4</v>
      </c>
      <c r="CD217" s="132">
        <v>615</v>
      </c>
      <c r="CE217" s="179">
        <f t="shared" si="11"/>
        <v>1.3039991903527415E-3</v>
      </c>
      <c r="CF217" s="180">
        <f t="shared" si="9"/>
        <v>0.42</v>
      </c>
    </row>
    <row r="218" spans="1:84" ht="24" x14ac:dyDescent="0.25">
      <c r="A218" s="78">
        <v>217</v>
      </c>
      <c r="B218" s="79" t="s">
        <v>54</v>
      </c>
      <c r="C218" s="80" t="s">
        <v>433</v>
      </c>
      <c r="D218" s="81">
        <v>1915</v>
      </c>
      <c r="E218" s="82">
        <v>2030</v>
      </c>
      <c r="F218" s="95">
        <f t="shared" si="10"/>
        <v>3887450</v>
      </c>
      <c r="G218" s="82">
        <v>140</v>
      </c>
      <c r="H218" s="82">
        <v>1624</v>
      </c>
      <c r="I218" s="84">
        <v>0.94</v>
      </c>
      <c r="J218" s="88">
        <v>10.26</v>
      </c>
      <c r="K218" s="150">
        <v>17.899999999999999</v>
      </c>
      <c r="L218" s="151">
        <v>27.8</v>
      </c>
      <c r="M218" s="88">
        <v>0.18</v>
      </c>
      <c r="N218" s="95">
        <v>4.29</v>
      </c>
      <c r="O218" s="89" t="s">
        <v>201</v>
      </c>
      <c r="P218" s="90" t="s">
        <v>211</v>
      </c>
      <c r="Q218" s="250">
        <v>2.2000000000000001E-3</v>
      </c>
      <c r="R218" s="82">
        <v>0</v>
      </c>
      <c r="S218" s="246">
        <v>4.4999999999999997E-3</v>
      </c>
      <c r="T218" s="82">
        <v>474</v>
      </c>
      <c r="U218" s="93">
        <v>0</v>
      </c>
      <c r="V218" s="250">
        <v>0</v>
      </c>
      <c r="W218" s="82">
        <v>593</v>
      </c>
      <c r="X218" s="93">
        <v>0</v>
      </c>
      <c r="Y218" s="153">
        <v>0</v>
      </c>
      <c r="Z218" s="94">
        <v>1</v>
      </c>
      <c r="AA218" s="85">
        <v>1.3</v>
      </c>
      <c r="AB218" s="83">
        <v>10</v>
      </c>
      <c r="AC218" s="86">
        <v>7.5</v>
      </c>
      <c r="AD218" s="95">
        <v>0.14000000000000001</v>
      </c>
      <c r="AE218" s="96">
        <v>0.37</v>
      </c>
      <c r="AF218" s="97">
        <v>0.21</v>
      </c>
      <c r="AG218" s="95">
        <v>0</v>
      </c>
      <c r="AH218" s="95">
        <v>0</v>
      </c>
      <c r="AI218" s="96">
        <v>0.21</v>
      </c>
      <c r="AJ218" s="97">
        <v>0.22</v>
      </c>
      <c r="AK218" s="95">
        <v>0.12</v>
      </c>
      <c r="AL218" s="95">
        <v>0</v>
      </c>
      <c r="AM218" s="96">
        <v>0.34</v>
      </c>
      <c r="AN218" s="97">
        <v>0</v>
      </c>
      <c r="AO218" s="95">
        <v>0</v>
      </c>
      <c r="AP218" s="95">
        <v>0</v>
      </c>
      <c r="AQ218" s="96">
        <v>0</v>
      </c>
      <c r="AR218" s="97">
        <v>0.3</v>
      </c>
      <c r="AS218" s="95">
        <v>0</v>
      </c>
      <c r="AT218" s="95">
        <v>0</v>
      </c>
      <c r="AU218" s="96">
        <v>0.3</v>
      </c>
      <c r="AV218" s="97">
        <v>0.11</v>
      </c>
      <c r="AW218" s="95">
        <v>0</v>
      </c>
      <c r="AX218" s="95">
        <v>0</v>
      </c>
      <c r="AY218" s="96">
        <v>0.11</v>
      </c>
      <c r="AZ218" s="97">
        <v>0.19</v>
      </c>
      <c r="BA218" s="95">
        <v>0</v>
      </c>
      <c r="BB218" s="95">
        <v>0</v>
      </c>
      <c r="BC218" s="96">
        <v>0.19</v>
      </c>
      <c r="BD218" s="98">
        <v>0.13</v>
      </c>
      <c r="BE218" s="97">
        <v>0.1</v>
      </c>
      <c r="BF218" s="95">
        <v>0</v>
      </c>
      <c r="BG218" s="95">
        <v>0</v>
      </c>
      <c r="BH218" s="96">
        <v>0.1</v>
      </c>
      <c r="BI218" s="97">
        <v>0.1</v>
      </c>
      <c r="BJ218" s="95">
        <v>0</v>
      </c>
      <c r="BK218" s="95">
        <v>0</v>
      </c>
      <c r="BL218" s="96">
        <v>0.1</v>
      </c>
      <c r="BM218" s="97">
        <v>1.79</v>
      </c>
      <c r="BN218" s="95">
        <v>1.08</v>
      </c>
      <c r="BO218" s="190"/>
      <c r="BP218" s="95">
        <v>1.24</v>
      </c>
      <c r="BQ218" s="95">
        <v>3.36</v>
      </c>
      <c r="BR218" s="95">
        <v>1.95</v>
      </c>
      <c r="BS218" s="95">
        <v>2.79</v>
      </c>
      <c r="BT218" s="95">
        <v>3.64</v>
      </c>
      <c r="BU218" s="96">
        <v>3.85</v>
      </c>
      <c r="BV218" s="74">
        <v>3887450</v>
      </c>
      <c r="BW218" s="82">
        <v>140</v>
      </c>
      <c r="BX218" s="82">
        <v>1624</v>
      </c>
      <c r="BY218" s="151">
        <v>27.8</v>
      </c>
      <c r="BZ218" s="95">
        <v>4.29</v>
      </c>
      <c r="CA218" s="246">
        <v>4.4999999999999997E-3</v>
      </c>
      <c r="CB218" s="82">
        <v>474</v>
      </c>
      <c r="CC218" s="250">
        <v>0</v>
      </c>
      <c r="CD218" s="82">
        <v>593</v>
      </c>
      <c r="CE218" s="99">
        <f t="shared" si="11"/>
        <v>1.2807881773399015E-2</v>
      </c>
      <c r="CF218" s="100">
        <f t="shared" si="9"/>
        <v>0.37</v>
      </c>
    </row>
    <row r="219" spans="1:84" ht="24" x14ac:dyDescent="0.25">
      <c r="A219" s="101">
        <v>218</v>
      </c>
      <c r="B219" s="102"/>
      <c r="C219" s="103" t="s">
        <v>434</v>
      </c>
      <c r="D219" s="104">
        <v>1915</v>
      </c>
      <c r="E219" s="105">
        <v>2030</v>
      </c>
      <c r="F219" s="118">
        <f t="shared" si="10"/>
        <v>3887450</v>
      </c>
      <c r="G219" s="105">
        <v>140</v>
      </c>
      <c r="H219" s="105">
        <v>1624</v>
      </c>
      <c r="I219" s="107">
        <v>0.94</v>
      </c>
      <c r="J219" s="111">
        <v>10.26</v>
      </c>
      <c r="K219" s="156">
        <v>17.899999999999999</v>
      </c>
      <c r="L219" s="157">
        <v>27.8</v>
      </c>
      <c r="M219" s="111">
        <v>0.18</v>
      </c>
      <c r="N219" s="118">
        <v>4.29</v>
      </c>
      <c r="O219" s="112" t="s">
        <v>201</v>
      </c>
      <c r="P219" s="113" t="s">
        <v>211</v>
      </c>
      <c r="Q219" s="243">
        <v>2.2000000000000001E-3</v>
      </c>
      <c r="R219" s="105">
        <v>0</v>
      </c>
      <c r="S219" s="248">
        <v>4.4999999999999997E-3</v>
      </c>
      <c r="T219" s="105">
        <v>474</v>
      </c>
      <c r="U219" s="116">
        <v>0</v>
      </c>
      <c r="V219" s="243">
        <v>2.9999999999999997E-4</v>
      </c>
      <c r="W219" s="105">
        <v>593</v>
      </c>
      <c r="X219" s="116">
        <v>638</v>
      </c>
      <c r="Y219" s="160">
        <v>0.59</v>
      </c>
      <c r="Z219" s="117">
        <v>1</v>
      </c>
      <c r="AA219" s="108">
        <v>1.4</v>
      </c>
      <c r="AB219" s="106">
        <v>8.9</v>
      </c>
      <c r="AC219" s="109">
        <v>6.3</v>
      </c>
      <c r="AD219" s="118">
        <v>0.27</v>
      </c>
      <c r="AE219" s="119">
        <v>0.5</v>
      </c>
      <c r="AF219" s="120">
        <v>0.21</v>
      </c>
      <c r="AG219" s="118">
        <v>0.08</v>
      </c>
      <c r="AH219" s="118">
        <v>0.16</v>
      </c>
      <c r="AI219" s="119">
        <v>0.44</v>
      </c>
      <c r="AJ219" s="120">
        <v>0.4</v>
      </c>
      <c r="AK219" s="118">
        <v>0.12</v>
      </c>
      <c r="AL219" s="118">
        <v>0</v>
      </c>
      <c r="AM219" s="119">
        <v>0.52</v>
      </c>
      <c r="AN219" s="120">
        <v>0</v>
      </c>
      <c r="AO219" s="118">
        <v>0.12</v>
      </c>
      <c r="AP219" s="118">
        <v>0.16</v>
      </c>
      <c r="AQ219" s="119">
        <v>0.28999999999999998</v>
      </c>
      <c r="AR219" s="120">
        <v>0.3</v>
      </c>
      <c r="AS219" s="118">
        <v>0.09</v>
      </c>
      <c r="AT219" s="118">
        <v>0.16</v>
      </c>
      <c r="AU219" s="119">
        <v>0.35</v>
      </c>
      <c r="AV219" s="120">
        <v>0.11</v>
      </c>
      <c r="AW219" s="118">
        <v>0.19</v>
      </c>
      <c r="AX219" s="118">
        <v>0</v>
      </c>
      <c r="AY219" s="119">
        <v>0.3</v>
      </c>
      <c r="AZ219" s="120">
        <v>0.19</v>
      </c>
      <c r="BA219" s="118">
        <v>0.27</v>
      </c>
      <c r="BB219" s="118">
        <v>0.04</v>
      </c>
      <c r="BC219" s="119">
        <v>0.5</v>
      </c>
      <c r="BD219" s="121">
        <v>0.28999999999999998</v>
      </c>
      <c r="BE219" s="120">
        <v>0.1</v>
      </c>
      <c r="BF219" s="118">
        <v>0</v>
      </c>
      <c r="BG219" s="118">
        <v>0.14000000000000001</v>
      </c>
      <c r="BH219" s="119">
        <v>0.25</v>
      </c>
      <c r="BI219" s="120">
        <v>0.1</v>
      </c>
      <c r="BJ219" s="118">
        <v>0.12</v>
      </c>
      <c r="BK219" s="118">
        <v>0.19</v>
      </c>
      <c r="BL219" s="119">
        <v>0.4</v>
      </c>
      <c r="BM219" s="120">
        <v>1.1399999999999999</v>
      </c>
      <c r="BN219" s="118">
        <v>0.97</v>
      </c>
      <c r="BO219" s="118">
        <v>1.74</v>
      </c>
      <c r="BP219" s="118">
        <v>1.43</v>
      </c>
      <c r="BQ219" s="118">
        <v>1.65</v>
      </c>
      <c r="BR219" s="118">
        <v>1</v>
      </c>
      <c r="BS219" s="118">
        <v>1.76</v>
      </c>
      <c r="BT219" s="118">
        <v>2.04</v>
      </c>
      <c r="BU219" s="119">
        <v>1.25</v>
      </c>
      <c r="BV219" s="74">
        <v>3887450</v>
      </c>
      <c r="BW219" s="105">
        <v>140</v>
      </c>
      <c r="BX219" s="105">
        <v>1624</v>
      </c>
      <c r="BY219" s="157">
        <v>27.8</v>
      </c>
      <c r="BZ219" s="118">
        <v>4.29</v>
      </c>
      <c r="CA219" s="248">
        <v>4.4999999999999997E-3</v>
      </c>
      <c r="CB219" s="105">
        <v>474</v>
      </c>
      <c r="CC219" s="243">
        <v>2.9999999999999997E-4</v>
      </c>
      <c r="CD219" s="105">
        <v>593</v>
      </c>
      <c r="CE219" s="99">
        <f t="shared" si="11"/>
        <v>7.1780436312456012E-3</v>
      </c>
      <c r="CF219" s="100">
        <f t="shared" si="9"/>
        <v>0.5</v>
      </c>
    </row>
    <row r="220" spans="1:84" ht="24" x14ac:dyDescent="0.25">
      <c r="A220" s="101">
        <v>219</v>
      </c>
      <c r="B220" s="102"/>
      <c r="C220" s="103" t="s">
        <v>435</v>
      </c>
      <c r="D220" s="104">
        <v>1915</v>
      </c>
      <c r="E220" s="105">
        <v>2030</v>
      </c>
      <c r="F220" s="118">
        <f t="shared" si="10"/>
        <v>3887450</v>
      </c>
      <c r="G220" s="105">
        <v>140</v>
      </c>
      <c r="H220" s="105">
        <v>1624</v>
      </c>
      <c r="I220" s="107">
        <v>0.94</v>
      </c>
      <c r="J220" s="111">
        <v>10.26</v>
      </c>
      <c r="K220" s="156">
        <v>17.899999999999999</v>
      </c>
      <c r="L220" s="157">
        <v>27.8</v>
      </c>
      <c r="M220" s="111">
        <v>0.18</v>
      </c>
      <c r="N220" s="118">
        <v>4.29</v>
      </c>
      <c r="O220" s="112" t="s">
        <v>201</v>
      </c>
      <c r="P220" s="113" t="s">
        <v>211</v>
      </c>
      <c r="Q220" s="243">
        <v>2.2000000000000001E-3</v>
      </c>
      <c r="R220" s="105">
        <v>0</v>
      </c>
      <c r="S220" s="248">
        <v>4.4999999999999997E-3</v>
      </c>
      <c r="T220" s="105">
        <v>474</v>
      </c>
      <c r="U220" s="116">
        <v>0</v>
      </c>
      <c r="V220" s="243">
        <v>2.9999999999999997E-4</v>
      </c>
      <c r="W220" s="105">
        <v>593</v>
      </c>
      <c r="X220" s="116">
        <v>638</v>
      </c>
      <c r="Y220" s="160">
        <v>0.6</v>
      </c>
      <c r="Z220" s="117">
        <v>1</v>
      </c>
      <c r="AA220" s="108">
        <v>1.5</v>
      </c>
      <c r="AB220" s="106">
        <v>9.9</v>
      </c>
      <c r="AC220" s="109">
        <v>6.5</v>
      </c>
      <c r="AD220" s="118">
        <v>0.3</v>
      </c>
      <c r="AE220" s="119">
        <v>0.54</v>
      </c>
      <c r="AF220" s="120">
        <v>0.21</v>
      </c>
      <c r="AG220" s="118">
        <v>0.08</v>
      </c>
      <c r="AH220" s="118">
        <v>0.16</v>
      </c>
      <c r="AI220" s="119">
        <v>0.44</v>
      </c>
      <c r="AJ220" s="120">
        <v>0.4</v>
      </c>
      <c r="AK220" s="118">
        <v>0.12</v>
      </c>
      <c r="AL220" s="118">
        <v>0</v>
      </c>
      <c r="AM220" s="119">
        <v>0.52</v>
      </c>
      <c r="AN220" s="120">
        <v>0</v>
      </c>
      <c r="AO220" s="118">
        <v>0.12</v>
      </c>
      <c r="AP220" s="118">
        <v>0.17</v>
      </c>
      <c r="AQ220" s="119">
        <v>0.28999999999999998</v>
      </c>
      <c r="AR220" s="120">
        <v>0.3</v>
      </c>
      <c r="AS220" s="118">
        <v>0.09</v>
      </c>
      <c r="AT220" s="118">
        <v>0.16</v>
      </c>
      <c r="AU220" s="119">
        <v>0.35</v>
      </c>
      <c r="AV220" s="120">
        <v>0.11</v>
      </c>
      <c r="AW220" s="118">
        <v>0.19</v>
      </c>
      <c r="AX220" s="118">
        <v>0</v>
      </c>
      <c r="AY220" s="119">
        <v>0.3</v>
      </c>
      <c r="AZ220" s="120">
        <v>0.19</v>
      </c>
      <c r="BA220" s="118">
        <v>0.27</v>
      </c>
      <c r="BB220" s="118">
        <v>0.04</v>
      </c>
      <c r="BC220" s="119">
        <v>0.5</v>
      </c>
      <c r="BD220" s="121">
        <v>0.28999999999999998</v>
      </c>
      <c r="BE220" s="120">
        <v>0.1</v>
      </c>
      <c r="BF220" s="118">
        <v>0</v>
      </c>
      <c r="BG220" s="118">
        <v>0.15</v>
      </c>
      <c r="BH220" s="119">
        <v>0.25</v>
      </c>
      <c r="BI220" s="120">
        <v>0.1</v>
      </c>
      <c r="BJ220" s="118">
        <v>0.12</v>
      </c>
      <c r="BK220" s="118">
        <v>0.19</v>
      </c>
      <c r="BL220" s="119">
        <v>0.4</v>
      </c>
      <c r="BM220" s="120">
        <v>1.23</v>
      </c>
      <c r="BN220" s="118">
        <v>1.05</v>
      </c>
      <c r="BO220" s="118">
        <v>1.87</v>
      </c>
      <c r="BP220" s="118">
        <v>1.55</v>
      </c>
      <c r="BQ220" s="118">
        <v>1.79</v>
      </c>
      <c r="BR220" s="118">
        <v>1.08</v>
      </c>
      <c r="BS220" s="118">
        <v>1.91</v>
      </c>
      <c r="BT220" s="118">
        <v>2.2000000000000002</v>
      </c>
      <c r="BU220" s="119">
        <v>1.35</v>
      </c>
      <c r="BV220" s="74">
        <v>3887450</v>
      </c>
      <c r="BW220" s="105">
        <v>140</v>
      </c>
      <c r="BX220" s="105">
        <v>1624</v>
      </c>
      <c r="BY220" s="157">
        <v>27.8</v>
      </c>
      <c r="BZ220" s="118">
        <v>4.29</v>
      </c>
      <c r="CA220" s="248">
        <v>4.4999999999999997E-3</v>
      </c>
      <c r="CB220" s="105">
        <v>474</v>
      </c>
      <c r="CC220" s="243">
        <v>2.9999999999999997E-4</v>
      </c>
      <c r="CD220" s="105">
        <v>593</v>
      </c>
      <c r="CE220" s="99">
        <f t="shared" si="11"/>
        <v>7.7410274454609443E-3</v>
      </c>
      <c r="CF220" s="100">
        <f t="shared" si="9"/>
        <v>0.54</v>
      </c>
    </row>
    <row r="221" spans="1:84" ht="24" x14ac:dyDescent="0.25">
      <c r="A221" s="101">
        <v>220</v>
      </c>
      <c r="B221" s="102"/>
      <c r="C221" s="103" t="s">
        <v>436</v>
      </c>
      <c r="D221" s="104">
        <v>1915</v>
      </c>
      <c r="E221" s="105">
        <v>2030</v>
      </c>
      <c r="F221" s="118">
        <f t="shared" si="10"/>
        <v>3887450</v>
      </c>
      <c r="G221" s="105">
        <v>140</v>
      </c>
      <c r="H221" s="105">
        <v>1624</v>
      </c>
      <c r="I221" s="107">
        <v>0.94</v>
      </c>
      <c r="J221" s="111">
        <v>10.26</v>
      </c>
      <c r="K221" s="156">
        <v>17.899999999999999</v>
      </c>
      <c r="L221" s="157">
        <v>27.8</v>
      </c>
      <c r="M221" s="111">
        <v>0.24</v>
      </c>
      <c r="N221" s="118">
        <v>5.27</v>
      </c>
      <c r="O221" s="112" t="s">
        <v>201</v>
      </c>
      <c r="P221" s="113" t="s">
        <v>211</v>
      </c>
      <c r="Q221" s="243">
        <v>2.2000000000000001E-3</v>
      </c>
      <c r="R221" s="105">
        <v>0</v>
      </c>
      <c r="S221" s="248">
        <v>4.4999999999999997E-3</v>
      </c>
      <c r="T221" s="105">
        <v>474</v>
      </c>
      <c r="U221" s="116">
        <v>0</v>
      </c>
      <c r="V221" s="243">
        <v>4.0000000000000002E-4</v>
      </c>
      <c r="W221" s="105">
        <v>593</v>
      </c>
      <c r="X221" s="116">
        <v>479</v>
      </c>
      <c r="Y221" s="160">
        <v>0</v>
      </c>
      <c r="Z221" s="117">
        <v>1</v>
      </c>
      <c r="AA221" s="108">
        <v>1.2</v>
      </c>
      <c r="AB221" s="106">
        <v>9.9</v>
      </c>
      <c r="AC221" s="109">
        <v>8.1999999999999993</v>
      </c>
      <c r="AD221" s="118">
        <v>0.2</v>
      </c>
      <c r="AE221" s="119">
        <v>0.46</v>
      </c>
      <c r="AF221" s="120">
        <v>0.23</v>
      </c>
      <c r="AG221" s="118">
        <v>0.1</v>
      </c>
      <c r="AH221" s="118">
        <v>0</v>
      </c>
      <c r="AI221" s="119">
        <v>0.33</v>
      </c>
      <c r="AJ221" s="120">
        <v>0.22</v>
      </c>
      <c r="AK221" s="118">
        <v>0.18</v>
      </c>
      <c r="AL221" s="118">
        <v>0</v>
      </c>
      <c r="AM221" s="119">
        <v>0.4</v>
      </c>
      <c r="AN221" s="120">
        <v>0</v>
      </c>
      <c r="AO221" s="118">
        <v>0.17</v>
      </c>
      <c r="AP221" s="118">
        <v>0</v>
      </c>
      <c r="AQ221" s="119">
        <v>0.17</v>
      </c>
      <c r="AR221" s="120">
        <v>0.33</v>
      </c>
      <c r="AS221" s="118">
        <v>0.12</v>
      </c>
      <c r="AT221" s="118">
        <v>0</v>
      </c>
      <c r="AU221" s="119">
        <v>0.39</v>
      </c>
      <c r="AV221" s="120">
        <v>0.12</v>
      </c>
      <c r="AW221" s="118">
        <v>0.26</v>
      </c>
      <c r="AX221" s="118">
        <v>0</v>
      </c>
      <c r="AY221" s="119">
        <v>0.38</v>
      </c>
      <c r="AZ221" s="120">
        <v>0.2</v>
      </c>
      <c r="BA221" s="118">
        <v>0.31</v>
      </c>
      <c r="BB221" s="118">
        <v>0</v>
      </c>
      <c r="BC221" s="119">
        <v>0.51</v>
      </c>
      <c r="BD221" s="121">
        <v>0.32</v>
      </c>
      <c r="BE221" s="120">
        <v>0.13</v>
      </c>
      <c r="BF221" s="118">
        <v>0</v>
      </c>
      <c r="BG221" s="118">
        <v>0</v>
      </c>
      <c r="BH221" s="119">
        <v>0.13</v>
      </c>
      <c r="BI221" s="120">
        <v>0.13</v>
      </c>
      <c r="BJ221" s="118">
        <v>0.16</v>
      </c>
      <c r="BK221" s="118">
        <v>0</v>
      </c>
      <c r="BL221" s="119">
        <v>0.28000000000000003</v>
      </c>
      <c r="BM221" s="120">
        <v>1.38</v>
      </c>
      <c r="BN221" s="118">
        <v>1.1499999999999999</v>
      </c>
      <c r="BO221" s="118">
        <v>2.74</v>
      </c>
      <c r="BP221" s="118">
        <v>1.17</v>
      </c>
      <c r="BQ221" s="118">
        <v>1.2</v>
      </c>
      <c r="BR221" s="118">
        <v>0.9</v>
      </c>
      <c r="BS221" s="118">
        <v>1.44</v>
      </c>
      <c r="BT221" s="118">
        <v>3.38</v>
      </c>
      <c r="BU221" s="119">
        <v>1.61</v>
      </c>
      <c r="BV221" s="74">
        <v>3887450</v>
      </c>
      <c r="BW221" s="105">
        <v>140</v>
      </c>
      <c r="BX221" s="105">
        <v>1624</v>
      </c>
      <c r="BY221" s="157">
        <v>27.8</v>
      </c>
      <c r="BZ221" s="118">
        <v>5.27</v>
      </c>
      <c r="CA221" s="248">
        <v>4.4999999999999997E-3</v>
      </c>
      <c r="CB221" s="105">
        <v>474</v>
      </c>
      <c r="CC221" s="243">
        <v>4.0000000000000002E-4</v>
      </c>
      <c r="CD221" s="105">
        <v>593</v>
      </c>
      <c r="CE221" s="99">
        <f t="shared" si="11"/>
        <v>1.1893033075299084E-2</v>
      </c>
      <c r="CF221" s="100">
        <f t="shared" si="9"/>
        <v>0.46</v>
      </c>
    </row>
    <row r="222" spans="1:84" ht="24" x14ac:dyDescent="0.25">
      <c r="A222" s="101">
        <v>221</v>
      </c>
      <c r="B222" s="102"/>
      <c r="C222" s="103" t="s">
        <v>437</v>
      </c>
      <c r="D222" s="104">
        <v>1915</v>
      </c>
      <c r="E222" s="105">
        <v>2030</v>
      </c>
      <c r="F222" s="118">
        <f t="shared" si="10"/>
        <v>3887450</v>
      </c>
      <c r="G222" s="105">
        <v>140</v>
      </c>
      <c r="H222" s="105">
        <v>1624</v>
      </c>
      <c r="I222" s="107">
        <v>0.94</v>
      </c>
      <c r="J222" s="111">
        <v>10.26</v>
      </c>
      <c r="K222" s="156">
        <v>17.899999999999999</v>
      </c>
      <c r="L222" s="157">
        <v>27.8</v>
      </c>
      <c r="M222" s="111">
        <v>0.24</v>
      </c>
      <c r="N222" s="118">
        <v>5.27</v>
      </c>
      <c r="O222" s="112" t="s">
        <v>201</v>
      </c>
      <c r="P222" s="113" t="s">
        <v>211</v>
      </c>
      <c r="Q222" s="243">
        <v>2.2000000000000001E-3</v>
      </c>
      <c r="R222" s="105">
        <v>0</v>
      </c>
      <c r="S222" s="248">
        <v>4.4999999999999997E-3</v>
      </c>
      <c r="T222" s="105">
        <v>474</v>
      </c>
      <c r="U222" s="116">
        <v>0</v>
      </c>
      <c r="V222" s="243">
        <v>4.0000000000000002E-4</v>
      </c>
      <c r="W222" s="105">
        <v>593</v>
      </c>
      <c r="X222" s="116">
        <v>479</v>
      </c>
      <c r="Y222" s="160">
        <v>0</v>
      </c>
      <c r="Z222" s="117">
        <v>1</v>
      </c>
      <c r="AA222" s="108">
        <v>1.5</v>
      </c>
      <c r="AB222" s="106">
        <v>9.8000000000000007</v>
      </c>
      <c r="AC222" s="109">
        <v>6.6</v>
      </c>
      <c r="AD222" s="118">
        <v>0.22</v>
      </c>
      <c r="AE222" s="119">
        <v>0.5</v>
      </c>
      <c r="AF222" s="120">
        <v>0.23</v>
      </c>
      <c r="AG222" s="118">
        <v>0.1</v>
      </c>
      <c r="AH222" s="118">
        <v>0</v>
      </c>
      <c r="AI222" s="119">
        <v>0.33</v>
      </c>
      <c r="AJ222" s="120">
        <v>0.22</v>
      </c>
      <c r="AK222" s="118">
        <v>0.18</v>
      </c>
      <c r="AL222" s="118">
        <v>0</v>
      </c>
      <c r="AM222" s="119">
        <v>0.4</v>
      </c>
      <c r="AN222" s="120">
        <v>0</v>
      </c>
      <c r="AO222" s="118">
        <v>0.17</v>
      </c>
      <c r="AP222" s="118">
        <v>0</v>
      </c>
      <c r="AQ222" s="119">
        <v>0.17</v>
      </c>
      <c r="AR222" s="120">
        <v>0.33</v>
      </c>
      <c r="AS222" s="118">
        <v>0.12</v>
      </c>
      <c r="AT222" s="118">
        <v>0</v>
      </c>
      <c r="AU222" s="119">
        <v>0.39</v>
      </c>
      <c r="AV222" s="120">
        <v>0.12</v>
      </c>
      <c r="AW222" s="118">
        <v>0.26</v>
      </c>
      <c r="AX222" s="118">
        <v>0</v>
      </c>
      <c r="AY222" s="119">
        <v>0.38</v>
      </c>
      <c r="AZ222" s="120">
        <v>0.2</v>
      </c>
      <c r="BA222" s="118">
        <v>0.31</v>
      </c>
      <c r="BB222" s="118">
        <v>0</v>
      </c>
      <c r="BC222" s="119">
        <v>0.51</v>
      </c>
      <c r="BD222" s="121">
        <v>0.32</v>
      </c>
      <c r="BE222" s="120">
        <v>0.13</v>
      </c>
      <c r="BF222" s="118">
        <v>0</v>
      </c>
      <c r="BG222" s="118">
        <v>0</v>
      </c>
      <c r="BH222" s="119">
        <v>0.13</v>
      </c>
      <c r="BI222" s="120">
        <v>0.13</v>
      </c>
      <c r="BJ222" s="118">
        <v>0.16</v>
      </c>
      <c r="BK222" s="118">
        <v>0</v>
      </c>
      <c r="BL222" s="119">
        <v>0.28000000000000003</v>
      </c>
      <c r="BM222" s="120">
        <v>1.52</v>
      </c>
      <c r="BN222" s="118">
        <v>1.26</v>
      </c>
      <c r="BO222" s="118">
        <v>3.02</v>
      </c>
      <c r="BP222" s="118">
        <v>1.29</v>
      </c>
      <c r="BQ222" s="118">
        <v>1.32</v>
      </c>
      <c r="BR222" s="118">
        <v>0.99</v>
      </c>
      <c r="BS222" s="118">
        <v>1.59</v>
      </c>
      <c r="BT222" s="118">
        <v>3.72</v>
      </c>
      <c r="BU222" s="119">
        <v>1.77</v>
      </c>
      <c r="BV222" s="74">
        <v>3887450</v>
      </c>
      <c r="BW222" s="105">
        <v>140</v>
      </c>
      <c r="BX222" s="105">
        <v>1624</v>
      </c>
      <c r="BY222" s="157">
        <v>27.8</v>
      </c>
      <c r="BZ222" s="118">
        <v>5.27</v>
      </c>
      <c r="CA222" s="248">
        <v>4.4999999999999997E-3</v>
      </c>
      <c r="CB222" s="105">
        <v>474</v>
      </c>
      <c r="CC222" s="243">
        <v>4.0000000000000002E-4</v>
      </c>
      <c r="CD222" s="105">
        <v>593</v>
      </c>
      <c r="CE222" s="99">
        <f t="shared" si="11"/>
        <v>1.3089373680506687E-2</v>
      </c>
      <c r="CF222" s="100">
        <f t="shared" si="9"/>
        <v>0.5</v>
      </c>
    </row>
    <row r="223" spans="1:84" ht="24" x14ac:dyDescent="0.25">
      <c r="A223" s="101">
        <v>222</v>
      </c>
      <c r="B223" s="102"/>
      <c r="C223" s="103" t="s">
        <v>438</v>
      </c>
      <c r="D223" s="104">
        <v>1915</v>
      </c>
      <c r="E223" s="105">
        <v>2030</v>
      </c>
      <c r="F223" s="118">
        <f t="shared" si="10"/>
        <v>3887450</v>
      </c>
      <c r="G223" s="105">
        <v>140</v>
      </c>
      <c r="H223" s="105">
        <v>1624</v>
      </c>
      <c r="I223" s="107">
        <v>0.94</v>
      </c>
      <c r="J223" s="111">
        <v>10.26</v>
      </c>
      <c r="K223" s="156">
        <v>17.899999999999999</v>
      </c>
      <c r="L223" s="157">
        <v>27.8</v>
      </c>
      <c r="M223" s="111">
        <v>0.24</v>
      </c>
      <c r="N223" s="118">
        <v>5.27</v>
      </c>
      <c r="O223" s="112" t="s">
        <v>201</v>
      </c>
      <c r="P223" s="113" t="s">
        <v>211</v>
      </c>
      <c r="Q223" s="243">
        <v>2.2000000000000001E-3</v>
      </c>
      <c r="R223" s="105">
        <v>0</v>
      </c>
      <c r="S223" s="248">
        <v>4.4999999999999997E-3</v>
      </c>
      <c r="T223" s="105">
        <v>474</v>
      </c>
      <c r="U223" s="116">
        <v>0</v>
      </c>
      <c r="V223" s="243">
        <v>4.0000000000000002E-4</v>
      </c>
      <c r="W223" s="105">
        <v>593</v>
      </c>
      <c r="X223" s="116">
        <v>479</v>
      </c>
      <c r="Y223" s="160">
        <v>0.59</v>
      </c>
      <c r="Z223" s="117">
        <v>1</v>
      </c>
      <c r="AA223" s="108">
        <v>1.4</v>
      </c>
      <c r="AB223" s="106">
        <v>7.7</v>
      </c>
      <c r="AC223" s="109">
        <v>5.6</v>
      </c>
      <c r="AD223" s="118">
        <v>0.33</v>
      </c>
      <c r="AE223" s="119">
        <v>0.56999999999999995</v>
      </c>
      <c r="AF223" s="120">
        <v>0.23</v>
      </c>
      <c r="AG223" s="118">
        <v>0.1</v>
      </c>
      <c r="AH223" s="118">
        <v>0.16</v>
      </c>
      <c r="AI223" s="119">
        <v>0.49</v>
      </c>
      <c r="AJ223" s="120">
        <v>0.4</v>
      </c>
      <c r="AK223" s="118">
        <v>0.18</v>
      </c>
      <c r="AL223" s="118">
        <v>0</v>
      </c>
      <c r="AM223" s="119">
        <v>0.56999999999999995</v>
      </c>
      <c r="AN223" s="120">
        <v>0</v>
      </c>
      <c r="AO223" s="118">
        <v>0.17</v>
      </c>
      <c r="AP223" s="118">
        <v>0.17</v>
      </c>
      <c r="AQ223" s="119">
        <v>0.34</v>
      </c>
      <c r="AR223" s="120">
        <v>0.33</v>
      </c>
      <c r="AS223" s="118">
        <v>0.12</v>
      </c>
      <c r="AT223" s="118">
        <v>0.16</v>
      </c>
      <c r="AU223" s="119">
        <v>0.39</v>
      </c>
      <c r="AV223" s="120">
        <v>0.12</v>
      </c>
      <c r="AW223" s="118">
        <v>0.26</v>
      </c>
      <c r="AX223" s="118">
        <v>0</v>
      </c>
      <c r="AY223" s="119">
        <v>0.38</v>
      </c>
      <c r="AZ223" s="120">
        <v>0.2</v>
      </c>
      <c r="BA223" s="118">
        <v>0.31</v>
      </c>
      <c r="BB223" s="118">
        <v>0.04</v>
      </c>
      <c r="BC223" s="119">
        <v>0.55000000000000004</v>
      </c>
      <c r="BD223" s="121">
        <v>0.32</v>
      </c>
      <c r="BE223" s="120">
        <v>0.13</v>
      </c>
      <c r="BF223" s="118">
        <v>0</v>
      </c>
      <c r="BG223" s="118">
        <v>0.14000000000000001</v>
      </c>
      <c r="BH223" s="119">
        <v>0.28000000000000003</v>
      </c>
      <c r="BI223" s="120">
        <v>0.13</v>
      </c>
      <c r="BJ223" s="118">
        <v>0.16</v>
      </c>
      <c r="BK223" s="118">
        <v>0.19</v>
      </c>
      <c r="BL223" s="119">
        <v>0.47</v>
      </c>
      <c r="BM223" s="120">
        <v>1.17</v>
      </c>
      <c r="BN223" s="118">
        <v>1</v>
      </c>
      <c r="BO223" s="118">
        <v>1.69</v>
      </c>
      <c r="BP223" s="118">
        <v>1.47</v>
      </c>
      <c r="BQ223" s="118">
        <v>1.5</v>
      </c>
      <c r="BR223" s="118">
        <v>1.04</v>
      </c>
      <c r="BS223" s="118">
        <v>1.81</v>
      </c>
      <c r="BT223" s="118">
        <v>2.04</v>
      </c>
      <c r="BU223" s="119">
        <v>1.21</v>
      </c>
      <c r="BV223" s="74">
        <v>3887450</v>
      </c>
      <c r="BW223" s="105">
        <v>140</v>
      </c>
      <c r="BX223" s="105">
        <v>1624</v>
      </c>
      <c r="BY223" s="157">
        <v>27.8</v>
      </c>
      <c r="BZ223" s="118">
        <v>5.27</v>
      </c>
      <c r="CA223" s="248">
        <v>4.4999999999999997E-3</v>
      </c>
      <c r="CB223" s="105">
        <v>474</v>
      </c>
      <c r="CC223" s="243">
        <v>4.0000000000000002E-4</v>
      </c>
      <c r="CD223" s="105">
        <v>593</v>
      </c>
      <c r="CE223" s="99">
        <f t="shared" si="11"/>
        <v>7.1780436312456012E-3</v>
      </c>
      <c r="CF223" s="100">
        <f t="shared" si="9"/>
        <v>0.56999999999999995</v>
      </c>
    </row>
    <row r="224" spans="1:84" ht="24" x14ac:dyDescent="0.25">
      <c r="A224" s="101">
        <v>223</v>
      </c>
      <c r="B224" s="102"/>
      <c r="C224" s="103" t="s">
        <v>439</v>
      </c>
      <c r="D224" s="104">
        <v>1915</v>
      </c>
      <c r="E224" s="105">
        <v>2030</v>
      </c>
      <c r="F224" s="118">
        <f t="shared" si="10"/>
        <v>3887450</v>
      </c>
      <c r="G224" s="105">
        <v>140</v>
      </c>
      <c r="H224" s="105">
        <v>1624</v>
      </c>
      <c r="I224" s="107">
        <v>0.94</v>
      </c>
      <c r="J224" s="111">
        <v>10.26</v>
      </c>
      <c r="K224" s="156">
        <v>17.899999999999999</v>
      </c>
      <c r="L224" s="157">
        <v>27.8</v>
      </c>
      <c r="M224" s="111">
        <v>0.24</v>
      </c>
      <c r="N224" s="118">
        <v>5.27</v>
      </c>
      <c r="O224" s="112" t="s">
        <v>201</v>
      </c>
      <c r="P224" s="113" t="s">
        <v>211</v>
      </c>
      <c r="Q224" s="243">
        <v>2.2000000000000001E-3</v>
      </c>
      <c r="R224" s="105">
        <v>0</v>
      </c>
      <c r="S224" s="248">
        <v>4.4999999999999997E-3</v>
      </c>
      <c r="T224" s="105">
        <v>474</v>
      </c>
      <c r="U224" s="116">
        <v>0</v>
      </c>
      <c r="V224" s="243">
        <v>4.0000000000000002E-4</v>
      </c>
      <c r="W224" s="105">
        <v>593</v>
      </c>
      <c r="X224" s="116">
        <v>479</v>
      </c>
      <c r="Y224" s="160">
        <v>0.59</v>
      </c>
      <c r="Z224" s="117">
        <v>1</v>
      </c>
      <c r="AA224" s="108">
        <v>1.5</v>
      </c>
      <c r="AB224" s="106">
        <v>9.5</v>
      </c>
      <c r="AC224" s="109">
        <v>6.2</v>
      </c>
      <c r="AD224" s="118">
        <v>0.34</v>
      </c>
      <c r="AE224" s="119">
        <v>0.61</v>
      </c>
      <c r="AF224" s="120">
        <v>0.23</v>
      </c>
      <c r="AG224" s="118">
        <v>0.1</v>
      </c>
      <c r="AH224" s="118">
        <v>0.16</v>
      </c>
      <c r="AI224" s="119">
        <v>0.49</v>
      </c>
      <c r="AJ224" s="120">
        <v>0.4</v>
      </c>
      <c r="AK224" s="118">
        <v>0.18</v>
      </c>
      <c r="AL224" s="118">
        <v>0</v>
      </c>
      <c r="AM224" s="119">
        <v>0.56999999999999995</v>
      </c>
      <c r="AN224" s="120">
        <v>0</v>
      </c>
      <c r="AO224" s="118">
        <v>0.17</v>
      </c>
      <c r="AP224" s="118">
        <v>0.17</v>
      </c>
      <c r="AQ224" s="119">
        <v>0.34</v>
      </c>
      <c r="AR224" s="120">
        <v>0.33</v>
      </c>
      <c r="AS224" s="118">
        <v>0.12</v>
      </c>
      <c r="AT224" s="118">
        <v>0.16</v>
      </c>
      <c r="AU224" s="119">
        <v>0.39</v>
      </c>
      <c r="AV224" s="120">
        <v>0.12</v>
      </c>
      <c r="AW224" s="118">
        <v>0.26</v>
      </c>
      <c r="AX224" s="118">
        <v>0</v>
      </c>
      <c r="AY224" s="119">
        <v>0.38</v>
      </c>
      <c r="AZ224" s="120">
        <v>0.2</v>
      </c>
      <c r="BA224" s="118">
        <v>0.31</v>
      </c>
      <c r="BB224" s="118">
        <v>0.04</v>
      </c>
      <c r="BC224" s="119">
        <v>0.55000000000000004</v>
      </c>
      <c r="BD224" s="121">
        <v>0.32</v>
      </c>
      <c r="BE224" s="120">
        <v>0.13</v>
      </c>
      <c r="BF224" s="118">
        <v>0</v>
      </c>
      <c r="BG224" s="118">
        <v>0.14000000000000001</v>
      </c>
      <c r="BH224" s="119">
        <v>0.28000000000000003</v>
      </c>
      <c r="BI224" s="120">
        <v>0.13</v>
      </c>
      <c r="BJ224" s="118">
        <v>0.16</v>
      </c>
      <c r="BK224" s="118">
        <v>0.19</v>
      </c>
      <c r="BL224" s="119">
        <v>0.47</v>
      </c>
      <c r="BM224" s="120">
        <v>1.25</v>
      </c>
      <c r="BN224" s="118">
        <v>1.07</v>
      </c>
      <c r="BO224" s="118">
        <v>1.81</v>
      </c>
      <c r="BP224" s="118">
        <v>1.57</v>
      </c>
      <c r="BQ224" s="118">
        <v>1.6</v>
      </c>
      <c r="BR224" s="118">
        <v>1.1100000000000001</v>
      </c>
      <c r="BS224" s="118">
        <v>1.93</v>
      </c>
      <c r="BT224" s="118">
        <v>2.19</v>
      </c>
      <c r="BU224" s="119">
        <v>1.3</v>
      </c>
      <c r="BV224" s="74">
        <v>3887450</v>
      </c>
      <c r="BW224" s="105">
        <v>140</v>
      </c>
      <c r="BX224" s="105">
        <v>1624</v>
      </c>
      <c r="BY224" s="157">
        <v>27.8</v>
      </c>
      <c r="BZ224" s="118">
        <v>5.27</v>
      </c>
      <c r="CA224" s="248">
        <v>4.4999999999999997E-3</v>
      </c>
      <c r="CB224" s="105">
        <v>474</v>
      </c>
      <c r="CC224" s="243">
        <v>4.0000000000000002E-4</v>
      </c>
      <c r="CD224" s="105">
        <v>593</v>
      </c>
      <c r="CE224" s="99">
        <f t="shared" si="11"/>
        <v>7.705840957072484E-3</v>
      </c>
      <c r="CF224" s="100">
        <f t="shared" si="9"/>
        <v>0.61</v>
      </c>
    </row>
    <row r="225" spans="1:84" ht="24" x14ac:dyDescent="0.25">
      <c r="A225" s="101">
        <v>224</v>
      </c>
      <c r="B225" s="102"/>
      <c r="C225" s="103" t="s">
        <v>440</v>
      </c>
      <c r="D225" s="104">
        <v>1915</v>
      </c>
      <c r="E225" s="105">
        <v>2030</v>
      </c>
      <c r="F225" s="118">
        <f t="shared" si="10"/>
        <v>3887450</v>
      </c>
      <c r="G225" s="105">
        <v>140</v>
      </c>
      <c r="H225" s="105">
        <v>1624</v>
      </c>
      <c r="I225" s="107">
        <v>0.94</v>
      </c>
      <c r="J225" s="111">
        <v>10.26</v>
      </c>
      <c r="K225" s="156">
        <v>17.899999999999999</v>
      </c>
      <c r="L225" s="157">
        <v>27.8</v>
      </c>
      <c r="M225" s="111">
        <v>0.3</v>
      </c>
      <c r="N225" s="118">
        <v>4.3600000000000003</v>
      </c>
      <c r="O225" s="112" t="s">
        <v>201</v>
      </c>
      <c r="P225" s="113" t="s">
        <v>211</v>
      </c>
      <c r="Q225" s="243">
        <v>2.2000000000000001E-3</v>
      </c>
      <c r="R225" s="105">
        <v>0</v>
      </c>
      <c r="S225" s="248">
        <v>4.4999999999999997E-3</v>
      </c>
      <c r="T225" s="105">
        <v>474</v>
      </c>
      <c r="U225" s="116">
        <v>0</v>
      </c>
      <c r="V225" s="243">
        <v>5.0000000000000001E-4</v>
      </c>
      <c r="W225" s="105">
        <v>593</v>
      </c>
      <c r="X225" s="116">
        <v>383</v>
      </c>
      <c r="Y225" s="160">
        <v>0.61</v>
      </c>
      <c r="Z225" s="117">
        <v>1</v>
      </c>
      <c r="AA225" s="108">
        <v>1.5</v>
      </c>
      <c r="AB225" s="106">
        <v>9.8000000000000007</v>
      </c>
      <c r="AC225" s="109">
        <v>6.4</v>
      </c>
      <c r="AD225" s="118">
        <v>0.28000000000000003</v>
      </c>
      <c r="AE225" s="119">
        <v>0.53</v>
      </c>
      <c r="AF225" s="120">
        <v>0.21</v>
      </c>
      <c r="AG225" s="118">
        <v>0.13</v>
      </c>
      <c r="AH225" s="118">
        <v>0.16</v>
      </c>
      <c r="AI225" s="119">
        <v>0.5</v>
      </c>
      <c r="AJ225" s="120">
        <v>0.4</v>
      </c>
      <c r="AK225" s="118">
        <v>0.23</v>
      </c>
      <c r="AL225" s="118">
        <v>0</v>
      </c>
      <c r="AM225" s="119">
        <v>0.64</v>
      </c>
      <c r="AN225" s="120">
        <v>0</v>
      </c>
      <c r="AO225" s="118">
        <v>0.21</v>
      </c>
      <c r="AP225" s="118">
        <v>0.17</v>
      </c>
      <c r="AQ225" s="119">
        <v>0.38</v>
      </c>
      <c r="AR225" s="120">
        <v>0.3</v>
      </c>
      <c r="AS225" s="118">
        <v>0.16</v>
      </c>
      <c r="AT225" s="118">
        <v>0.16</v>
      </c>
      <c r="AU225" s="119">
        <v>0.35</v>
      </c>
      <c r="AV225" s="120">
        <v>0.11</v>
      </c>
      <c r="AW225" s="118">
        <v>0.32</v>
      </c>
      <c r="AX225" s="118">
        <v>0</v>
      </c>
      <c r="AY225" s="119">
        <v>0.44</v>
      </c>
      <c r="AZ225" s="120">
        <v>0.19</v>
      </c>
      <c r="BA225" s="118">
        <v>0.35</v>
      </c>
      <c r="BB225" s="118">
        <v>0.04</v>
      </c>
      <c r="BC225" s="119">
        <v>0.57999999999999996</v>
      </c>
      <c r="BD225" s="121">
        <v>0.28999999999999998</v>
      </c>
      <c r="BE225" s="120">
        <v>0.17</v>
      </c>
      <c r="BF225" s="118">
        <v>0</v>
      </c>
      <c r="BG225" s="118">
        <v>0.15</v>
      </c>
      <c r="BH225" s="119">
        <v>0.32</v>
      </c>
      <c r="BI225" s="120">
        <v>0.16</v>
      </c>
      <c r="BJ225" s="118">
        <v>0.19</v>
      </c>
      <c r="BK225" s="118">
        <v>0.19</v>
      </c>
      <c r="BL225" s="119">
        <v>0.55000000000000004</v>
      </c>
      <c r="BM225" s="120">
        <v>1.07</v>
      </c>
      <c r="BN225" s="118">
        <v>0.83</v>
      </c>
      <c r="BO225" s="118">
        <v>1.41</v>
      </c>
      <c r="BP225" s="118">
        <v>1.5</v>
      </c>
      <c r="BQ225" s="118">
        <v>1.22</v>
      </c>
      <c r="BR225" s="118">
        <v>0.91</v>
      </c>
      <c r="BS225" s="118">
        <v>1.84</v>
      </c>
      <c r="BT225" s="118">
        <v>1.67</v>
      </c>
      <c r="BU225" s="119">
        <v>0.97</v>
      </c>
      <c r="BV225" s="74">
        <v>3887450</v>
      </c>
      <c r="BW225" s="105">
        <v>140</v>
      </c>
      <c r="BX225" s="105">
        <v>1624</v>
      </c>
      <c r="BY225" s="157">
        <v>27.8</v>
      </c>
      <c r="BZ225" s="118">
        <v>4.3600000000000003</v>
      </c>
      <c r="CA225" s="248">
        <v>4.4999999999999997E-3</v>
      </c>
      <c r="CB225" s="105">
        <v>474</v>
      </c>
      <c r="CC225" s="243">
        <v>5.0000000000000001E-4</v>
      </c>
      <c r="CD225" s="105">
        <v>593</v>
      </c>
      <c r="CE225" s="99">
        <f t="shared" si="11"/>
        <v>5.8761435608726247E-3</v>
      </c>
      <c r="CF225" s="100">
        <f t="shared" si="9"/>
        <v>0.53</v>
      </c>
    </row>
    <row r="226" spans="1:84" ht="24" x14ac:dyDescent="0.25">
      <c r="A226" s="128">
        <v>225</v>
      </c>
      <c r="B226" s="129"/>
      <c r="C226" s="130" t="s">
        <v>441</v>
      </c>
      <c r="D226" s="131">
        <v>1915</v>
      </c>
      <c r="E226" s="132">
        <v>2030</v>
      </c>
      <c r="F226" s="145">
        <f t="shared" si="10"/>
        <v>3887450</v>
      </c>
      <c r="G226" s="132">
        <v>140</v>
      </c>
      <c r="H226" s="132">
        <v>1624</v>
      </c>
      <c r="I226" s="134">
        <v>0.94</v>
      </c>
      <c r="J226" s="138">
        <v>10.26</v>
      </c>
      <c r="K226" s="165">
        <v>17.899999999999999</v>
      </c>
      <c r="L226" s="181">
        <v>27.8</v>
      </c>
      <c r="M226" s="138">
        <v>0.3</v>
      </c>
      <c r="N226" s="145">
        <v>4.3600000000000003</v>
      </c>
      <c r="O226" s="139" t="s">
        <v>201</v>
      </c>
      <c r="P226" s="140" t="s">
        <v>211</v>
      </c>
      <c r="Q226" s="244">
        <v>2.2000000000000001E-3</v>
      </c>
      <c r="R226" s="132">
        <v>0</v>
      </c>
      <c r="S226" s="249">
        <v>4.4999999999999997E-3</v>
      </c>
      <c r="T226" s="132">
        <v>474</v>
      </c>
      <c r="U226" s="143">
        <v>0</v>
      </c>
      <c r="V226" s="244">
        <v>5.0000000000000001E-4</v>
      </c>
      <c r="W226" s="132">
        <v>593</v>
      </c>
      <c r="X226" s="143">
        <v>383</v>
      </c>
      <c r="Y226" s="167">
        <v>0.61</v>
      </c>
      <c r="Z226" s="144">
        <v>1</v>
      </c>
      <c r="AA226" s="135">
        <v>1.5</v>
      </c>
      <c r="AB226" s="133">
        <v>11.7</v>
      </c>
      <c r="AC226" s="136">
        <v>7.8</v>
      </c>
      <c r="AD226" s="145">
        <v>0.28000000000000003</v>
      </c>
      <c r="AE226" s="146">
        <v>0.6</v>
      </c>
      <c r="AF226" s="147">
        <v>0.21</v>
      </c>
      <c r="AG226" s="145">
        <v>0.13</v>
      </c>
      <c r="AH226" s="145">
        <v>0.16</v>
      </c>
      <c r="AI226" s="146">
        <v>0.5</v>
      </c>
      <c r="AJ226" s="147">
        <v>0.4</v>
      </c>
      <c r="AK226" s="145">
        <v>0.23</v>
      </c>
      <c r="AL226" s="145">
        <v>0</v>
      </c>
      <c r="AM226" s="146">
        <v>0.64</v>
      </c>
      <c r="AN226" s="147">
        <v>0</v>
      </c>
      <c r="AO226" s="145">
        <v>0.21</v>
      </c>
      <c r="AP226" s="145">
        <v>0.17</v>
      </c>
      <c r="AQ226" s="146">
        <v>0.38</v>
      </c>
      <c r="AR226" s="147">
        <v>0.3</v>
      </c>
      <c r="AS226" s="145">
        <v>0.16</v>
      </c>
      <c r="AT226" s="145">
        <v>0.16</v>
      </c>
      <c r="AU226" s="146">
        <v>0.35</v>
      </c>
      <c r="AV226" s="147">
        <v>0.11</v>
      </c>
      <c r="AW226" s="145">
        <v>0.32</v>
      </c>
      <c r="AX226" s="145">
        <v>0</v>
      </c>
      <c r="AY226" s="146">
        <v>0.44</v>
      </c>
      <c r="AZ226" s="147">
        <v>0.19</v>
      </c>
      <c r="BA226" s="145">
        <v>0.35</v>
      </c>
      <c r="BB226" s="145">
        <v>0.05</v>
      </c>
      <c r="BC226" s="146">
        <v>0.57999999999999996</v>
      </c>
      <c r="BD226" s="148">
        <v>0.28999999999999998</v>
      </c>
      <c r="BE226" s="147">
        <v>0.17</v>
      </c>
      <c r="BF226" s="145">
        <v>0</v>
      </c>
      <c r="BG226" s="145">
        <v>0.15</v>
      </c>
      <c r="BH226" s="146">
        <v>0.32</v>
      </c>
      <c r="BI226" s="147">
        <v>0.16</v>
      </c>
      <c r="BJ226" s="145">
        <v>0.19</v>
      </c>
      <c r="BK226" s="145">
        <v>0.19</v>
      </c>
      <c r="BL226" s="146">
        <v>0.55000000000000004</v>
      </c>
      <c r="BM226" s="147">
        <v>1.21</v>
      </c>
      <c r="BN226" s="145">
        <v>0.94</v>
      </c>
      <c r="BO226" s="145">
        <v>1.6</v>
      </c>
      <c r="BP226" s="145">
        <v>1.7</v>
      </c>
      <c r="BQ226" s="145">
        <v>1.38</v>
      </c>
      <c r="BR226" s="145">
        <v>1.04</v>
      </c>
      <c r="BS226" s="145">
        <v>2.09</v>
      </c>
      <c r="BT226" s="145">
        <v>1.9</v>
      </c>
      <c r="BU226" s="146">
        <v>1.1000000000000001</v>
      </c>
      <c r="BV226" s="74">
        <v>3887450</v>
      </c>
      <c r="BW226" s="132">
        <v>140</v>
      </c>
      <c r="BX226" s="132">
        <v>1624</v>
      </c>
      <c r="BY226" s="181">
        <v>27.8</v>
      </c>
      <c r="BZ226" s="145">
        <v>4.3600000000000003</v>
      </c>
      <c r="CA226" s="249">
        <v>4.4999999999999997E-3</v>
      </c>
      <c r="CB226" s="132">
        <v>474</v>
      </c>
      <c r="CC226" s="244">
        <v>5.0000000000000001E-4</v>
      </c>
      <c r="CD226" s="132">
        <v>593</v>
      </c>
      <c r="CE226" s="179">
        <f t="shared" si="11"/>
        <v>6.6854327938071778E-3</v>
      </c>
      <c r="CF226" s="180">
        <f t="shared" si="9"/>
        <v>0.6</v>
      </c>
    </row>
    <row r="227" spans="1:84" ht="14.25" hidden="1" customHeight="1" x14ac:dyDescent="0.25">
      <c r="A227" s="78">
        <v>226</v>
      </c>
      <c r="B227" s="79" t="s">
        <v>442</v>
      </c>
      <c r="C227" s="80" t="s">
        <v>443</v>
      </c>
      <c r="D227" s="81">
        <v>1170</v>
      </c>
      <c r="E227" s="82">
        <v>1040</v>
      </c>
      <c r="F227" s="95">
        <f t="shared" si="10"/>
        <v>1216800</v>
      </c>
      <c r="G227" s="251">
        <v>140</v>
      </c>
      <c r="H227" s="82">
        <v>832</v>
      </c>
      <c r="I227" s="84">
        <v>1.1299999999999999</v>
      </c>
      <c r="J227" s="252">
        <v>21.88</v>
      </c>
      <c r="K227" s="150">
        <v>17.899999999999999</v>
      </c>
      <c r="L227" s="151">
        <v>27.8</v>
      </c>
      <c r="M227" s="253">
        <v>0.18</v>
      </c>
      <c r="N227" s="95">
        <v>3.93</v>
      </c>
      <c r="O227" s="89" t="s">
        <v>201</v>
      </c>
      <c r="P227" s="90" t="s">
        <v>202</v>
      </c>
      <c r="Q227" s="250">
        <v>8.0000000000000004E-4</v>
      </c>
      <c r="R227" s="82">
        <v>0</v>
      </c>
      <c r="S227" s="246">
        <v>1.6000000000000001E-3</v>
      </c>
      <c r="T227" s="82">
        <v>420</v>
      </c>
      <c r="U227" s="93">
        <v>1040</v>
      </c>
      <c r="V227" s="81">
        <v>0</v>
      </c>
      <c r="W227" s="82">
        <v>0</v>
      </c>
      <c r="X227" s="93">
        <v>0</v>
      </c>
      <c r="Y227" s="94">
        <v>0</v>
      </c>
      <c r="Z227" s="94">
        <v>1</v>
      </c>
      <c r="AA227" s="85">
        <v>1.4</v>
      </c>
      <c r="AB227" s="83">
        <v>7.1</v>
      </c>
      <c r="AC227" s="86">
        <v>5</v>
      </c>
      <c r="AD227" s="95">
        <v>0.15</v>
      </c>
      <c r="AE227" s="96">
        <v>0.26</v>
      </c>
      <c r="AF227" s="97">
        <v>0.19</v>
      </c>
      <c r="AG227" s="95">
        <v>0</v>
      </c>
      <c r="AH227" s="95">
        <v>0</v>
      </c>
      <c r="AI227" s="96">
        <v>0.19</v>
      </c>
      <c r="AJ227" s="97">
        <v>0.21</v>
      </c>
      <c r="AK227" s="95">
        <v>0</v>
      </c>
      <c r="AL227" s="95">
        <v>0</v>
      </c>
      <c r="AM227" s="96">
        <v>0.21</v>
      </c>
      <c r="AN227" s="97">
        <v>0</v>
      </c>
      <c r="AO227" s="95">
        <v>0</v>
      </c>
      <c r="AP227" s="95">
        <v>0</v>
      </c>
      <c r="AQ227" s="96">
        <v>0</v>
      </c>
      <c r="AR227" s="97">
        <v>0.25</v>
      </c>
      <c r="AS227" s="95">
        <v>0</v>
      </c>
      <c r="AT227" s="95">
        <v>0</v>
      </c>
      <c r="AU227" s="96">
        <v>0.25</v>
      </c>
      <c r="AV227" s="97">
        <v>0.1</v>
      </c>
      <c r="AW227" s="95">
        <v>0</v>
      </c>
      <c r="AX227" s="95">
        <v>0</v>
      </c>
      <c r="AY227" s="96">
        <v>0.1</v>
      </c>
      <c r="AZ227" s="97">
        <v>0.12</v>
      </c>
      <c r="BA227" s="95">
        <v>0</v>
      </c>
      <c r="BB227" s="95">
        <v>0</v>
      </c>
      <c r="BC227" s="96">
        <v>0.12</v>
      </c>
      <c r="BD227" s="98">
        <v>0.12</v>
      </c>
      <c r="BE227" s="97">
        <v>0.08</v>
      </c>
      <c r="BF227" s="95">
        <v>0</v>
      </c>
      <c r="BG227" s="95">
        <v>0</v>
      </c>
      <c r="BH227" s="96">
        <v>0.08</v>
      </c>
      <c r="BI227" s="97">
        <v>0.09</v>
      </c>
      <c r="BJ227" s="95">
        <v>0</v>
      </c>
      <c r="BK227" s="95">
        <v>0</v>
      </c>
      <c r="BL227" s="96">
        <v>0.09</v>
      </c>
      <c r="BM227" s="97">
        <v>1.4</v>
      </c>
      <c r="BN227" s="95">
        <v>1.24</v>
      </c>
      <c r="BO227" s="190"/>
      <c r="BP227" s="95">
        <v>1.02</v>
      </c>
      <c r="BQ227" s="95">
        <v>2.63</v>
      </c>
      <c r="BR227" s="95">
        <v>2.11</v>
      </c>
      <c r="BS227" s="95">
        <v>2.19</v>
      </c>
      <c r="BT227" s="95">
        <v>3.23</v>
      </c>
      <c r="BU227" s="96">
        <v>2.87</v>
      </c>
      <c r="BV227" s="74">
        <v>1216800</v>
      </c>
      <c r="BW227" s="251">
        <v>140</v>
      </c>
      <c r="BX227" s="82">
        <v>832</v>
      </c>
      <c r="BY227" s="151">
        <v>27.8</v>
      </c>
      <c r="BZ227" s="95">
        <v>3.93</v>
      </c>
      <c r="CA227" s="246">
        <v>1.6000000000000001E-3</v>
      </c>
      <c r="CB227" s="82">
        <v>420</v>
      </c>
      <c r="CC227" s="81">
        <v>0</v>
      </c>
      <c r="CD227" s="82">
        <v>0</v>
      </c>
      <c r="CE227" s="99">
        <f t="shared" si="11"/>
        <v>2.2184065934065932E-2</v>
      </c>
      <c r="CF227" s="100">
        <f t="shared" si="9"/>
        <v>0.26</v>
      </c>
    </row>
    <row r="228" spans="1:84" hidden="1" x14ac:dyDescent="0.25">
      <c r="A228" s="101">
        <v>227</v>
      </c>
      <c r="B228" s="102"/>
      <c r="C228" s="103" t="s">
        <v>444</v>
      </c>
      <c r="D228" s="104">
        <v>1170</v>
      </c>
      <c r="E228" s="105">
        <v>1040</v>
      </c>
      <c r="F228" s="118">
        <f t="shared" si="10"/>
        <v>1216800</v>
      </c>
      <c r="G228" s="254">
        <v>140</v>
      </c>
      <c r="H228" s="105">
        <v>832</v>
      </c>
      <c r="I228" s="107">
        <v>1.1299999999999999</v>
      </c>
      <c r="J228" s="255">
        <v>21.88</v>
      </c>
      <c r="K228" s="156">
        <v>17.899999999999999</v>
      </c>
      <c r="L228" s="157">
        <v>27.8</v>
      </c>
      <c r="M228" s="256">
        <v>0.18</v>
      </c>
      <c r="N228" s="118">
        <v>3.93</v>
      </c>
      <c r="O228" s="112" t="s">
        <v>201</v>
      </c>
      <c r="P228" s="113" t="s">
        <v>202</v>
      </c>
      <c r="Q228" s="243">
        <v>8.0000000000000004E-4</v>
      </c>
      <c r="R228" s="105">
        <v>0</v>
      </c>
      <c r="S228" s="248">
        <v>1.6000000000000001E-3</v>
      </c>
      <c r="T228" s="105">
        <v>420</v>
      </c>
      <c r="U228" s="116">
        <v>1040</v>
      </c>
      <c r="V228" s="104">
        <v>0</v>
      </c>
      <c r="W228" s="105">
        <v>0</v>
      </c>
      <c r="X228" s="116">
        <v>0</v>
      </c>
      <c r="Y228" s="117">
        <v>0</v>
      </c>
      <c r="Z228" s="117">
        <v>1</v>
      </c>
      <c r="AA228" s="108">
        <v>0.4</v>
      </c>
      <c r="AB228" s="106">
        <v>8.5</v>
      </c>
      <c r="AC228" s="109">
        <v>23.4</v>
      </c>
      <c r="AD228" s="118">
        <v>0.11</v>
      </c>
      <c r="AE228" s="119">
        <v>0.24</v>
      </c>
      <c r="AF228" s="120">
        <v>0.19</v>
      </c>
      <c r="AG228" s="118">
        <v>0</v>
      </c>
      <c r="AH228" s="118">
        <v>0</v>
      </c>
      <c r="AI228" s="119">
        <v>0.19</v>
      </c>
      <c r="AJ228" s="120">
        <v>0.21</v>
      </c>
      <c r="AK228" s="118">
        <v>0</v>
      </c>
      <c r="AL228" s="118">
        <v>0</v>
      </c>
      <c r="AM228" s="119">
        <v>0.21</v>
      </c>
      <c r="AN228" s="120">
        <v>0</v>
      </c>
      <c r="AO228" s="118">
        <v>0</v>
      </c>
      <c r="AP228" s="118">
        <v>0</v>
      </c>
      <c r="AQ228" s="119">
        <v>0</v>
      </c>
      <c r="AR228" s="120">
        <v>0.25</v>
      </c>
      <c r="AS228" s="118">
        <v>0</v>
      </c>
      <c r="AT228" s="118">
        <v>0</v>
      </c>
      <c r="AU228" s="119">
        <v>0.25</v>
      </c>
      <c r="AV228" s="120">
        <v>0.1</v>
      </c>
      <c r="AW228" s="118">
        <v>0</v>
      </c>
      <c r="AX228" s="118">
        <v>0</v>
      </c>
      <c r="AY228" s="119">
        <v>0.1</v>
      </c>
      <c r="AZ228" s="120">
        <v>0.12</v>
      </c>
      <c r="BA228" s="118">
        <v>0</v>
      </c>
      <c r="BB228" s="118">
        <v>0</v>
      </c>
      <c r="BC228" s="119">
        <v>0.12</v>
      </c>
      <c r="BD228" s="121">
        <v>0.12</v>
      </c>
      <c r="BE228" s="120">
        <v>0.08</v>
      </c>
      <c r="BF228" s="118">
        <v>0</v>
      </c>
      <c r="BG228" s="118">
        <v>0</v>
      </c>
      <c r="BH228" s="119">
        <v>0.08</v>
      </c>
      <c r="BI228" s="120">
        <v>0.09</v>
      </c>
      <c r="BJ228" s="118">
        <v>0</v>
      </c>
      <c r="BK228" s="118">
        <v>0</v>
      </c>
      <c r="BL228" s="119">
        <v>0.09</v>
      </c>
      <c r="BM228" s="120">
        <v>1.3</v>
      </c>
      <c r="BN228" s="118">
        <v>1.1399999999999999</v>
      </c>
      <c r="BO228" s="124"/>
      <c r="BP228" s="118">
        <v>0.95</v>
      </c>
      <c r="BQ228" s="118">
        <v>2.4300000000000002</v>
      </c>
      <c r="BR228" s="118">
        <v>1.95</v>
      </c>
      <c r="BS228" s="118">
        <v>2.02</v>
      </c>
      <c r="BT228" s="118">
        <v>2.98</v>
      </c>
      <c r="BU228" s="119">
        <v>2.65</v>
      </c>
      <c r="BV228" s="74">
        <v>1216800</v>
      </c>
      <c r="BW228" s="254">
        <v>140</v>
      </c>
      <c r="BX228" s="105">
        <v>832</v>
      </c>
      <c r="BY228" s="157">
        <v>27.8</v>
      </c>
      <c r="BZ228" s="118">
        <v>3.93</v>
      </c>
      <c r="CA228" s="248">
        <v>1.6000000000000001E-3</v>
      </c>
      <c r="CB228" s="105">
        <v>420</v>
      </c>
      <c r="CC228" s="104">
        <v>0</v>
      </c>
      <c r="CD228" s="105">
        <v>0</v>
      </c>
      <c r="CE228" s="99">
        <f t="shared" si="11"/>
        <v>2.0467032967032964E-2</v>
      </c>
      <c r="CF228" s="100">
        <f t="shared" si="9"/>
        <v>0.24</v>
      </c>
    </row>
    <row r="229" spans="1:84" hidden="1" x14ac:dyDescent="0.25">
      <c r="A229" s="101">
        <v>228</v>
      </c>
      <c r="B229" s="102"/>
      <c r="C229" s="103" t="s">
        <v>445</v>
      </c>
      <c r="D229" s="104">
        <v>1170</v>
      </c>
      <c r="E229" s="105">
        <v>1040</v>
      </c>
      <c r="F229" s="118">
        <f t="shared" si="10"/>
        <v>1216800</v>
      </c>
      <c r="G229" s="254">
        <v>140</v>
      </c>
      <c r="H229" s="105">
        <v>832</v>
      </c>
      <c r="I229" s="107">
        <v>1.1299999999999999</v>
      </c>
      <c r="J229" s="255">
        <v>21.88</v>
      </c>
      <c r="K229" s="156">
        <v>17.899999999999999</v>
      </c>
      <c r="L229" s="157">
        <v>27.8</v>
      </c>
      <c r="M229" s="256">
        <v>0.48</v>
      </c>
      <c r="N229" s="118">
        <v>6.65</v>
      </c>
      <c r="O229" s="112" t="s">
        <v>210</v>
      </c>
      <c r="P229" s="113" t="s">
        <v>202</v>
      </c>
      <c r="Q229" s="243">
        <v>8.0000000000000004E-4</v>
      </c>
      <c r="R229" s="105">
        <v>0</v>
      </c>
      <c r="S229" s="248">
        <v>1.6000000000000001E-3</v>
      </c>
      <c r="T229" s="105">
        <v>420</v>
      </c>
      <c r="U229" s="116">
        <v>1040</v>
      </c>
      <c r="V229" s="104">
        <v>0</v>
      </c>
      <c r="W229" s="105">
        <v>0</v>
      </c>
      <c r="X229" s="116">
        <v>0</v>
      </c>
      <c r="Y229" s="117">
        <v>0</v>
      </c>
      <c r="Z229" s="117">
        <v>1</v>
      </c>
      <c r="AA229" s="108">
        <v>0.7</v>
      </c>
      <c r="AB229" s="106">
        <v>9.5</v>
      </c>
      <c r="AC229" s="109">
        <v>13.3</v>
      </c>
      <c r="AD229" s="118">
        <v>0.14000000000000001</v>
      </c>
      <c r="AE229" s="119">
        <v>0.34</v>
      </c>
      <c r="AF229" s="120">
        <v>0.48</v>
      </c>
      <c r="AG229" s="118">
        <v>0</v>
      </c>
      <c r="AH229" s="118">
        <v>0</v>
      </c>
      <c r="AI229" s="119">
        <v>0.48</v>
      </c>
      <c r="AJ229" s="120">
        <v>0.21</v>
      </c>
      <c r="AK229" s="118">
        <v>0</v>
      </c>
      <c r="AL229" s="118">
        <v>0</v>
      </c>
      <c r="AM229" s="119">
        <v>0.21</v>
      </c>
      <c r="AN229" s="120">
        <v>0</v>
      </c>
      <c r="AO229" s="118">
        <v>0</v>
      </c>
      <c r="AP229" s="118">
        <v>0</v>
      </c>
      <c r="AQ229" s="119">
        <v>0</v>
      </c>
      <c r="AR229" s="120">
        <v>0.33</v>
      </c>
      <c r="AS229" s="118">
        <v>0</v>
      </c>
      <c r="AT229" s="118">
        <v>0</v>
      </c>
      <c r="AU229" s="119">
        <v>0.33</v>
      </c>
      <c r="AV229" s="120">
        <v>0.26</v>
      </c>
      <c r="AW229" s="118">
        <v>0</v>
      </c>
      <c r="AX229" s="118">
        <v>0</v>
      </c>
      <c r="AY229" s="119">
        <v>0.26</v>
      </c>
      <c r="AZ229" s="120">
        <v>0.14000000000000001</v>
      </c>
      <c r="BA229" s="118">
        <v>0</v>
      </c>
      <c r="BB229" s="118">
        <v>0</v>
      </c>
      <c r="BC229" s="119">
        <v>0.14000000000000001</v>
      </c>
      <c r="BD229" s="121">
        <v>0.15</v>
      </c>
      <c r="BE229" s="120">
        <v>0.21</v>
      </c>
      <c r="BF229" s="118">
        <v>0</v>
      </c>
      <c r="BG229" s="118">
        <v>0</v>
      </c>
      <c r="BH229" s="119">
        <v>0.21</v>
      </c>
      <c r="BI229" s="120">
        <v>0.24</v>
      </c>
      <c r="BJ229" s="118">
        <v>0</v>
      </c>
      <c r="BK229" s="118">
        <v>0</v>
      </c>
      <c r="BL229" s="119">
        <v>0.24</v>
      </c>
      <c r="BM229" s="120">
        <v>0.71</v>
      </c>
      <c r="BN229" s="118">
        <v>1.62</v>
      </c>
      <c r="BO229" s="124"/>
      <c r="BP229" s="118">
        <v>1.03</v>
      </c>
      <c r="BQ229" s="118">
        <v>1.32</v>
      </c>
      <c r="BR229" s="118">
        <v>2.4500000000000002</v>
      </c>
      <c r="BS229" s="118">
        <v>2.2000000000000002</v>
      </c>
      <c r="BT229" s="118">
        <v>1.6</v>
      </c>
      <c r="BU229" s="119">
        <v>1.42</v>
      </c>
      <c r="BV229" s="74">
        <v>1216800</v>
      </c>
      <c r="BW229" s="254">
        <v>140</v>
      </c>
      <c r="BX229" s="105">
        <v>832</v>
      </c>
      <c r="BY229" s="157">
        <v>27.8</v>
      </c>
      <c r="BZ229" s="118">
        <v>6.65</v>
      </c>
      <c r="CA229" s="248">
        <v>1.6000000000000001E-3</v>
      </c>
      <c r="CB229" s="105">
        <v>420</v>
      </c>
      <c r="CC229" s="104">
        <v>0</v>
      </c>
      <c r="CD229" s="105">
        <v>0</v>
      </c>
      <c r="CE229" s="99">
        <f t="shared" si="11"/>
        <v>1.098901098901099E-2</v>
      </c>
      <c r="CF229" s="100">
        <f t="shared" si="9"/>
        <v>0.34</v>
      </c>
    </row>
    <row r="230" spans="1:84" hidden="1" x14ac:dyDescent="0.25">
      <c r="A230" s="101">
        <v>229</v>
      </c>
      <c r="B230" s="102"/>
      <c r="C230" s="103" t="s">
        <v>446</v>
      </c>
      <c r="D230" s="104">
        <v>1170</v>
      </c>
      <c r="E230" s="105">
        <v>1040</v>
      </c>
      <c r="F230" s="118">
        <f t="shared" si="10"/>
        <v>1216800</v>
      </c>
      <c r="G230" s="254">
        <v>140</v>
      </c>
      <c r="H230" s="105">
        <v>832</v>
      </c>
      <c r="I230" s="107">
        <v>1.1299999999999999</v>
      </c>
      <c r="J230" s="255">
        <v>21.88</v>
      </c>
      <c r="K230" s="156">
        <v>17.899999999999999</v>
      </c>
      <c r="L230" s="157">
        <v>27.8</v>
      </c>
      <c r="M230" s="256">
        <v>0.48</v>
      </c>
      <c r="N230" s="118">
        <v>6.65</v>
      </c>
      <c r="O230" s="112" t="s">
        <v>210</v>
      </c>
      <c r="P230" s="113" t="s">
        <v>202</v>
      </c>
      <c r="Q230" s="243">
        <v>8.0000000000000004E-4</v>
      </c>
      <c r="R230" s="105">
        <v>0</v>
      </c>
      <c r="S230" s="248">
        <v>1.6000000000000001E-3</v>
      </c>
      <c r="T230" s="105">
        <v>420</v>
      </c>
      <c r="U230" s="116">
        <v>1040</v>
      </c>
      <c r="V230" s="104">
        <v>0</v>
      </c>
      <c r="W230" s="105">
        <v>0</v>
      </c>
      <c r="X230" s="116">
        <v>0</v>
      </c>
      <c r="Y230" s="117">
        <v>0</v>
      </c>
      <c r="Z230" s="117">
        <v>1</v>
      </c>
      <c r="AA230" s="108">
        <v>3.6</v>
      </c>
      <c r="AB230" s="106">
        <v>5.4</v>
      </c>
      <c r="AC230" s="109">
        <v>1.5</v>
      </c>
      <c r="AD230" s="118">
        <v>0.32</v>
      </c>
      <c r="AE230" s="119">
        <v>0.34</v>
      </c>
      <c r="AF230" s="120">
        <v>0.48</v>
      </c>
      <c r="AG230" s="118">
        <v>0</v>
      </c>
      <c r="AH230" s="118">
        <v>0</v>
      </c>
      <c r="AI230" s="119">
        <v>0.48</v>
      </c>
      <c r="AJ230" s="120">
        <v>0.21</v>
      </c>
      <c r="AK230" s="118">
        <v>0</v>
      </c>
      <c r="AL230" s="118">
        <v>0</v>
      </c>
      <c r="AM230" s="119">
        <v>0.21</v>
      </c>
      <c r="AN230" s="120">
        <v>0.4</v>
      </c>
      <c r="AO230" s="118">
        <v>0</v>
      </c>
      <c r="AP230" s="118">
        <v>0</v>
      </c>
      <c r="AQ230" s="119">
        <v>0.4</v>
      </c>
      <c r="AR230" s="120">
        <v>0.33</v>
      </c>
      <c r="AS230" s="118">
        <v>0</v>
      </c>
      <c r="AT230" s="118">
        <v>0</v>
      </c>
      <c r="AU230" s="119">
        <v>0.33</v>
      </c>
      <c r="AV230" s="120">
        <v>0.26</v>
      </c>
      <c r="AW230" s="118">
        <v>0</v>
      </c>
      <c r="AX230" s="118">
        <v>0</v>
      </c>
      <c r="AY230" s="119">
        <v>0.26</v>
      </c>
      <c r="AZ230" s="120">
        <v>0.14000000000000001</v>
      </c>
      <c r="BA230" s="118">
        <v>0</v>
      </c>
      <c r="BB230" s="118">
        <v>0</v>
      </c>
      <c r="BC230" s="119">
        <v>0.14000000000000001</v>
      </c>
      <c r="BD230" s="121">
        <v>0.15</v>
      </c>
      <c r="BE230" s="120">
        <v>0.21</v>
      </c>
      <c r="BF230" s="118">
        <v>0</v>
      </c>
      <c r="BG230" s="118">
        <v>0</v>
      </c>
      <c r="BH230" s="119">
        <v>0.21</v>
      </c>
      <c r="BI230" s="120">
        <v>0.24</v>
      </c>
      <c r="BJ230" s="118">
        <v>0</v>
      </c>
      <c r="BK230" s="118">
        <v>0</v>
      </c>
      <c r="BL230" s="119">
        <v>0.24</v>
      </c>
      <c r="BM230" s="120">
        <v>0.71</v>
      </c>
      <c r="BN230" s="118">
        <v>1.62</v>
      </c>
      <c r="BO230" s="118">
        <v>0.85</v>
      </c>
      <c r="BP230" s="118">
        <v>1.03</v>
      </c>
      <c r="BQ230" s="118">
        <v>1.32</v>
      </c>
      <c r="BR230" s="118">
        <v>2.4500000000000002</v>
      </c>
      <c r="BS230" s="118">
        <v>2.2000000000000002</v>
      </c>
      <c r="BT230" s="118">
        <v>1.6</v>
      </c>
      <c r="BU230" s="119">
        <v>1.42</v>
      </c>
      <c r="BV230" s="74">
        <v>1216800</v>
      </c>
      <c r="BW230" s="254">
        <v>140</v>
      </c>
      <c r="BX230" s="105">
        <v>832</v>
      </c>
      <c r="BY230" s="157">
        <v>27.8</v>
      </c>
      <c r="BZ230" s="118">
        <v>6.65</v>
      </c>
      <c r="CA230" s="248">
        <v>1.6000000000000001E-3</v>
      </c>
      <c r="CB230" s="105">
        <v>420</v>
      </c>
      <c r="CC230" s="104">
        <v>0</v>
      </c>
      <c r="CD230" s="105">
        <v>0</v>
      </c>
      <c r="CE230" s="99">
        <f t="shared" si="11"/>
        <v>1.098901098901099E-2</v>
      </c>
      <c r="CF230" s="100">
        <f t="shared" si="9"/>
        <v>0.34</v>
      </c>
    </row>
    <row r="231" spans="1:84" hidden="1" x14ac:dyDescent="0.25">
      <c r="A231" s="101">
        <v>230</v>
      </c>
      <c r="B231" s="102"/>
      <c r="C231" s="103" t="s">
        <v>447</v>
      </c>
      <c r="D231" s="104">
        <v>1170</v>
      </c>
      <c r="E231" s="105">
        <v>1040</v>
      </c>
      <c r="F231" s="106">
        <f t="shared" si="10"/>
        <v>1216800</v>
      </c>
      <c r="G231" s="254">
        <v>140</v>
      </c>
      <c r="H231" s="105">
        <v>832</v>
      </c>
      <c r="I231" s="107">
        <v>1.1299999999999999</v>
      </c>
      <c r="J231" s="255">
        <v>21.88</v>
      </c>
      <c r="K231" s="156">
        <v>17.899999999999999</v>
      </c>
      <c r="L231" s="157">
        <v>27.8</v>
      </c>
      <c r="M231" s="256">
        <v>0.5</v>
      </c>
      <c r="N231" s="106">
        <v>6.9</v>
      </c>
      <c r="O231" s="112" t="s">
        <v>210</v>
      </c>
      <c r="P231" s="113" t="s">
        <v>202</v>
      </c>
      <c r="Q231" s="243">
        <v>8.0000000000000004E-4</v>
      </c>
      <c r="R231" s="105">
        <v>0</v>
      </c>
      <c r="S231" s="248">
        <v>1.6000000000000001E-3</v>
      </c>
      <c r="T231" s="105">
        <v>420</v>
      </c>
      <c r="U231" s="116">
        <v>1040</v>
      </c>
      <c r="V231" s="104">
        <v>0</v>
      </c>
      <c r="W231" s="105">
        <v>0</v>
      </c>
      <c r="X231" s="116">
        <v>0</v>
      </c>
      <c r="Y231" s="117">
        <v>0</v>
      </c>
      <c r="Z231" s="117">
        <v>1</v>
      </c>
      <c r="AA231" s="108">
        <v>0.8</v>
      </c>
      <c r="AB231" s="106">
        <v>5.5</v>
      </c>
      <c r="AC231" s="109">
        <v>6.6</v>
      </c>
      <c r="AD231" s="118">
        <v>0.18</v>
      </c>
      <c r="AE231" s="119">
        <v>0.28999999999999998</v>
      </c>
      <c r="AF231" s="120">
        <v>0.49</v>
      </c>
      <c r="AG231" s="118">
        <v>0</v>
      </c>
      <c r="AH231" s="118">
        <v>0</v>
      </c>
      <c r="AI231" s="119">
        <v>0.49</v>
      </c>
      <c r="AJ231" s="120">
        <v>0.21</v>
      </c>
      <c r="AK231" s="118">
        <v>0</v>
      </c>
      <c r="AL231" s="118">
        <v>0</v>
      </c>
      <c r="AM231" s="119">
        <v>0.21</v>
      </c>
      <c r="AN231" s="120">
        <v>0</v>
      </c>
      <c r="AO231" s="118">
        <v>0</v>
      </c>
      <c r="AP231" s="118">
        <v>0</v>
      </c>
      <c r="AQ231" s="119">
        <v>0</v>
      </c>
      <c r="AR231" s="120">
        <v>0.34</v>
      </c>
      <c r="AS231" s="118">
        <v>0</v>
      </c>
      <c r="AT231" s="118">
        <v>0</v>
      </c>
      <c r="AU231" s="119">
        <v>0.34</v>
      </c>
      <c r="AV231" s="120">
        <v>0.26</v>
      </c>
      <c r="AW231" s="118">
        <v>0</v>
      </c>
      <c r="AX231" s="118">
        <v>0</v>
      </c>
      <c r="AY231" s="119">
        <v>0.26</v>
      </c>
      <c r="AZ231" s="120">
        <v>0.14000000000000001</v>
      </c>
      <c r="BA231" s="118">
        <v>0</v>
      </c>
      <c r="BB231" s="118">
        <v>0</v>
      </c>
      <c r="BC231" s="119">
        <v>0.14000000000000001</v>
      </c>
      <c r="BD231" s="121">
        <v>0.16</v>
      </c>
      <c r="BE231" s="120">
        <v>0.22</v>
      </c>
      <c r="BF231" s="118">
        <v>0</v>
      </c>
      <c r="BG231" s="118">
        <v>0</v>
      </c>
      <c r="BH231" s="119">
        <v>0.22</v>
      </c>
      <c r="BI231" s="120">
        <v>0.25</v>
      </c>
      <c r="BJ231" s="118">
        <v>0</v>
      </c>
      <c r="BK231" s="118">
        <v>0</v>
      </c>
      <c r="BL231" s="119">
        <v>0.25</v>
      </c>
      <c r="BM231" s="120">
        <v>0.59</v>
      </c>
      <c r="BN231" s="118">
        <v>1.38</v>
      </c>
      <c r="BO231" s="124"/>
      <c r="BP231" s="118">
        <v>0.86</v>
      </c>
      <c r="BQ231" s="118">
        <v>1.1100000000000001</v>
      </c>
      <c r="BR231" s="118">
        <v>2.0699999999999998</v>
      </c>
      <c r="BS231" s="118">
        <v>1.84</v>
      </c>
      <c r="BT231" s="118">
        <v>1.3</v>
      </c>
      <c r="BU231" s="119">
        <v>1.1599999999999999</v>
      </c>
      <c r="BV231" s="74">
        <v>1216800</v>
      </c>
      <c r="BW231" s="254">
        <v>140</v>
      </c>
      <c r="BX231" s="105">
        <v>832</v>
      </c>
      <c r="BY231" s="157">
        <v>27.8</v>
      </c>
      <c r="BZ231" s="106">
        <v>6.9</v>
      </c>
      <c r="CA231" s="248">
        <v>1.6000000000000001E-3</v>
      </c>
      <c r="CB231" s="105">
        <v>420</v>
      </c>
      <c r="CC231" s="104">
        <v>0</v>
      </c>
      <c r="CD231" s="105">
        <v>0</v>
      </c>
      <c r="CE231" s="99">
        <f t="shared" si="11"/>
        <v>8.9285714285714298E-3</v>
      </c>
      <c r="CF231" s="100">
        <f t="shared" si="9"/>
        <v>0.28999999999999998</v>
      </c>
    </row>
    <row r="232" spans="1:84" hidden="1" x14ac:dyDescent="0.25">
      <c r="A232" s="101">
        <v>231</v>
      </c>
      <c r="B232" s="102"/>
      <c r="C232" s="103" t="s">
        <v>448</v>
      </c>
      <c r="D232" s="104">
        <v>1170</v>
      </c>
      <c r="E232" s="105">
        <v>1040</v>
      </c>
      <c r="F232" s="106">
        <f t="shared" si="10"/>
        <v>1216800</v>
      </c>
      <c r="G232" s="254">
        <v>140</v>
      </c>
      <c r="H232" s="105">
        <v>832</v>
      </c>
      <c r="I232" s="107">
        <v>1.1299999999999999</v>
      </c>
      <c r="J232" s="255">
        <v>21.88</v>
      </c>
      <c r="K232" s="156">
        <v>17.899999999999999</v>
      </c>
      <c r="L232" s="157">
        <v>27.8</v>
      </c>
      <c r="M232" s="256">
        <v>0.5</v>
      </c>
      <c r="N232" s="106">
        <v>6.9</v>
      </c>
      <c r="O232" s="112" t="s">
        <v>210</v>
      </c>
      <c r="P232" s="113" t="s">
        <v>202</v>
      </c>
      <c r="Q232" s="243">
        <v>8.0000000000000004E-4</v>
      </c>
      <c r="R232" s="105">
        <v>0</v>
      </c>
      <c r="S232" s="248">
        <v>1.6000000000000001E-3</v>
      </c>
      <c r="T232" s="105">
        <v>420</v>
      </c>
      <c r="U232" s="116">
        <v>1040</v>
      </c>
      <c r="V232" s="104">
        <v>0</v>
      </c>
      <c r="W232" s="105">
        <v>0</v>
      </c>
      <c r="X232" s="116">
        <v>0</v>
      </c>
      <c r="Y232" s="117">
        <v>0</v>
      </c>
      <c r="Z232" s="117">
        <v>1</v>
      </c>
      <c r="AA232" s="123" t="s">
        <v>413</v>
      </c>
      <c r="AB232" s="106">
        <v>3.3</v>
      </c>
      <c r="AC232" s="113" t="s">
        <v>413</v>
      </c>
      <c r="AD232" s="112" t="s">
        <v>224</v>
      </c>
      <c r="AE232" s="175">
        <v>0.24</v>
      </c>
      <c r="AF232" s="120">
        <v>0.49</v>
      </c>
      <c r="AG232" s="118">
        <v>0</v>
      </c>
      <c r="AH232" s="118">
        <v>0</v>
      </c>
      <c r="AI232" s="119">
        <v>0.49</v>
      </c>
      <c r="AJ232" s="120">
        <v>0.21</v>
      </c>
      <c r="AK232" s="118">
        <v>0</v>
      </c>
      <c r="AL232" s="118">
        <v>0</v>
      </c>
      <c r="AM232" s="119">
        <v>0.21</v>
      </c>
      <c r="AN232" s="120">
        <v>0</v>
      </c>
      <c r="AO232" s="118">
        <v>0</v>
      </c>
      <c r="AP232" s="118">
        <v>0</v>
      </c>
      <c r="AQ232" s="119">
        <v>0</v>
      </c>
      <c r="AR232" s="120">
        <v>0.34</v>
      </c>
      <c r="AS232" s="118">
        <v>0</v>
      </c>
      <c r="AT232" s="118">
        <v>0</v>
      </c>
      <c r="AU232" s="119">
        <v>0.34</v>
      </c>
      <c r="AV232" s="120">
        <v>0.26</v>
      </c>
      <c r="AW232" s="118">
        <v>0</v>
      </c>
      <c r="AX232" s="118">
        <v>0</v>
      </c>
      <c r="AY232" s="119">
        <v>0.26</v>
      </c>
      <c r="AZ232" s="120">
        <v>0.14000000000000001</v>
      </c>
      <c r="BA232" s="118">
        <v>0</v>
      </c>
      <c r="BB232" s="118">
        <v>0</v>
      </c>
      <c r="BC232" s="119">
        <v>0.14000000000000001</v>
      </c>
      <c r="BD232" s="121">
        <v>0.16</v>
      </c>
      <c r="BE232" s="120">
        <v>0.22</v>
      </c>
      <c r="BF232" s="118">
        <v>0</v>
      </c>
      <c r="BG232" s="118">
        <v>0</v>
      </c>
      <c r="BH232" s="119">
        <v>0.22</v>
      </c>
      <c r="BI232" s="120">
        <v>0.25</v>
      </c>
      <c r="BJ232" s="118">
        <v>0</v>
      </c>
      <c r="BK232" s="118">
        <v>0</v>
      </c>
      <c r="BL232" s="119">
        <v>0.25</v>
      </c>
      <c r="BM232" s="120">
        <v>0.49</v>
      </c>
      <c r="BN232" s="118">
        <v>1.1399999999999999</v>
      </c>
      <c r="BO232" s="124"/>
      <c r="BP232" s="118">
        <v>0.71</v>
      </c>
      <c r="BQ232" s="118">
        <v>0.92</v>
      </c>
      <c r="BR232" s="118">
        <v>1.71</v>
      </c>
      <c r="BS232" s="118">
        <v>1.52</v>
      </c>
      <c r="BT232" s="118">
        <v>1.08</v>
      </c>
      <c r="BU232" s="119">
        <v>0.96</v>
      </c>
      <c r="BV232" s="74">
        <v>1216800</v>
      </c>
      <c r="BW232" s="254">
        <v>140</v>
      </c>
      <c r="BX232" s="105">
        <v>832</v>
      </c>
      <c r="BY232" s="157">
        <v>27.8</v>
      </c>
      <c r="BZ232" s="106">
        <v>6.9</v>
      </c>
      <c r="CA232" s="248">
        <v>1.6000000000000001E-3</v>
      </c>
      <c r="CB232" s="105">
        <v>420</v>
      </c>
      <c r="CC232" s="104">
        <v>0</v>
      </c>
      <c r="CD232" s="105">
        <v>0</v>
      </c>
      <c r="CE232" s="99">
        <f t="shared" si="11"/>
        <v>7.4175824175824181E-3</v>
      </c>
      <c r="CF232" s="100">
        <f t="shared" si="9"/>
        <v>0.24</v>
      </c>
    </row>
    <row r="233" spans="1:84" hidden="1" x14ac:dyDescent="0.25">
      <c r="A233" s="101">
        <v>232</v>
      </c>
      <c r="B233" s="102"/>
      <c r="C233" s="103" t="s">
        <v>449</v>
      </c>
      <c r="D233" s="104">
        <v>1170</v>
      </c>
      <c r="E233" s="105">
        <v>1040</v>
      </c>
      <c r="F233" s="118">
        <f t="shared" si="10"/>
        <v>1216800</v>
      </c>
      <c r="G233" s="254">
        <v>140</v>
      </c>
      <c r="H233" s="105">
        <v>832</v>
      </c>
      <c r="I233" s="107">
        <v>1.1299999999999999</v>
      </c>
      <c r="J233" s="255">
        <v>21.88</v>
      </c>
      <c r="K233" s="156">
        <v>17.899999999999999</v>
      </c>
      <c r="L233" s="157">
        <v>27.8</v>
      </c>
      <c r="M233" s="256">
        <v>0.67</v>
      </c>
      <c r="N233" s="118">
        <v>9.2799999999999994</v>
      </c>
      <c r="O233" s="112" t="s">
        <v>210</v>
      </c>
      <c r="P233" s="113" t="s">
        <v>202</v>
      </c>
      <c r="Q233" s="243">
        <v>8.0000000000000004E-4</v>
      </c>
      <c r="R233" s="105">
        <v>0</v>
      </c>
      <c r="S233" s="248">
        <v>1.6000000000000001E-3</v>
      </c>
      <c r="T233" s="105">
        <v>420</v>
      </c>
      <c r="U233" s="116">
        <v>1040</v>
      </c>
      <c r="V233" s="104">
        <v>0</v>
      </c>
      <c r="W233" s="105">
        <v>0</v>
      </c>
      <c r="X233" s="116">
        <v>0</v>
      </c>
      <c r="Y233" s="117">
        <v>0</v>
      </c>
      <c r="Z233" s="117">
        <v>1</v>
      </c>
      <c r="AA233" s="108">
        <v>3.2</v>
      </c>
      <c r="AB233" s="106">
        <v>7.2</v>
      </c>
      <c r="AC233" s="109">
        <v>2.2000000000000002</v>
      </c>
      <c r="AD233" s="118">
        <v>0.25</v>
      </c>
      <c r="AE233" s="119">
        <v>0.28000000000000003</v>
      </c>
      <c r="AF233" s="120">
        <v>0.56999999999999995</v>
      </c>
      <c r="AG233" s="118">
        <v>0</v>
      </c>
      <c r="AH233" s="118">
        <v>0</v>
      </c>
      <c r="AI233" s="119">
        <v>0.56999999999999995</v>
      </c>
      <c r="AJ233" s="120">
        <v>0.21</v>
      </c>
      <c r="AK233" s="118">
        <v>0</v>
      </c>
      <c r="AL233" s="118">
        <v>0</v>
      </c>
      <c r="AM233" s="119">
        <v>0.21</v>
      </c>
      <c r="AN233" s="120">
        <v>0.34</v>
      </c>
      <c r="AO233" s="118">
        <v>0</v>
      </c>
      <c r="AP233" s="118">
        <v>0</v>
      </c>
      <c r="AQ233" s="119">
        <v>0.34</v>
      </c>
      <c r="AR233" s="120">
        <v>0.39</v>
      </c>
      <c r="AS233" s="118">
        <v>0</v>
      </c>
      <c r="AT233" s="118">
        <v>0</v>
      </c>
      <c r="AU233" s="119">
        <v>0.39</v>
      </c>
      <c r="AV233" s="120">
        <v>0.3</v>
      </c>
      <c r="AW233" s="118">
        <v>0</v>
      </c>
      <c r="AX233" s="118">
        <v>0</v>
      </c>
      <c r="AY233" s="119">
        <v>0.3</v>
      </c>
      <c r="AZ233" s="120">
        <v>0.15</v>
      </c>
      <c r="BA233" s="118">
        <v>0</v>
      </c>
      <c r="BB233" s="118">
        <v>0</v>
      </c>
      <c r="BC233" s="119">
        <v>0.15</v>
      </c>
      <c r="BD233" s="121">
        <v>0.18</v>
      </c>
      <c r="BE233" s="120">
        <v>0.3</v>
      </c>
      <c r="BF233" s="118">
        <v>0</v>
      </c>
      <c r="BG233" s="118">
        <v>0</v>
      </c>
      <c r="BH233" s="119">
        <v>0.3</v>
      </c>
      <c r="BI233" s="120">
        <v>0.33</v>
      </c>
      <c r="BJ233" s="118">
        <v>0</v>
      </c>
      <c r="BK233" s="118">
        <v>0</v>
      </c>
      <c r="BL233" s="119">
        <v>0.33</v>
      </c>
      <c r="BM233" s="120">
        <v>0.49</v>
      </c>
      <c r="BN233" s="118">
        <v>1.33</v>
      </c>
      <c r="BO233" s="118">
        <v>0.83</v>
      </c>
      <c r="BP233" s="118">
        <v>0.72</v>
      </c>
      <c r="BQ233" s="118">
        <v>0.92</v>
      </c>
      <c r="BR233" s="118">
        <v>1.82</v>
      </c>
      <c r="BS233" s="118">
        <v>1.53</v>
      </c>
      <c r="BT233" s="118">
        <v>0.94</v>
      </c>
      <c r="BU233" s="119">
        <v>0.84</v>
      </c>
      <c r="BV233" s="74">
        <v>1216800</v>
      </c>
      <c r="BW233" s="254">
        <v>140</v>
      </c>
      <c r="BX233" s="105">
        <v>832</v>
      </c>
      <c r="BY233" s="157">
        <v>27.8</v>
      </c>
      <c r="BZ233" s="118">
        <v>9.2799999999999994</v>
      </c>
      <c r="CA233" s="248">
        <v>1.6000000000000001E-3</v>
      </c>
      <c r="CB233" s="105">
        <v>420</v>
      </c>
      <c r="CC233" s="104">
        <v>0</v>
      </c>
      <c r="CD233" s="105">
        <v>0</v>
      </c>
      <c r="CE233" s="99">
        <f t="shared" si="11"/>
        <v>6.4560439560439557E-3</v>
      </c>
      <c r="CF233" s="100">
        <f t="shared" si="9"/>
        <v>0.28000000000000003</v>
      </c>
    </row>
    <row r="234" spans="1:84" hidden="1" x14ac:dyDescent="0.25">
      <c r="A234" s="128">
        <v>233</v>
      </c>
      <c r="B234" s="129"/>
      <c r="C234" s="130" t="s">
        <v>450</v>
      </c>
      <c r="D234" s="131">
        <v>1170</v>
      </c>
      <c r="E234" s="132">
        <v>1040</v>
      </c>
      <c r="F234" s="145">
        <f t="shared" si="10"/>
        <v>1216800</v>
      </c>
      <c r="G234" s="257">
        <v>140</v>
      </c>
      <c r="H234" s="132">
        <v>832</v>
      </c>
      <c r="I234" s="134">
        <v>1.1299999999999999</v>
      </c>
      <c r="J234" s="258">
        <v>21.88</v>
      </c>
      <c r="K234" s="165">
        <v>17.899999999999999</v>
      </c>
      <c r="L234" s="181">
        <v>27.8</v>
      </c>
      <c r="M234" s="259">
        <v>0.67</v>
      </c>
      <c r="N234" s="145">
        <v>9.2799999999999994</v>
      </c>
      <c r="O234" s="139" t="s">
        <v>210</v>
      </c>
      <c r="P234" s="140" t="s">
        <v>202</v>
      </c>
      <c r="Q234" s="244">
        <v>8.0000000000000004E-4</v>
      </c>
      <c r="R234" s="132">
        <v>0</v>
      </c>
      <c r="S234" s="249">
        <v>1.6000000000000001E-3</v>
      </c>
      <c r="T234" s="132">
        <v>420</v>
      </c>
      <c r="U234" s="143">
        <v>1040</v>
      </c>
      <c r="V234" s="131">
        <v>0</v>
      </c>
      <c r="W234" s="132">
        <v>0</v>
      </c>
      <c r="X234" s="143">
        <v>0</v>
      </c>
      <c r="Y234" s="144">
        <v>0</v>
      </c>
      <c r="Z234" s="144">
        <v>1</v>
      </c>
      <c r="AA234" s="135">
        <v>1.7</v>
      </c>
      <c r="AB234" s="133">
        <v>6.2</v>
      </c>
      <c r="AC234" s="136">
        <v>3.7</v>
      </c>
      <c r="AD234" s="145">
        <v>0.2</v>
      </c>
      <c r="AE234" s="146">
        <v>0.31</v>
      </c>
      <c r="AF234" s="147">
        <v>0.56999999999999995</v>
      </c>
      <c r="AG234" s="145">
        <v>0</v>
      </c>
      <c r="AH234" s="145">
        <v>0</v>
      </c>
      <c r="AI234" s="146">
        <v>0.56999999999999995</v>
      </c>
      <c r="AJ234" s="147">
        <v>0.21</v>
      </c>
      <c r="AK234" s="145">
        <v>0</v>
      </c>
      <c r="AL234" s="145">
        <v>0</v>
      </c>
      <c r="AM234" s="146">
        <v>0.21</v>
      </c>
      <c r="AN234" s="147">
        <v>0.06</v>
      </c>
      <c r="AO234" s="145">
        <v>0</v>
      </c>
      <c r="AP234" s="145">
        <v>0</v>
      </c>
      <c r="AQ234" s="146">
        <v>0.06</v>
      </c>
      <c r="AR234" s="147">
        <v>0.39</v>
      </c>
      <c r="AS234" s="145">
        <v>0</v>
      </c>
      <c r="AT234" s="145">
        <v>0</v>
      </c>
      <c r="AU234" s="146">
        <v>0.39</v>
      </c>
      <c r="AV234" s="147">
        <v>0.3</v>
      </c>
      <c r="AW234" s="145">
        <v>0</v>
      </c>
      <c r="AX234" s="145">
        <v>0</v>
      </c>
      <c r="AY234" s="146">
        <v>0.3</v>
      </c>
      <c r="AZ234" s="147">
        <v>0.15</v>
      </c>
      <c r="BA234" s="145">
        <v>0</v>
      </c>
      <c r="BB234" s="145">
        <v>0</v>
      </c>
      <c r="BC234" s="146">
        <v>0.15</v>
      </c>
      <c r="BD234" s="148">
        <v>0.18</v>
      </c>
      <c r="BE234" s="147">
        <v>0.3</v>
      </c>
      <c r="BF234" s="145">
        <v>0</v>
      </c>
      <c r="BG234" s="145">
        <v>0</v>
      </c>
      <c r="BH234" s="146">
        <v>0.3</v>
      </c>
      <c r="BI234" s="147">
        <v>0.33</v>
      </c>
      <c r="BJ234" s="145">
        <v>0</v>
      </c>
      <c r="BK234" s="145">
        <v>0</v>
      </c>
      <c r="BL234" s="146">
        <v>0.33</v>
      </c>
      <c r="BM234" s="147">
        <v>0.54</v>
      </c>
      <c r="BN234" s="145">
        <v>1.48</v>
      </c>
      <c r="BO234" s="145">
        <v>5.56</v>
      </c>
      <c r="BP234" s="145">
        <v>0.8</v>
      </c>
      <c r="BQ234" s="145">
        <v>1.02</v>
      </c>
      <c r="BR234" s="145">
        <v>2.02</v>
      </c>
      <c r="BS234" s="145">
        <v>1.7</v>
      </c>
      <c r="BT234" s="145">
        <v>1.04</v>
      </c>
      <c r="BU234" s="146">
        <v>0.93</v>
      </c>
      <c r="BV234" s="74">
        <v>1216800</v>
      </c>
      <c r="BW234" s="257">
        <v>140</v>
      </c>
      <c r="BX234" s="132">
        <v>832</v>
      </c>
      <c r="BY234" s="181">
        <v>27.8</v>
      </c>
      <c r="BZ234" s="145">
        <v>9.2799999999999994</v>
      </c>
      <c r="CA234" s="249">
        <v>1.6000000000000001E-3</v>
      </c>
      <c r="CB234" s="132">
        <v>420</v>
      </c>
      <c r="CC234" s="131">
        <v>0</v>
      </c>
      <c r="CD234" s="132">
        <v>0</v>
      </c>
      <c r="CE234" s="99">
        <f t="shared" si="11"/>
        <v>7.1428571428571426E-3</v>
      </c>
      <c r="CF234" s="100">
        <f t="shared" si="9"/>
        <v>0.31</v>
      </c>
    </row>
    <row r="235" spans="1:84" ht="24" customHeight="1" x14ac:dyDescent="0.25">
      <c r="A235" s="78">
        <v>234</v>
      </c>
      <c r="B235" s="79" t="s">
        <v>451</v>
      </c>
      <c r="C235" s="80" t="s">
        <v>452</v>
      </c>
      <c r="D235" s="81">
        <v>1000</v>
      </c>
      <c r="E235" s="82">
        <v>1050</v>
      </c>
      <c r="F235" s="95">
        <f t="shared" si="10"/>
        <v>1050000</v>
      </c>
      <c r="G235" s="251">
        <v>140</v>
      </c>
      <c r="H235" s="82">
        <v>840</v>
      </c>
      <c r="I235" s="84">
        <v>0.95</v>
      </c>
      <c r="J235" s="252">
        <v>21.88</v>
      </c>
      <c r="K235" s="150">
        <v>17.899999999999999</v>
      </c>
      <c r="L235" s="151">
        <v>27.8</v>
      </c>
      <c r="M235" s="253">
        <v>1.01</v>
      </c>
      <c r="N235" s="95">
        <v>16.97</v>
      </c>
      <c r="O235" s="89" t="s">
        <v>201</v>
      </c>
      <c r="P235" s="90" t="s">
        <v>211</v>
      </c>
      <c r="Q235" s="250">
        <v>1.4E-3</v>
      </c>
      <c r="R235" s="82">
        <v>0</v>
      </c>
      <c r="S235" s="92">
        <v>2.7399999999999998E-3</v>
      </c>
      <c r="T235" s="82">
        <v>420</v>
      </c>
      <c r="U235" s="93">
        <v>1050</v>
      </c>
      <c r="V235" s="250">
        <v>5.9999999999999995E-4</v>
      </c>
      <c r="W235" s="82">
        <v>500</v>
      </c>
      <c r="X235" s="93">
        <v>400</v>
      </c>
      <c r="Y235" s="94">
        <v>0</v>
      </c>
      <c r="Z235" s="94">
        <v>1</v>
      </c>
      <c r="AA235" s="85">
        <v>2.2000000000000002</v>
      </c>
      <c r="AB235" s="83">
        <v>13.1</v>
      </c>
      <c r="AC235" s="86">
        <v>6</v>
      </c>
      <c r="AD235" s="95">
        <v>0.2</v>
      </c>
      <c r="AE235" s="96">
        <v>0.48</v>
      </c>
      <c r="AF235" s="97">
        <v>0.38</v>
      </c>
      <c r="AG235" s="95">
        <v>0.12</v>
      </c>
      <c r="AH235" s="95">
        <v>0</v>
      </c>
      <c r="AI235" s="96">
        <v>0.5</v>
      </c>
      <c r="AJ235" s="97">
        <v>0.21</v>
      </c>
      <c r="AK235" s="95">
        <v>0.32</v>
      </c>
      <c r="AL235" s="95">
        <v>0</v>
      </c>
      <c r="AM235" s="96">
        <v>0.53</v>
      </c>
      <c r="AN235" s="97">
        <v>0</v>
      </c>
      <c r="AO235" s="95">
        <v>0.19</v>
      </c>
      <c r="AP235" s="95">
        <v>0</v>
      </c>
      <c r="AQ235" s="96">
        <v>0.19</v>
      </c>
      <c r="AR235" s="97">
        <v>0.55000000000000004</v>
      </c>
      <c r="AS235" s="95">
        <v>0.14000000000000001</v>
      </c>
      <c r="AT235" s="95">
        <v>0</v>
      </c>
      <c r="AU235" s="96">
        <v>0.66</v>
      </c>
      <c r="AV235" s="97">
        <v>0.21</v>
      </c>
      <c r="AW235" s="95">
        <v>0.3</v>
      </c>
      <c r="AX235" s="95">
        <v>0</v>
      </c>
      <c r="AY235" s="96">
        <v>0.5</v>
      </c>
      <c r="AZ235" s="97">
        <v>0.25</v>
      </c>
      <c r="BA235" s="95">
        <v>0.32</v>
      </c>
      <c r="BB235" s="95">
        <v>0</v>
      </c>
      <c r="BC235" s="96">
        <v>0.56999999999999995</v>
      </c>
      <c r="BD235" s="98">
        <v>0.52</v>
      </c>
      <c r="BE235" s="97">
        <v>0.53</v>
      </c>
      <c r="BF235" s="95">
        <v>0</v>
      </c>
      <c r="BG235" s="95">
        <v>0</v>
      </c>
      <c r="BH235" s="96">
        <v>0.53</v>
      </c>
      <c r="BI235" s="97">
        <v>0.51</v>
      </c>
      <c r="BJ235" s="95">
        <v>0.18</v>
      </c>
      <c r="BK235" s="95">
        <v>0</v>
      </c>
      <c r="BL235" s="96">
        <v>0.68</v>
      </c>
      <c r="BM235" s="97">
        <v>0.96</v>
      </c>
      <c r="BN235" s="95">
        <v>0.91</v>
      </c>
      <c r="BO235" s="95">
        <v>2.57</v>
      </c>
      <c r="BP235" s="95">
        <v>0.73</v>
      </c>
      <c r="BQ235" s="95">
        <v>0.97</v>
      </c>
      <c r="BR235" s="95">
        <v>0.85</v>
      </c>
      <c r="BS235" s="95">
        <v>0.93</v>
      </c>
      <c r="BT235" s="95">
        <v>0.91</v>
      </c>
      <c r="BU235" s="96">
        <v>0.71</v>
      </c>
      <c r="BV235" s="74">
        <v>1050000</v>
      </c>
      <c r="BW235" s="251">
        <v>140</v>
      </c>
      <c r="BX235" s="82">
        <v>840</v>
      </c>
      <c r="BY235" s="151">
        <v>27.8</v>
      </c>
      <c r="BZ235" s="95">
        <v>16.97</v>
      </c>
      <c r="CA235" s="92">
        <v>2.7399999999999998E-3</v>
      </c>
      <c r="CB235" s="82">
        <v>420</v>
      </c>
      <c r="CC235" s="250">
        <v>5.9999999999999995E-4</v>
      </c>
      <c r="CD235" s="82">
        <v>500</v>
      </c>
      <c r="CE235" s="99">
        <f t="shared" si="11"/>
        <v>6.1904761904761907E-3</v>
      </c>
      <c r="CF235" s="100">
        <f t="shared" si="9"/>
        <v>0.48</v>
      </c>
    </row>
    <row r="236" spans="1:84" ht="24" x14ac:dyDescent="0.25">
      <c r="A236" s="101">
        <v>235</v>
      </c>
      <c r="B236" s="102"/>
      <c r="C236" s="103" t="s">
        <v>453</v>
      </c>
      <c r="D236" s="104">
        <v>1000</v>
      </c>
      <c r="E236" s="105">
        <v>1050</v>
      </c>
      <c r="F236" s="118">
        <f t="shared" si="10"/>
        <v>1050000</v>
      </c>
      <c r="G236" s="254">
        <v>140</v>
      </c>
      <c r="H236" s="105">
        <v>840</v>
      </c>
      <c r="I236" s="107">
        <v>0.95</v>
      </c>
      <c r="J236" s="255">
        <v>21.88</v>
      </c>
      <c r="K236" s="156">
        <v>17.899999999999999</v>
      </c>
      <c r="L236" s="157">
        <v>27.8</v>
      </c>
      <c r="M236" s="256">
        <v>1.01</v>
      </c>
      <c r="N236" s="118">
        <v>16.97</v>
      </c>
      <c r="O236" s="112" t="s">
        <v>201</v>
      </c>
      <c r="P236" s="113" t="s">
        <v>211</v>
      </c>
      <c r="Q236" s="243">
        <v>1.4E-3</v>
      </c>
      <c r="R236" s="105">
        <v>0</v>
      </c>
      <c r="S236" s="115">
        <v>2.7399999999999998E-3</v>
      </c>
      <c r="T236" s="105">
        <v>420</v>
      </c>
      <c r="U236" s="116">
        <v>1050</v>
      </c>
      <c r="V236" s="243">
        <v>1.1999999999999999E-3</v>
      </c>
      <c r="W236" s="105">
        <v>500</v>
      </c>
      <c r="X236" s="116">
        <v>200</v>
      </c>
      <c r="Y236" s="117">
        <v>0</v>
      </c>
      <c r="Z236" s="117">
        <v>1</v>
      </c>
      <c r="AA236" s="108">
        <v>1.8</v>
      </c>
      <c r="AB236" s="106">
        <v>15</v>
      </c>
      <c r="AC236" s="109">
        <v>8.3000000000000007</v>
      </c>
      <c r="AD236" s="118">
        <v>0.2</v>
      </c>
      <c r="AE236" s="119">
        <v>0.65</v>
      </c>
      <c r="AF236" s="120">
        <v>0.38</v>
      </c>
      <c r="AG236" s="118">
        <v>0.24</v>
      </c>
      <c r="AH236" s="118">
        <v>0</v>
      </c>
      <c r="AI236" s="119">
        <v>0.62</v>
      </c>
      <c r="AJ236" s="120">
        <v>0.21</v>
      </c>
      <c r="AK236" s="118">
        <v>0.53</v>
      </c>
      <c r="AL236" s="118">
        <v>0</v>
      </c>
      <c r="AM236" s="119">
        <v>0.74</v>
      </c>
      <c r="AN236" s="120">
        <v>0</v>
      </c>
      <c r="AO236" s="118">
        <v>0.38</v>
      </c>
      <c r="AP236" s="118">
        <v>0</v>
      </c>
      <c r="AQ236" s="119">
        <v>0.38</v>
      </c>
      <c r="AR236" s="120">
        <v>0.55000000000000004</v>
      </c>
      <c r="AS236" s="118">
        <v>0.28999999999999998</v>
      </c>
      <c r="AT236" s="118">
        <v>0</v>
      </c>
      <c r="AU236" s="119">
        <v>0.66</v>
      </c>
      <c r="AV236" s="120">
        <v>0.21</v>
      </c>
      <c r="AW236" s="118">
        <v>0.6</v>
      </c>
      <c r="AX236" s="118">
        <v>0</v>
      </c>
      <c r="AY236" s="119">
        <v>0.8</v>
      </c>
      <c r="AZ236" s="120">
        <v>0.25</v>
      </c>
      <c r="BA236" s="118">
        <v>0.46</v>
      </c>
      <c r="BB236" s="118">
        <v>0</v>
      </c>
      <c r="BC236" s="119">
        <v>0.71</v>
      </c>
      <c r="BD236" s="121">
        <v>0.52</v>
      </c>
      <c r="BE236" s="120">
        <v>0.53</v>
      </c>
      <c r="BF236" s="118">
        <v>0</v>
      </c>
      <c r="BG236" s="118">
        <v>0</v>
      </c>
      <c r="BH236" s="119">
        <v>0.53</v>
      </c>
      <c r="BI236" s="120">
        <v>0.51</v>
      </c>
      <c r="BJ236" s="118">
        <v>0.36</v>
      </c>
      <c r="BK236" s="118">
        <v>0</v>
      </c>
      <c r="BL236" s="119">
        <v>0.86</v>
      </c>
      <c r="BM236" s="120">
        <v>1.04</v>
      </c>
      <c r="BN236" s="118">
        <v>0.87</v>
      </c>
      <c r="BO236" s="118">
        <v>1.7</v>
      </c>
      <c r="BP236" s="118">
        <v>0.98</v>
      </c>
      <c r="BQ236" s="118">
        <v>0.81</v>
      </c>
      <c r="BR236" s="118">
        <v>0.91</v>
      </c>
      <c r="BS236" s="118">
        <v>1.24</v>
      </c>
      <c r="BT236" s="118">
        <v>1.22</v>
      </c>
      <c r="BU236" s="119">
        <v>0.75</v>
      </c>
      <c r="BV236" s="74">
        <v>1050000</v>
      </c>
      <c r="BW236" s="254">
        <v>140</v>
      </c>
      <c r="BX236" s="105">
        <v>840</v>
      </c>
      <c r="BY236" s="157">
        <v>27.8</v>
      </c>
      <c r="BZ236" s="118">
        <v>16.97</v>
      </c>
      <c r="CA236" s="115">
        <v>2.7399999999999998E-3</v>
      </c>
      <c r="CB236" s="105">
        <v>420</v>
      </c>
      <c r="CC236" s="243">
        <v>1.1999999999999999E-3</v>
      </c>
      <c r="CD236" s="105">
        <v>500</v>
      </c>
      <c r="CE236" s="99">
        <f t="shared" si="11"/>
        <v>8.2993197278911565E-3</v>
      </c>
      <c r="CF236" s="100">
        <f t="shared" si="9"/>
        <v>0.65</v>
      </c>
    </row>
    <row r="237" spans="1:84" ht="24" hidden="1" x14ac:dyDescent="0.25">
      <c r="A237" s="101">
        <v>236</v>
      </c>
      <c r="B237" s="102"/>
      <c r="C237" s="103" t="s">
        <v>454</v>
      </c>
      <c r="D237" s="104">
        <v>1000</v>
      </c>
      <c r="E237" s="105">
        <v>1050</v>
      </c>
      <c r="F237" s="118">
        <f t="shared" si="10"/>
        <v>1050000</v>
      </c>
      <c r="G237" s="254">
        <v>140</v>
      </c>
      <c r="H237" s="105">
        <v>840</v>
      </c>
      <c r="I237" s="107">
        <v>0.95</v>
      </c>
      <c r="J237" s="255">
        <v>21.88</v>
      </c>
      <c r="K237" s="156">
        <v>17.899999999999999</v>
      </c>
      <c r="L237" s="157">
        <v>27.8</v>
      </c>
      <c r="M237" s="256">
        <v>0.68</v>
      </c>
      <c r="N237" s="118">
        <v>9.41</v>
      </c>
      <c r="O237" s="112" t="s">
        <v>210</v>
      </c>
      <c r="P237" s="113" t="s">
        <v>211</v>
      </c>
      <c r="Q237" s="243">
        <v>2.5999999999999999E-3</v>
      </c>
      <c r="R237" s="105">
        <v>0</v>
      </c>
      <c r="S237" s="115">
        <v>5.1700000000000001E-3</v>
      </c>
      <c r="T237" s="105">
        <v>420</v>
      </c>
      <c r="U237" s="116">
        <v>1050</v>
      </c>
      <c r="V237" s="104">
        <v>0</v>
      </c>
      <c r="W237" s="105">
        <v>0</v>
      </c>
      <c r="X237" s="113" t="s">
        <v>413</v>
      </c>
      <c r="Y237" s="117">
        <v>0</v>
      </c>
      <c r="Z237" s="117">
        <v>1</v>
      </c>
      <c r="AA237" s="108">
        <v>2.4</v>
      </c>
      <c r="AB237" s="106">
        <v>3.1</v>
      </c>
      <c r="AC237" s="109">
        <v>1.3</v>
      </c>
      <c r="AD237" s="118">
        <v>0.6</v>
      </c>
      <c r="AE237" s="119">
        <v>0.62</v>
      </c>
      <c r="AF237" s="120">
        <v>0.56999999999999995</v>
      </c>
      <c r="AG237" s="118">
        <v>0</v>
      </c>
      <c r="AH237" s="118">
        <v>0</v>
      </c>
      <c r="AI237" s="119">
        <v>0.56999999999999995</v>
      </c>
      <c r="AJ237" s="120">
        <v>0.21</v>
      </c>
      <c r="AK237" s="118">
        <v>0</v>
      </c>
      <c r="AL237" s="118">
        <v>0</v>
      </c>
      <c r="AM237" s="119">
        <v>0.21</v>
      </c>
      <c r="AN237" s="120">
        <v>0.59</v>
      </c>
      <c r="AO237" s="118">
        <v>0</v>
      </c>
      <c r="AP237" s="118">
        <v>0</v>
      </c>
      <c r="AQ237" s="119">
        <v>0.59</v>
      </c>
      <c r="AR237" s="120">
        <v>0.41</v>
      </c>
      <c r="AS237" s="118">
        <v>0</v>
      </c>
      <c r="AT237" s="118">
        <v>0</v>
      </c>
      <c r="AU237" s="119">
        <v>0.41</v>
      </c>
      <c r="AV237" s="120">
        <v>0.31</v>
      </c>
      <c r="AW237" s="118">
        <v>0</v>
      </c>
      <c r="AX237" s="118">
        <v>0</v>
      </c>
      <c r="AY237" s="119">
        <v>0.31</v>
      </c>
      <c r="AZ237" s="120">
        <v>0.23</v>
      </c>
      <c r="BA237" s="118">
        <v>0</v>
      </c>
      <c r="BB237" s="118">
        <v>0</v>
      </c>
      <c r="BC237" s="119">
        <v>0.23</v>
      </c>
      <c r="BD237" s="121">
        <v>0.18</v>
      </c>
      <c r="BE237" s="120">
        <v>0.36</v>
      </c>
      <c r="BF237" s="118">
        <v>0</v>
      </c>
      <c r="BG237" s="118">
        <v>0</v>
      </c>
      <c r="BH237" s="119">
        <v>0.36</v>
      </c>
      <c r="BI237" s="120">
        <v>0.34</v>
      </c>
      <c r="BJ237" s="118">
        <v>0</v>
      </c>
      <c r="BK237" s="118">
        <v>0</v>
      </c>
      <c r="BL237" s="119">
        <v>0.34</v>
      </c>
      <c r="BM237" s="120">
        <v>1.08</v>
      </c>
      <c r="BN237" s="118">
        <v>2.95</v>
      </c>
      <c r="BO237" s="118">
        <v>1.05</v>
      </c>
      <c r="BP237" s="118">
        <v>1.51</v>
      </c>
      <c r="BQ237" s="118">
        <v>2.0299999999999998</v>
      </c>
      <c r="BR237" s="118">
        <v>2.73</v>
      </c>
      <c r="BS237" s="118">
        <v>3.37</v>
      </c>
      <c r="BT237" s="118">
        <v>1.75</v>
      </c>
      <c r="BU237" s="119">
        <v>1.83</v>
      </c>
      <c r="BV237" s="74">
        <v>1050000</v>
      </c>
      <c r="BW237" s="254">
        <v>140</v>
      </c>
      <c r="BX237" s="105">
        <v>840</v>
      </c>
      <c r="BY237" s="157">
        <v>27.8</v>
      </c>
      <c r="BZ237" s="118">
        <v>9.41</v>
      </c>
      <c r="CA237" s="115">
        <v>5.1700000000000001E-3</v>
      </c>
      <c r="CB237" s="105">
        <v>420</v>
      </c>
      <c r="CC237" s="104">
        <v>0</v>
      </c>
      <c r="CD237" s="105">
        <v>0</v>
      </c>
      <c r="CE237" s="99">
        <f t="shared" si="11"/>
        <v>1.1904761904761906E-2</v>
      </c>
      <c r="CF237" s="100">
        <f t="shared" si="9"/>
        <v>0.62</v>
      </c>
    </row>
    <row r="238" spans="1:84" ht="24" hidden="1" x14ac:dyDescent="0.25">
      <c r="A238" s="101">
        <v>237</v>
      </c>
      <c r="B238" s="102"/>
      <c r="C238" s="103" t="s">
        <v>455</v>
      </c>
      <c r="D238" s="104">
        <v>1000</v>
      </c>
      <c r="E238" s="105">
        <v>1050</v>
      </c>
      <c r="F238" s="118">
        <f t="shared" si="10"/>
        <v>1050000</v>
      </c>
      <c r="G238" s="254">
        <v>140</v>
      </c>
      <c r="H238" s="105">
        <v>840</v>
      </c>
      <c r="I238" s="107">
        <v>0.95</v>
      </c>
      <c r="J238" s="255">
        <v>21.88</v>
      </c>
      <c r="K238" s="156">
        <v>17.899999999999999</v>
      </c>
      <c r="L238" s="157">
        <v>27.8</v>
      </c>
      <c r="M238" s="256">
        <v>0.68</v>
      </c>
      <c r="N238" s="118">
        <v>9.41</v>
      </c>
      <c r="O238" s="112" t="s">
        <v>210</v>
      </c>
      <c r="P238" s="113" t="s">
        <v>211</v>
      </c>
      <c r="Q238" s="243">
        <v>2.5999999999999999E-3</v>
      </c>
      <c r="R238" s="105">
        <v>0</v>
      </c>
      <c r="S238" s="115">
        <v>5.1700000000000001E-3</v>
      </c>
      <c r="T238" s="105">
        <v>420</v>
      </c>
      <c r="U238" s="116">
        <v>1050</v>
      </c>
      <c r="V238" s="243">
        <v>6.9999999999999999E-4</v>
      </c>
      <c r="W238" s="105">
        <v>280</v>
      </c>
      <c r="X238" s="116">
        <v>300</v>
      </c>
      <c r="Y238" s="117">
        <v>0</v>
      </c>
      <c r="Z238" s="117">
        <v>1</v>
      </c>
      <c r="AA238" s="123" t="s">
        <v>413</v>
      </c>
      <c r="AB238" s="106">
        <v>3.6</v>
      </c>
      <c r="AC238" s="113" t="s">
        <v>413</v>
      </c>
      <c r="AD238" s="112" t="s">
        <v>224</v>
      </c>
      <c r="AE238" s="175">
        <v>0.65</v>
      </c>
      <c r="AF238" s="120">
        <v>0.56999999999999995</v>
      </c>
      <c r="AG238" s="118">
        <v>0.08</v>
      </c>
      <c r="AH238" s="118">
        <v>0</v>
      </c>
      <c r="AI238" s="119">
        <v>0.65</v>
      </c>
      <c r="AJ238" s="120">
        <v>0.21</v>
      </c>
      <c r="AK238" s="118">
        <v>0.2</v>
      </c>
      <c r="AL238" s="118">
        <v>0</v>
      </c>
      <c r="AM238" s="119">
        <v>0.41</v>
      </c>
      <c r="AN238" s="120">
        <v>0</v>
      </c>
      <c r="AO238" s="118">
        <v>0.12</v>
      </c>
      <c r="AP238" s="118">
        <v>0</v>
      </c>
      <c r="AQ238" s="119">
        <v>0.12</v>
      </c>
      <c r="AR238" s="120">
        <v>0.41</v>
      </c>
      <c r="AS238" s="118">
        <v>0.09</v>
      </c>
      <c r="AT238" s="118">
        <v>0</v>
      </c>
      <c r="AU238" s="119">
        <v>0.5</v>
      </c>
      <c r="AV238" s="120">
        <v>0.31</v>
      </c>
      <c r="AW238" s="118">
        <v>0.19</v>
      </c>
      <c r="AX238" s="118">
        <v>0</v>
      </c>
      <c r="AY238" s="119">
        <v>0.49</v>
      </c>
      <c r="AZ238" s="120">
        <v>0.23</v>
      </c>
      <c r="BA238" s="118">
        <v>0.26</v>
      </c>
      <c r="BB238" s="118">
        <v>0</v>
      </c>
      <c r="BC238" s="119">
        <v>0.48</v>
      </c>
      <c r="BD238" s="121">
        <v>0.4</v>
      </c>
      <c r="BE238" s="120">
        <v>0.36</v>
      </c>
      <c r="BF238" s="118">
        <v>0</v>
      </c>
      <c r="BG238" s="118">
        <v>0</v>
      </c>
      <c r="BH238" s="119">
        <v>0.36</v>
      </c>
      <c r="BI238" s="120">
        <v>0.34</v>
      </c>
      <c r="BJ238" s="118">
        <v>0.11</v>
      </c>
      <c r="BK238" s="118">
        <v>0</v>
      </c>
      <c r="BL238" s="119">
        <v>0.45</v>
      </c>
      <c r="BM238" s="120">
        <v>1</v>
      </c>
      <c r="BN238" s="118">
        <v>1.57</v>
      </c>
      <c r="BO238" s="118">
        <v>5.41</v>
      </c>
      <c r="BP238" s="118">
        <v>1.3</v>
      </c>
      <c r="BQ238" s="118">
        <v>1.32</v>
      </c>
      <c r="BR238" s="118">
        <v>1.34</v>
      </c>
      <c r="BS238" s="118">
        <v>1.63</v>
      </c>
      <c r="BT238" s="118">
        <v>1.83</v>
      </c>
      <c r="BU238" s="119">
        <v>1.44</v>
      </c>
      <c r="BV238" s="74">
        <v>1050000</v>
      </c>
      <c r="BW238" s="254">
        <v>140</v>
      </c>
      <c r="BX238" s="105">
        <v>840</v>
      </c>
      <c r="BY238" s="157">
        <v>27.8</v>
      </c>
      <c r="BZ238" s="118">
        <v>9.41</v>
      </c>
      <c r="CA238" s="115">
        <v>5.1700000000000001E-3</v>
      </c>
      <c r="CB238" s="105">
        <v>420</v>
      </c>
      <c r="CC238" s="243">
        <v>6.9999999999999999E-4</v>
      </c>
      <c r="CD238" s="105">
        <v>280</v>
      </c>
      <c r="CE238" s="99">
        <f t="shared" si="11"/>
        <v>1.2448979591836735E-2</v>
      </c>
      <c r="CF238" s="100">
        <f t="shared" si="9"/>
        <v>0.65</v>
      </c>
    </row>
    <row r="239" spans="1:84" ht="24" hidden="1" x14ac:dyDescent="0.25">
      <c r="A239" s="101">
        <v>238</v>
      </c>
      <c r="B239" s="102"/>
      <c r="C239" s="103" t="s">
        <v>456</v>
      </c>
      <c r="D239" s="104">
        <v>1000</v>
      </c>
      <c r="E239" s="105">
        <v>1050</v>
      </c>
      <c r="F239" s="118">
        <f t="shared" si="10"/>
        <v>1050000</v>
      </c>
      <c r="G239" s="254">
        <v>140</v>
      </c>
      <c r="H239" s="105">
        <v>840</v>
      </c>
      <c r="I239" s="107">
        <v>0.95</v>
      </c>
      <c r="J239" s="255">
        <v>21.88</v>
      </c>
      <c r="K239" s="156">
        <v>17.899999999999999</v>
      </c>
      <c r="L239" s="157">
        <v>27.8</v>
      </c>
      <c r="M239" s="256">
        <v>0.68</v>
      </c>
      <c r="N239" s="118">
        <v>9.41</v>
      </c>
      <c r="O239" s="112" t="s">
        <v>210</v>
      </c>
      <c r="P239" s="113" t="s">
        <v>211</v>
      </c>
      <c r="Q239" s="243">
        <v>2.5999999999999999E-3</v>
      </c>
      <c r="R239" s="105">
        <v>0</v>
      </c>
      <c r="S239" s="115">
        <v>5.1700000000000001E-3</v>
      </c>
      <c r="T239" s="105">
        <v>420</v>
      </c>
      <c r="U239" s="116">
        <v>1050</v>
      </c>
      <c r="V239" s="243">
        <v>1.1999999999999999E-3</v>
      </c>
      <c r="W239" s="105">
        <v>280</v>
      </c>
      <c r="X239" s="116">
        <v>300</v>
      </c>
      <c r="Y239" s="117">
        <v>0</v>
      </c>
      <c r="Z239" s="117">
        <v>1</v>
      </c>
      <c r="AA239" s="108">
        <v>2.2999999999999998</v>
      </c>
      <c r="AB239" s="106">
        <v>4.5999999999999996</v>
      </c>
      <c r="AC239" s="109">
        <v>2</v>
      </c>
      <c r="AD239" s="118">
        <v>0.6</v>
      </c>
      <c r="AE239" s="119">
        <v>0.97</v>
      </c>
      <c r="AF239" s="120">
        <v>0.56999999999999995</v>
      </c>
      <c r="AG239" s="118">
        <v>0.13</v>
      </c>
      <c r="AH239" s="118">
        <v>0</v>
      </c>
      <c r="AI239" s="119">
        <v>0.71</v>
      </c>
      <c r="AJ239" s="120">
        <v>0.21</v>
      </c>
      <c r="AK239" s="118">
        <v>0.36</v>
      </c>
      <c r="AL239" s="118">
        <v>0</v>
      </c>
      <c r="AM239" s="119">
        <v>0.56999999999999995</v>
      </c>
      <c r="AN239" s="120">
        <v>0.44</v>
      </c>
      <c r="AO239" s="118">
        <v>0.22</v>
      </c>
      <c r="AP239" s="118">
        <v>0</v>
      </c>
      <c r="AQ239" s="119">
        <v>0.65</v>
      </c>
      <c r="AR239" s="120">
        <v>0.41</v>
      </c>
      <c r="AS239" s="118">
        <v>0.16</v>
      </c>
      <c r="AT239" s="118">
        <v>0</v>
      </c>
      <c r="AU239" s="119">
        <v>0.56999999999999995</v>
      </c>
      <c r="AV239" s="120">
        <v>0.31</v>
      </c>
      <c r="AW239" s="118">
        <v>0.34</v>
      </c>
      <c r="AX239" s="118">
        <v>0</v>
      </c>
      <c r="AY239" s="119">
        <v>0.64</v>
      </c>
      <c r="AZ239" s="120">
        <v>0.23</v>
      </c>
      <c r="BA239" s="118">
        <v>0.34</v>
      </c>
      <c r="BB239" s="118">
        <v>0</v>
      </c>
      <c r="BC239" s="119">
        <v>0.56999999999999995</v>
      </c>
      <c r="BD239" s="121">
        <v>0.4</v>
      </c>
      <c r="BE239" s="120">
        <v>0.36</v>
      </c>
      <c r="BF239" s="118">
        <v>0</v>
      </c>
      <c r="BG239" s="118">
        <v>0</v>
      </c>
      <c r="BH239" s="119">
        <v>0.36</v>
      </c>
      <c r="BI239" s="120">
        <v>0.34</v>
      </c>
      <c r="BJ239" s="118">
        <v>0.2</v>
      </c>
      <c r="BK239" s="118">
        <v>0</v>
      </c>
      <c r="BL239" s="119">
        <v>0.54</v>
      </c>
      <c r="BM239" s="120">
        <v>1.37</v>
      </c>
      <c r="BN239" s="118">
        <v>1.7</v>
      </c>
      <c r="BO239" s="118">
        <v>1.48</v>
      </c>
      <c r="BP239" s="118">
        <v>1.69</v>
      </c>
      <c r="BQ239" s="118">
        <v>1.51</v>
      </c>
      <c r="BR239" s="118">
        <v>1.7</v>
      </c>
      <c r="BS239" s="118">
        <v>2.4300000000000002</v>
      </c>
      <c r="BT239" s="118">
        <v>2.73</v>
      </c>
      <c r="BU239" s="119">
        <v>1.8</v>
      </c>
      <c r="BV239" s="74">
        <v>1050000</v>
      </c>
      <c r="BW239" s="254">
        <v>140</v>
      </c>
      <c r="BX239" s="105">
        <v>840</v>
      </c>
      <c r="BY239" s="157">
        <v>27.8</v>
      </c>
      <c r="BZ239" s="118">
        <v>9.41</v>
      </c>
      <c r="CA239" s="115">
        <v>5.1700000000000001E-3</v>
      </c>
      <c r="CB239" s="105">
        <v>420</v>
      </c>
      <c r="CC239" s="243">
        <v>1.1999999999999999E-3</v>
      </c>
      <c r="CD239" s="105">
        <v>280</v>
      </c>
      <c r="CE239" s="99">
        <f t="shared" si="11"/>
        <v>1.8571428571428572E-2</v>
      </c>
      <c r="CF239" s="100">
        <f t="shared" si="9"/>
        <v>0.97</v>
      </c>
    </row>
    <row r="240" spans="1:84" ht="24" x14ac:dyDescent="0.25">
      <c r="A240" s="101">
        <v>239</v>
      </c>
      <c r="B240" s="102"/>
      <c r="C240" s="103" t="s">
        <v>457</v>
      </c>
      <c r="D240" s="104">
        <v>1000</v>
      </c>
      <c r="E240" s="105">
        <v>1050</v>
      </c>
      <c r="F240" s="118">
        <f t="shared" si="10"/>
        <v>1050000</v>
      </c>
      <c r="G240" s="254">
        <v>140</v>
      </c>
      <c r="H240" s="105">
        <v>840</v>
      </c>
      <c r="I240" s="107">
        <v>0.95</v>
      </c>
      <c r="J240" s="255">
        <v>21.88</v>
      </c>
      <c r="K240" s="156">
        <v>17.899999999999999</v>
      </c>
      <c r="L240" s="157">
        <v>27.8</v>
      </c>
      <c r="M240" s="256">
        <v>1.05</v>
      </c>
      <c r="N240" s="118">
        <v>18.04</v>
      </c>
      <c r="O240" s="112" t="s">
        <v>201</v>
      </c>
      <c r="P240" s="113" t="s">
        <v>211</v>
      </c>
      <c r="Q240" s="243">
        <v>1.6999999999999999E-3</v>
      </c>
      <c r="R240" s="105">
        <v>0</v>
      </c>
      <c r="S240" s="115">
        <v>3.46E-3</v>
      </c>
      <c r="T240" s="105">
        <v>420</v>
      </c>
      <c r="U240" s="116">
        <v>1050</v>
      </c>
      <c r="V240" s="243">
        <v>5.9999999999999995E-4</v>
      </c>
      <c r="W240" s="105">
        <v>500</v>
      </c>
      <c r="X240" s="116">
        <v>400</v>
      </c>
      <c r="Y240" s="117">
        <v>0</v>
      </c>
      <c r="Z240" s="117">
        <v>1</v>
      </c>
      <c r="AA240" s="108">
        <v>1.5</v>
      </c>
      <c r="AB240" s="106">
        <v>9.5</v>
      </c>
      <c r="AC240" s="109">
        <v>6.3</v>
      </c>
      <c r="AD240" s="118">
        <v>0.27</v>
      </c>
      <c r="AE240" s="119">
        <v>0.76</v>
      </c>
      <c r="AF240" s="120">
        <v>0.4</v>
      </c>
      <c r="AG240" s="118">
        <v>0.12</v>
      </c>
      <c r="AH240" s="118">
        <v>0</v>
      </c>
      <c r="AI240" s="119">
        <v>0.51</v>
      </c>
      <c r="AJ240" s="120">
        <v>0.21</v>
      </c>
      <c r="AK240" s="118">
        <v>0.32</v>
      </c>
      <c r="AL240" s="118">
        <v>0</v>
      </c>
      <c r="AM240" s="119">
        <v>0.53</v>
      </c>
      <c r="AN240" s="120">
        <v>0</v>
      </c>
      <c r="AO240" s="118">
        <v>0.19</v>
      </c>
      <c r="AP240" s="118">
        <v>0</v>
      </c>
      <c r="AQ240" s="119">
        <v>0.19</v>
      </c>
      <c r="AR240" s="120">
        <v>0.56999999999999995</v>
      </c>
      <c r="AS240" s="118">
        <v>0.14000000000000001</v>
      </c>
      <c r="AT240" s="118">
        <v>0</v>
      </c>
      <c r="AU240" s="119">
        <v>0.68</v>
      </c>
      <c r="AV240" s="120">
        <v>0.21</v>
      </c>
      <c r="AW240" s="118">
        <v>0.3</v>
      </c>
      <c r="AX240" s="118">
        <v>0</v>
      </c>
      <c r="AY240" s="119">
        <v>0.51</v>
      </c>
      <c r="AZ240" s="120">
        <v>0.27</v>
      </c>
      <c r="BA240" s="118">
        <v>0.32</v>
      </c>
      <c r="BB240" s="118">
        <v>0</v>
      </c>
      <c r="BC240" s="119">
        <v>0.59</v>
      </c>
      <c r="BD240" s="121">
        <v>0.52</v>
      </c>
      <c r="BE240" s="120">
        <v>0.55000000000000004</v>
      </c>
      <c r="BF240" s="118">
        <v>0</v>
      </c>
      <c r="BG240" s="118">
        <v>0</v>
      </c>
      <c r="BH240" s="119">
        <v>0.55000000000000004</v>
      </c>
      <c r="BI240" s="120">
        <v>0.52</v>
      </c>
      <c r="BJ240" s="118">
        <v>0.18</v>
      </c>
      <c r="BK240" s="118">
        <v>0</v>
      </c>
      <c r="BL240" s="119">
        <v>0.7</v>
      </c>
      <c r="BM240" s="120">
        <v>1.48</v>
      </c>
      <c r="BN240" s="118">
        <v>1.43</v>
      </c>
      <c r="BO240" s="118">
        <v>4.0199999999999996</v>
      </c>
      <c r="BP240" s="118">
        <v>1.1200000000000001</v>
      </c>
      <c r="BQ240" s="118">
        <v>1.5</v>
      </c>
      <c r="BR240" s="118">
        <v>1.28</v>
      </c>
      <c r="BS240" s="118">
        <v>1.46</v>
      </c>
      <c r="BT240" s="118">
        <v>1.38</v>
      </c>
      <c r="BU240" s="119">
        <v>1.08</v>
      </c>
      <c r="BV240" s="74">
        <v>1050000</v>
      </c>
      <c r="BW240" s="254">
        <v>140</v>
      </c>
      <c r="BX240" s="105">
        <v>840</v>
      </c>
      <c r="BY240" s="157">
        <v>27.8</v>
      </c>
      <c r="BZ240" s="118">
        <v>18.04</v>
      </c>
      <c r="CA240" s="115">
        <v>3.46E-3</v>
      </c>
      <c r="CB240" s="105">
        <v>420</v>
      </c>
      <c r="CC240" s="243">
        <v>5.9999999999999995E-4</v>
      </c>
      <c r="CD240" s="105">
        <v>500</v>
      </c>
      <c r="CE240" s="99">
        <f t="shared" si="11"/>
        <v>9.3877551020408161E-3</v>
      </c>
      <c r="CF240" s="100">
        <f t="shared" si="9"/>
        <v>0.76</v>
      </c>
    </row>
    <row r="241" spans="1:84" ht="24" x14ac:dyDescent="0.25">
      <c r="A241" s="101">
        <v>240</v>
      </c>
      <c r="B241" s="102"/>
      <c r="C241" s="103" t="s">
        <v>458</v>
      </c>
      <c r="D241" s="104">
        <v>800</v>
      </c>
      <c r="E241" s="105">
        <v>1350</v>
      </c>
      <c r="F241" s="118">
        <f t="shared" si="10"/>
        <v>1080000</v>
      </c>
      <c r="G241" s="254">
        <v>140</v>
      </c>
      <c r="H241" s="105">
        <v>1080</v>
      </c>
      <c r="I241" s="107">
        <v>0.59</v>
      </c>
      <c r="J241" s="255">
        <v>21.88</v>
      </c>
      <c r="K241" s="156">
        <v>17.899999999999999</v>
      </c>
      <c r="L241" s="157">
        <v>27.8</v>
      </c>
      <c r="M241" s="256">
        <v>1.05</v>
      </c>
      <c r="N241" s="118">
        <v>18.04</v>
      </c>
      <c r="O241" s="112" t="s">
        <v>201</v>
      </c>
      <c r="P241" s="113" t="s">
        <v>211</v>
      </c>
      <c r="Q241" s="243">
        <v>1.2999999999999999E-3</v>
      </c>
      <c r="R241" s="105">
        <v>0</v>
      </c>
      <c r="S241" s="115">
        <v>2.6900000000000001E-3</v>
      </c>
      <c r="T241" s="105">
        <v>420</v>
      </c>
      <c r="U241" s="116">
        <v>1350</v>
      </c>
      <c r="V241" s="104">
        <v>0</v>
      </c>
      <c r="W241" s="105">
        <v>0</v>
      </c>
      <c r="X241" s="113" t="s">
        <v>413</v>
      </c>
      <c r="Y241" s="117">
        <v>0</v>
      </c>
      <c r="Z241" s="117">
        <v>1</v>
      </c>
      <c r="AA241" s="108">
        <v>1</v>
      </c>
      <c r="AB241" s="106">
        <v>1.9</v>
      </c>
      <c r="AC241" s="109">
        <v>1.9</v>
      </c>
      <c r="AD241" s="118">
        <v>0.27</v>
      </c>
      <c r="AE241" s="119">
        <v>0.39</v>
      </c>
      <c r="AF241" s="120">
        <v>0.48</v>
      </c>
      <c r="AG241" s="118">
        <v>0</v>
      </c>
      <c r="AH241" s="118">
        <v>0</v>
      </c>
      <c r="AI241" s="119">
        <v>0.48</v>
      </c>
      <c r="AJ241" s="120">
        <v>0.21</v>
      </c>
      <c r="AK241" s="118">
        <v>0</v>
      </c>
      <c r="AL241" s="118">
        <v>0</v>
      </c>
      <c r="AM241" s="119">
        <v>0.21</v>
      </c>
      <c r="AN241" s="120">
        <v>0.71</v>
      </c>
      <c r="AO241" s="118">
        <v>0</v>
      </c>
      <c r="AP241" s="118">
        <v>0</v>
      </c>
      <c r="AQ241" s="119">
        <v>0.71</v>
      </c>
      <c r="AR241" s="120">
        <v>0.77</v>
      </c>
      <c r="AS241" s="118">
        <v>0</v>
      </c>
      <c r="AT241" s="118">
        <v>0</v>
      </c>
      <c r="AU241" s="119">
        <v>0.68</v>
      </c>
      <c r="AV241" s="120">
        <v>0.28000000000000003</v>
      </c>
      <c r="AW241" s="118">
        <v>0</v>
      </c>
      <c r="AX241" s="118">
        <v>0</v>
      </c>
      <c r="AY241" s="119">
        <v>0.28000000000000003</v>
      </c>
      <c r="AZ241" s="120">
        <v>0.26</v>
      </c>
      <c r="BA241" s="118">
        <v>0</v>
      </c>
      <c r="BB241" s="118">
        <v>0</v>
      </c>
      <c r="BC241" s="119">
        <v>0.26</v>
      </c>
      <c r="BD241" s="121">
        <v>0.21</v>
      </c>
      <c r="BE241" s="120">
        <v>0.88</v>
      </c>
      <c r="BF241" s="118">
        <v>0</v>
      </c>
      <c r="BG241" s="118">
        <v>0</v>
      </c>
      <c r="BH241" s="119">
        <v>0.88</v>
      </c>
      <c r="BI241" s="120">
        <v>0.52</v>
      </c>
      <c r="BJ241" s="118">
        <v>0</v>
      </c>
      <c r="BK241" s="118">
        <v>0</v>
      </c>
      <c r="BL241" s="119">
        <v>0.52</v>
      </c>
      <c r="BM241" s="120">
        <v>0.81</v>
      </c>
      <c r="BN241" s="118">
        <v>1.84</v>
      </c>
      <c r="BO241" s="118">
        <v>0.54</v>
      </c>
      <c r="BP241" s="118">
        <v>0.56999999999999995</v>
      </c>
      <c r="BQ241" s="118">
        <v>1.35</v>
      </c>
      <c r="BR241" s="118">
        <v>1.49</v>
      </c>
      <c r="BS241" s="118">
        <v>1.81</v>
      </c>
      <c r="BT241" s="118">
        <v>0.44</v>
      </c>
      <c r="BU241" s="119">
        <v>0.74</v>
      </c>
      <c r="BV241" s="74">
        <v>1080000</v>
      </c>
      <c r="BW241" s="254">
        <v>140</v>
      </c>
      <c r="BX241" s="105">
        <v>1080</v>
      </c>
      <c r="BY241" s="157">
        <v>27.8</v>
      </c>
      <c r="BZ241" s="118">
        <v>18.04</v>
      </c>
      <c r="CA241" s="115">
        <v>2.6900000000000001E-3</v>
      </c>
      <c r="CB241" s="105">
        <v>420</v>
      </c>
      <c r="CC241" s="104">
        <v>0</v>
      </c>
      <c r="CD241" s="105">
        <v>0</v>
      </c>
      <c r="CE241" s="99">
        <f t="shared" si="11"/>
        <v>2.3280423280423283E-3</v>
      </c>
      <c r="CF241" s="100">
        <f t="shared" si="9"/>
        <v>0.39</v>
      </c>
    </row>
    <row r="242" spans="1:84" ht="24" x14ac:dyDescent="0.25">
      <c r="A242" s="101">
        <v>241</v>
      </c>
      <c r="B242" s="102"/>
      <c r="C242" s="103" t="s">
        <v>459</v>
      </c>
      <c r="D242" s="104">
        <v>800</v>
      </c>
      <c r="E242" s="105">
        <v>1350</v>
      </c>
      <c r="F242" s="118">
        <f t="shared" si="10"/>
        <v>1080000</v>
      </c>
      <c r="G242" s="254">
        <v>140</v>
      </c>
      <c r="H242" s="105">
        <v>1080</v>
      </c>
      <c r="I242" s="107">
        <v>0.59</v>
      </c>
      <c r="J242" s="255">
        <v>21.88</v>
      </c>
      <c r="K242" s="156">
        <v>17.899999999999999</v>
      </c>
      <c r="L242" s="157">
        <v>27.8</v>
      </c>
      <c r="M242" s="256">
        <v>1.05</v>
      </c>
      <c r="N242" s="118">
        <v>18.04</v>
      </c>
      <c r="O242" s="112" t="s">
        <v>201</v>
      </c>
      <c r="P242" s="113" t="s">
        <v>211</v>
      </c>
      <c r="Q242" s="243">
        <v>1.2999999999999999E-3</v>
      </c>
      <c r="R242" s="105">
        <v>0</v>
      </c>
      <c r="S242" s="115">
        <v>2.6900000000000001E-3</v>
      </c>
      <c r="T242" s="105">
        <v>420</v>
      </c>
      <c r="U242" s="116">
        <v>1350</v>
      </c>
      <c r="V242" s="243">
        <v>5.9999999999999995E-4</v>
      </c>
      <c r="W242" s="105">
        <v>500</v>
      </c>
      <c r="X242" s="116">
        <v>400</v>
      </c>
      <c r="Y242" s="117">
        <v>0</v>
      </c>
      <c r="Z242" s="117">
        <v>1</v>
      </c>
      <c r="AA242" s="108">
        <v>1</v>
      </c>
      <c r="AB242" s="106">
        <v>4.5999999999999996</v>
      </c>
      <c r="AC242" s="109">
        <v>4.5999999999999996</v>
      </c>
      <c r="AD242" s="118">
        <v>0.36</v>
      </c>
      <c r="AE242" s="119">
        <v>0.5</v>
      </c>
      <c r="AF242" s="120">
        <v>0.48</v>
      </c>
      <c r="AG242" s="118">
        <v>0.12</v>
      </c>
      <c r="AH242" s="118">
        <v>0</v>
      </c>
      <c r="AI242" s="119">
        <v>0.59</v>
      </c>
      <c r="AJ242" s="120">
        <v>0.21</v>
      </c>
      <c r="AK242" s="118">
        <v>0.4</v>
      </c>
      <c r="AL242" s="118">
        <v>0</v>
      </c>
      <c r="AM242" s="119">
        <v>0.61</v>
      </c>
      <c r="AN242" s="120">
        <v>0</v>
      </c>
      <c r="AO242" s="118">
        <v>0.19</v>
      </c>
      <c r="AP242" s="118">
        <v>0</v>
      </c>
      <c r="AQ242" s="119">
        <v>0.19</v>
      </c>
      <c r="AR242" s="120">
        <v>0.77</v>
      </c>
      <c r="AS242" s="118">
        <v>0.14000000000000001</v>
      </c>
      <c r="AT242" s="118">
        <v>0</v>
      </c>
      <c r="AU242" s="119">
        <v>0.68</v>
      </c>
      <c r="AV242" s="120">
        <v>0.28000000000000003</v>
      </c>
      <c r="AW242" s="118">
        <v>0.3</v>
      </c>
      <c r="AX242" s="118">
        <v>0</v>
      </c>
      <c r="AY242" s="119">
        <v>0.57999999999999996</v>
      </c>
      <c r="AZ242" s="120">
        <v>0.26</v>
      </c>
      <c r="BA242" s="118">
        <v>0.32</v>
      </c>
      <c r="BB242" s="118">
        <v>0</v>
      </c>
      <c r="BC242" s="119">
        <v>0.57999999999999996</v>
      </c>
      <c r="BD242" s="121">
        <v>0.6</v>
      </c>
      <c r="BE242" s="120">
        <v>0.88</v>
      </c>
      <c r="BF242" s="118">
        <v>0</v>
      </c>
      <c r="BG242" s="118">
        <v>0</v>
      </c>
      <c r="BH242" s="119">
        <v>0.88</v>
      </c>
      <c r="BI242" s="120">
        <v>0.52</v>
      </c>
      <c r="BJ242" s="118">
        <v>0.18</v>
      </c>
      <c r="BK242" s="118">
        <v>0</v>
      </c>
      <c r="BL242" s="119">
        <v>0.7</v>
      </c>
      <c r="BM242" s="120">
        <v>0.85</v>
      </c>
      <c r="BN242" s="118">
        <v>0.82</v>
      </c>
      <c r="BO242" s="118">
        <v>2.66</v>
      </c>
      <c r="BP242" s="118">
        <v>0.74</v>
      </c>
      <c r="BQ242" s="118">
        <v>0.87</v>
      </c>
      <c r="BR242" s="118">
        <v>0.87</v>
      </c>
      <c r="BS242" s="118">
        <v>0.84</v>
      </c>
      <c r="BT242" s="118">
        <v>0.56999999999999995</v>
      </c>
      <c r="BU242" s="119">
        <v>0.72</v>
      </c>
      <c r="BV242" s="74">
        <v>1080000</v>
      </c>
      <c r="BW242" s="254">
        <v>140</v>
      </c>
      <c r="BX242" s="105">
        <v>1080</v>
      </c>
      <c r="BY242" s="157">
        <v>27.8</v>
      </c>
      <c r="BZ242" s="118">
        <v>18.04</v>
      </c>
      <c r="CA242" s="115">
        <v>2.6900000000000001E-3</v>
      </c>
      <c r="CB242" s="105">
        <v>420</v>
      </c>
      <c r="CC242" s="243">
        <v>5.9999999999999995E-4</v>
      </c>
      <c r="CD242" s="105">
        <v>500</v>
      </c>
      <c r="CE242" s="99">
        <f t="shared" si="11"/>
        <v>3.0158730158730157E-3</v>
      </c>
      <c r="CF242" s="100">
        <f t="shared" si="9"/>
        <v>0.5</v>
      </c>
    </row>
    <row r="243" spans="1:84" ht="24" x14ac:dyDescent="0.25">
      <c r="A243" s="101">
        <v>242</v>
      </c>
      <c r="B243" s="102"/>
      <c r="C243" s="103" t="s">
        <v>460</v>
      </c>
      <c r="D243" s="104">
        <v>600</v>
      </c>
      <c r="E243" s="105">
        <v>1650</v>
      </c>
      <c r="F243" s="118">
        <f t="shared" si="10"/>
        <v>990000</v>
      </c>
      <c r="G243" s="254">
        <v>140</v>
      </c>
      <c r="H243" s="105">
        <v>1320</v>
      </c>
      <c r="I243" s="107">
        <v>0.36</v>
      </c>
      <c r="J243" s="255">
        <v>21.88</v>
      </c>
      <c r="K243" s="156">
        <v>17.899999999999999</v>
      </c>
      <c r="L243" s="157">
        <v>27.8</v>
      </c>
      <c r="M243" s="256">
        <v>1.05</v>
      </c>
      <c r="N243" s="118">
        <v>18.04</v>
      </c>
      <c r="O243" s="112" t="s">
        <v>201</v>
      </c>
      <c r="P243" s="113" t="s">
        <v>211</v>
      </c>
      <c r="Q243" s="243">
        <v>8.9999999999999998E-4</v>
      </c>
      <c r="R243" s="105">
        <v>0</v>
      </c>
      <c r="S243" s="115">
        <v>1.74E-3</v>
      </c>
      <c r="T243" s="105">
        <v>420</v>
      </c>
      <c r="U243" s="116">
        <v>1650</v>
      </c>
      <c r="V243" s="104">
        <v>0</v>
      </c>
      <c r="W243" s="105">
        <v>0</v>
      </c>
      <c r="X243" s="113" t="s">
        <v>413</v>
      </c>
      <c r="Y243" s="117">
        <v>0</v>
      </c>
      <c r="Z243" s="117">
        <v>1</v>
      </c>
      <c r="AA243" s="108">
        <v>0.4</v>
      </c>
      <c r="AB243" s="106">
        <v>1.1000000000000001</v>
      </c>
      <c r="AC243" s="109">
        <v>2.6</v>
      </c>
      <c r="AD243" s="118">
        <v>0.27</v>
      </c>
      <c r="AE243" s="119">
        <v>0.28999999999999998</v>
      </c>
      <c r="AF243" s="120">
        <v>0.56000000000000005</v>
      </c>
      <c r="AG243" s="118">
        <v>0</v>
      </c>
      <c r="AH243" s="118">
        <v>0</v>
      </c>
      <c r="AI243" s="119">
        <v>0.56000000000000005</v>
      </c>
      <c r="AJ243" s="120">
        <v>0.21</v>
      </c>
      <c r="AK243" s="118">
        <v>0</v>
      </c>
      <c r="AL243" s="118">
        <v>0</v>
      </c>
      <c r="AM243" s="119">
        <v>0.21</v>
      </c>
      <c r="AN243" s="120">
        <v>0.51</v>
      </c>
      <c r="AO243" s="118">
        <v>0</v>
      </c>
      <c r="AP243" s="118">
        <v>0</v>
      </c>
      <c r="AQ243" s="119">
        <v>0.51</v>
      </c>
      <c r="AR243" s="120">
        <v>0.89</v>
      </c>
      <c r="AS243" s="118">
        <v>0</v>
      </c>
      <c r="AT243" s="118">
        <v>0</v>
      </c>
      <c r="AU243" s="119">
        <v>0.68</v>
      </c>
      <c r="AV243" s="120">
        <v>0.37</v>
      </c>
      <c r="AW243" s="118">
        <v>0</v>
      </c>
      <c r="AX243" s="118">
        <v>0</v>
      </c>
      <c r="AY243" s="119">
        <v>0.37</v>
      </c>
      <c r="AZ243" s="120">
        <v>0.23</v>
      </c>
      <c r="BA243" s="118">
        <v>0</v>
      </c>
      <c r="BB243" s="118">
        <v>0</v>
      </c>
      <c r="BC243" s="119">
        <v>0.23</v>
      </c>
      <c r="BD243" s="121">
        <v>0.24</v>
      </c>
      <c r="BE243" s="120">
        <v>1.44</v>
      </c>
      <c r="BF243" s="118">
        <v>0</v>
      </c>
      <c r="BG243" s="118">
        <v>0</v>
      </c>
      <c r="BH243" s="119">
        <v>1.44</v>
      </c>
      <c r="BI243" s="120">
        <v>0.52</v>
      </c>
      <c r="BJ243" s="118">
        <v>0</v>
      </c>
      <c r="BK243" s="118">
        <v>0</v>
      </c>
      <c r="BL243" s="119">
        <v>0.52</v>
      </c>
      <c r="BM243" s="120">
        <v>0.51</v>
      </c>
      <c r="BN243" s="118">
        <v>1.37</v>
      </c>
      <c r="BO243" s="118">
        <v>0.56000000000000005</v>
      </c>
      <c r="BP243" s="118">
        <v>0.42</v>
      </c>
      <c r="BQ243" s="118">
        <v>0.79</v>
      </c>
      <c r="BR243" s="118">
        <v>1.23</v>
      </c>
      <c r="BS243" s="118">
        <v>1.21</v>
      </c>
      <c r="BT243" s="118">
        <v>0.2</v>
      </c>
      <c r="BU243" s="119">
        <v>0.55000000000000004</v>
      </c>
      <c r="BV243" s="74">
        <v>990000</v>
      </c>
      <c r="BW243" s="254">
        <v>140</v>
      </c>
      <c r="BX243" s="105">
        <v>1320</v>
      </c>
      <c r="BY243" s="157">
        <v>27.8</v>
      </c>
      <c r="BZ243" s="118">
        <v>18.04</v>
      </c>
      <c r="CA243" s="115">
        <v>1.74E-3</v>
      </c>
      <c r="CB243" s="105">
        <v>420</v>
      </c>
      <c r="CC243" s="104">
        <v>0</v>
      </c>
      <c r="CD243" s="105">
        <v>0</v>
      </c>
      <c r="CE243" s="99">
        <f t="shared" si="11"/>
        <v>8.658008658008658E-4</v>
      </c>
      <c r="CF243" s="100">
        <f t="shared" si="9"/>
        <v>0.28999999999999998</v>
      </c>
    </row>
    <row r="244" spans="1:84" ht="24" x14ac:dyDescent="0.25">
      <c r="A244" s="101">
        <v>243</v>
      </c>
      <c r="B244" s="102"/>
      <c r="C244" s="103" t="s">
        <v>461</v>
      </c>
      <c r="D244" s="104">
        <v>600</v>
      </c>
      <c r="E244" s="105">
        <v>1650</v>
      </c>
      <c r="F244" s="118">
        <f t="shared" si="10"/>
        <v>990000</v>
      </c>
      <c r="G244" s="254">
        <v>140</v>
      </c>
      <c r="H244" s="105">
        <v>1320</v>
      </c>
      <c r="I244" s="107">
        <v>0.36</v>
      </c>
      <c r="J244" s="255">
        <v>21.88</v>
      </c>
      <c r="K244" s="156">
        <v>17.899999999999999</v>
      </c>
      <c r="L244" s="157">
        <v>27.8</v>
      </c>
      <c r="M244" s="256">
        <v>1.05</v>
      </c>
      <c r="N244" s="118">
        <v>18.04</v>
      </c>
      <c r="O244" s="112" t="s">
        <v>201</v>
      </c>
      <c r="P244" s="113" t="s">
        <v>211</v>
      </c>
      <c r="Q244" s="243">
        <v>8.9999999999999998E-4</v>
      </c>
      <c r="R244" s="105">
        <v>0</v>
      </c>
      <c r="S244" s="115">
        <v>1.74E-3</v>
      </c>
      <c r="T244" s="105">
        <v>420</v>
      </c>
      <c r="U244" s="116">
        <v>1650</v>
      </c>
      <c r="V244" s="243">
        <v>5.9999999999999995E-4</v>
      </c>
      <c r="W244" s="105">
        <v>500</v>
      </c>
      <c r="X244" s="116">
        <v>400</v>
      </c>
      <c r="Y244" s="117">
        <v>0</v>
      </c>
      <c r="Z244" s="117">
        <v>1</v>
      </c>
      <c r="AA244" s="108">
        <v>0.5</v>
      </c>
      <c r="AB244" s="106">
        <v>3.3</v>
      </c>
      <c r="AC244" s="109">
        <v>6.6</v>
      </c>
      <c r="AD244" s="118">
        <v>0.21</v>
      </c>
      <c r="AE244" s="119">
        <v>0.33</v>
      </c>
      <c r="AF244" s="120">
        <v>0.56000000000000005</v>
      </c>
      <c r="AG244" s="118">
        <v>0.12</v>
      </c>
      <c r="AH244" s="118">
        <v>0</v>
      </c>
      <c r="AI244" s="119">
        <v>0.68</v>
      </c>
      <c r="AJ244" s="120">
        <v>0.21</v>
      </c>
      <c r="AK244" s="118">
        <v>0.36</v>
      </c>
      <c r="AL244" s="118">
        <v>0</v>
      </c>
      <c r="AM244" s="119">
        <v>0.56999999999999995</v>
      </c>
      <c r="AN244" s="120">
        <v>0</v>
      </c>
      <c r="AO244" s="118">
        <v>0.19</v>
      </c>
      <c r="AP244" s="118">
        <v>0</v>
      </c>
      <c r="AQ244" s="119">
        <v>0.19</v>
      </c>
      <c r="AR244" s="120">
        <v>0.89</v>
      </c>
      <c r="AS244" s="118">
        <v>0.14000000000000001</v>
      </c>
      <c r="AT244" s="118">
        <v>0</v>
      </c>
      <c r="AU244" s="119">
        <v>0.68</v>
      </c>
      <c r="AV244" s="120">
        <v>0.37</v>
      </c>
      <c r="AW244" s="118">
        <v>0.3</v>
      </c>
      <c r="AX244" s="118">
        <v>0</v>
      </c>
      <c r="AY244" s="119">
        <v>0.66</v>
      </c>
      <c r="AZ244" s="120">
        <v>0.23</v>
      </c>
      <c r="BA244" s="118">
        <v>0.32</v>
      </c>
      <c r="BB244" s="118">
        <v>0</v>
      </c>
      <c r="BC244" s="119">
        <v>0.55000000000000004</v>
      </c>
      <c r="BD244" s="121">
        <v>0.64</v>
      </c>
      <c r="BE244" s="120">
        <v>1.44</v>
      </c>
      <c r="BF244" s="118">
        <v>0</v>
      </c>
      <c r="BG244" s="118">
        <v>0</v>
      </c>
      <c r="BH244" s="119">
        <v>1.44</v>
      </c>
      <c r="BI244" s="120">
        <v>0.52</v>
      </c>
      <c r="BJ244" s="118">
        <v>0.18</v>
      </c>
      <c r="BK244" s="118">
        <v>0</v>
      </c>
      <c r="BL244" s="119">
        <v>0.7</v>
      </c>
      <c r="BM244" s="120">
        <v>0.48</v>
      </c>
      <c r="BN244" s="118">
        <v>0.57999999999999996</v>
      </c>
      <c r="BO244" s="118">
        <v>1.72</v>
      </c>
      <c r="BP244" s="118">
        <v>0.48</v>
      </c>
      <c r="BQ244" s="118">
        <v>0.49</v>
      </c>
      <c r="BR244" s="118">
        <v>0.59</v>
      </c>
      <c r="BS244" s="118">
        <v>0.5</v>
      </c>
      <c r="BT244" s="118">
        <v>0.23</v>
      </c>
      <c r="BU244" s="119">
        <v>0.47</v>
      </c>
      <c r="BV244" s="74">
        <v>990000</v>
      </c>
      <c r="BW244" s="254">
        <v>140</v>
      </c>
      <c r="BX244" s="105">
        <v>1320</v>
      </c>
      <c r="BY244" s="157">
        <v>27.8</v>
      </c>
      <c r="BZ244" s="118">
        <v>18.04</v>
      </c>
      <c r="CA244" s="115">
        <v>1.74E-3</v>
      </c>
      <c r="CB244" s="105">
        <v>420</v>
      </c>
      <c r="CC244" s="243">
        <v>5.9999999999999995E-4</v>
      </c>
      <c r="CD244" s="105">
        <v>500</v>
      </c>
      <c r="CE244" s="99">
        <f t="shared" si="11"/>
        <v>9.9567099567099567E-4</v>
      </c>
      <c r="CF244" s="100">
        <f t="shared" si="9"/>
        <v>0.33</v>
      </c>
    </row>
    <row r="245" spans="1:84" ht="24" x14ac:dyDescent="0.25">
      <c r="A245" s="101">
        <v>244</v>
      </c>
      <c r="B245" s="102"/>
      <c r="C245" s="103" t="s">
        <v>462</v>
      </c>
      <c r="D245" s="104">
        <v>1000</v>
      </c>
      <c r="E245" s="105">
        <v>1000</v>
      </c>
      <c r="F245" s="118">
        <f t="shared" si="10"/>
        <v>1000000</v>
      </c>
      <c r="G245" s="254">
        <v>140</v>
      </c>
      <c r="H245" s="105">
        <v>800</v>
      </c>
      <c r="I245" s="107">
        <v>1</v>
      </c>
      <c r="J245" s="255">
        <v>21.88</v>
      </c>
      <c r="K245" s="156">
        <v>17.899999999999999</v>
      </c>
      <c r="L245" s="157">
        <v>27.8</v>
      </c>
      <c r="M245" s="256">
        <v>0.86</v>
      </c>
      <c r="N245" s="118">
        <v>12.94</v>
      </c>
      <c r="O245" s="112" t="s">
        <v>201</v>
      </c>
      <c r="P245" s="113" t="s">
        <v>211</v>
      </c>
      <c r="Q245" s="243">
        <v>1.4E-3</v>
      </c>
      <c r="R245" s="105">
        <v>0</v>
      </c>
      <c r="S245" s="115">
        <v>2.8700000000000002E-3</v>
      </c>
      <c r="T245" s="105">
        <v>420</v>
      </c>
      <c r="U245" s="116">
        <v>1000</v>
      </c>
      <c r="V245" s="104">
        <v>0</v>
      </c>
      <c r="W245" s="105">
        <v>0</v>
      </c>
      <c r="X245" s="113" t="s">
        <v>413</v>
      </c>
      <c r="Y245" s="117">
        <v>0</v>
      </c>
      <c r="Z245" s="117">
        <v>1</v>
      </c>
      <c r="AA245" s="108">
        <v>2</v>
      </c>
      <c r="AB245" s="106">
        <v>6.9</v>
      </c>
      <c r="AC245" s="109">
        <v>3.4</v>
      </c>
      <c r="AD245" s="118">
        <v>0.28000000000000003</v>
      </c>
      <c r="AE245" s="119">
        <v>0.39</v>
      </c>
      <c r="AF245" s="120">
        <v>0.34</v>
      </c>
      <c r="AG245" s="118">
        <v>0</v>
      </c>
      <c r="AH245" s="118">
        <v>0</v>
      </c>
      <c r="AI245" s="119">
        <v>0.34</v>
      </c>
      <c r="AJ245" s="120">
        <v>0.21</v>
      </c>
      <c r="AK245" s="118">
        <v>0</v>
      </c>
      <c r="AL245" s="118">
        <v>0</v>
      </c>
      <c r="AM245" s="119">
        <v>0.21</v>
      </c>
      <c r="AN245" s="120">
        <v>0.13</v>
      </c>
      <c r="AO245" s="118">
        <v>0</v>
      </c>
      <c r="AP245" s="118">
        <v>0</v>
      </c>
      <c r="AQ245" s="119">
        <v>0.13</v>
      </c>
      <c r="AR245" s="120">
        <v>0.46</v>
      </c>
      <c r="AS245" s="118">
        <v>0</v>
      </c>
      <c r="AT245" s="118">
        <v>0</v>
      </c>
      <c r="AU245" s="119">
        <v>0.46</v>
      </c>
      <c r="AV245" s="120">
        <v>0.18</v>
      </c>
      <c r="AW245" s="118">
        <v>0</v>
      </c>
      <c r="AX245" s="118">
        <v>0</v>
      </c>
      <c r="AY245" s="119">
        <v>0.18</v>
      </c>
      <c r="AZ245" s="120">
        <v>0.22</v>
      </c>
      <c r="BA245" s="118">
        <v>0</v>
      </c>
      <c r="BB245" s="118">
        <v>0</v>
      </c>
      <c r="BC245" s="119">
        <v>0.22</v>
      </c>
      <c r="BD245" s="121">
        <v>0.19</v>
      </c>
      <c r="BE245" s="120">
        <v>0.43</v>
      </c>
      <c r="BF245" s="118">
        <v>0</v>
      </c>
      <c r="BG245" s="118">
        <v>0</v>
      </c>
      <c r="BH245" s="119">
        <v>0.43</v>
      </c>
      <c r="BI245" s="120">
        <v>0.43</v>
      </c>
      <c r="BJ245" s="118">
        <v>0</v>
      </c>
      <c r="BK245" s="118">
        <v>0</v>
      </c>
      <c r="BL245" s="119">
        <v>0.43</v>
      </c>
      <c r="BM245" s="120">
        <v>1.17</v>
      </c>
      <c r="BN245" s="118">
        <v>1.88</v>
      </c>
      <c r="BO245" s="118">
        <v>3.04</v>
      </c>
      <c r="BP245" s="118">
        <v>0.86</v>
      </c>
      <c r="BQ245" s="118">
        <v>2.2000000000000002</v>
      </c>
      <c r="BR245" s="118">
        <v>1.76</v>
      </c>
      <c r="BS245" s="118">
        <v>2.08</v>
      </c>
      <c r="BT245" s="118">
        <v>0.92</v>
      </c>
      <c r="BU245" s="119">
        <v>0.92</v>
      </c>
      <c r="BV245" s="74">
        <v>1000000</v>
      </c>
      <c r="BW245" s="254">
        <v>140</v>
      </c>
      <c r="BX245" s="105">
        <v>800</v>
      </c>
      <c r="BY245" s="157">
        <v>27.8</v>
      </c>
      <c r="BZ245" s="118">
        <v>12.94</v>
      </c>
      <c r="CA245" s="115">
        <v>2.8700000000000002E-3</v>
      </c>
      <c r="CB245" s="105">
        <v>420</v>
      </c>
      <c r="CC245" s="104">
        <v>0</v>
      </c>
      <c r="CD245" s="105">
        <v>0</v>
      </c>
      <c r="CE245" s="99">
        <f t="shared" si="11"/>
        <v>6.5714285714285718E-3</v>
      </c>
      <c r="CF245" s="100">
        <f t="shared" si="9"/>
        <v>0.39</v>
      </c>
    </row>
    <row r="246" spans="1:84" ht="24" x14ac:dyDescent="0.25">
      <c r="A246" s="101">
        <v>245</v>
      </c>
      <c r="B246" s="102"/>
      <c r="C246" s="103" t="s">
        <v>463</v>
      </c>
      <c r="D246" s="104">
        <v>1000</v>
      </c>
      <c r="E246" s="105">
        <v>1000</v>
      </c>
      <c r="F246" s="118">
        <f t="shared" si="10"/>
        <v>1000000</v>
      </c>
      <c r="G246" s="254">
        <v>140</v>
      </c>
      <c r="H246" s="105">
        <v>800</v>
      </c>
      <c r="I246" s="107">
        <v>1</v>
      </c>
      <c r="J246" s="255">
        <v>21.88</v>
      </c>
      <c r="K246" s="156">
        <v>17.899999999999999</v>
      </c>
      <c r="L246" s="157">
        <v>27.8</v>
      </c>
      <c r="M246" s="256">
        <v>0.86</v>
      </c>
      <c r="N246" s="118">
        <v>12.94</v>
      </c>
      <c r="O246" s="112" t="s">
        <v>201</v>
      </c>
      <c r="P246" s="113" t="s">
        <v>211</v>
      </c>
      <c r="Q246" s="243">
        <v>1.4E-3</v>
      </c>
      <c r="R246" s="105">
        <v>0</v>
      </c>
      <c r="S246" s="115">
        <v>2.8700000000000002E-3</v>
      </c>
      <c r="T246" s="105">
        <v>420</v>
      </c>
      <c r="U246" s="116">
        <v>1000</v>
      </c>
      <c r="V246" s="243">
        <v>5.9999999999999995E-4</v>
      </c>
      <c r="W246" s="105">
        <v>500</v>
      </c>
      <c r="X246" s="116">
        <v>400</v>
      </c>
      <c r="Y246" s="117">
        <v>0</v>
      </c>
      <c r="Z246" s="117">
        <v>1</v>
      </c>
      <c r="AA246" s="108">
        <v>3</v>
      </c>
      <c r="AB246" s="106">
        <v>9.5</v>
      </c>
      <c r="AC246" s="109">
        <v>3.2</v>
      </c>
      <c r="AD246" s="118">
        <v>0.28000000000000003</v>
      </c>
      <c r="AE246" s="119">
        <v>0.48</v>
      </c>
      <c r="AF246" s="120">
        <v>0.34</v>
      </c>
      <c r="AG246" s="118">
        <v>0.12</v>
      </c>
      <c r="AH246" s="118">
        <v>0</v>
      </c>
      <c r="AI246" s="119">
        <v>0.45</v>
      </c>
      <c r="AJ246" s="120">
        <v>0.21</v>
      </c>
      <c r="AK246" s="118">
        <v>0.32</v>
      </c>
      <c r="AL246" s="118">
        <v>0</v>
      </c>
      <c r="AM246" s="119">
        <v>0.53</v>
      </c>
      <c r="AN246" s="120">
        <v>0.19</v>
      </c>
      <c r="AO246" s="118">
        <v>0.19</v>
      </c>
      <c r="AP246" s="118">
        <v>0</v>
      </c>
      <c r="AQ246" s="119">
        <v>0.38</v>
      </c>
      <c r="AR246" s="120">
        <v>0.46</v>
      </c>
      <c r="AS246" s="118">
        <v>0.14000000000000001</v>
      </c>
      <c r="AT246" s="118">
        <v>0</v>
      </c>
      <c r="AU246" s="119">
        <v>0.57999999999999996</v>
      </c>
      <c r="AV246" s="120">
        <v>0.18</v>
      </c>
      <c r="AW246" s="118">
        <v>0.3</v>
      </c>
      <c r="AX246" s="118">
        <v>0</v>
      </c>
      <c r="AY246" s="119">
        <v>0.47</v>
      </c>
      <c r="AZ246" s="120">
        <v>0.22</v>
      </c>
      <c r="BA246" s="118">
        <v>0.32</v>
      </c>
      <c r="BB246" s="118">
        <v>0</v>
      </c>
      <c r="BC246" s="119">
        <v>0.55000000000000004</v>
      </c>
      <c r="BD246" s="121">
        <v>0.47</v>
      </c>
      <c r="BE246" s="120">
        <v>0.43</v>
      </c>
      <c r="BF246" s="118">
        <v>0</v>
      </c>
      <c r="BG246" s="118">
        <v>0</v>
      </c>
      <c r="BH246" s="119">
        <v>0.43</v>
      </c>
      <c r="BI246" s="120">
        <v>0.43</v>
      </c>
      <c r="BJ246" s="118">
        <v>0.18</v>
      </c>
      <c r="BK246" s="118">
        <v>0</v>
      </c>
      <c r="BL246" s="119">
        <v>0.61</v>
      </c>
      <c r="BM246" s="120">
        <v>1.06</v>
      </c>
      <c r="BN246" s="118">
        <v>0.91</v>
      </c>
      <c r="BO246" s="118">
        <v>1.28</v>
      </c>
      <c r="BP246" s="118">
        <v>0.84</v>
      </c>
      <c r="BQ246" s="118">
        <v>1.02</v>
      </c>
      <c r="BR246" s="118">
        <v>0.88</v>
      </c>
      <c r="BS246" s="118">
        <v>1.03</v>
      </c>
      <c r="BT246" s="118">
        <v>1.1200000000000001</v>
      </c>
      <c r="BU246" s="119">
        <v>0.79</v>
      </c>
      <c r="BV246" s="74">
        <v>1000000</v>
      </c>
      <c r="BW246" s="254">
        <v>140</v>
      </c>
      <c r="BX246" s="105">
        <v>800</v>
      </c>
      <c r="BY246" s="157">
        <v>27.8</v>
      </c>
      <c r="BZ246" s="118">
        <v>12.94</v>
      </c>
      <c r="CA246" s="115">
        <v>2.8700000000000002E-3</v>
      </c>
      <c r="CB246" s="105">
        <v>420</v>
      </c>
      <c r="CC246" s="243">
        <v>5.9999999999999995E-4</v>
      </c>
      <c r="CD246" s="105">
        <v>500</v>
      </c>
      <c r="CE246" s="99">
        <f t="shared" si="11"/>
        <v>8.0000000000000019E-3</v>
      </c>
      <c r="CF246" s="100">
        <f t="shared" si="9"/>
        <v>0.48</v>
      </c>
    </row>
    <row r="247" spans="1:84" ht="24" x14ac:dyDescent="0.25">
      <c r="A247" s="101">
        <v>246</v>
      </c>
      <c r="B247" s="102"/>
      <c r="C247" s="103" t="s">
        <v>464</v>
      </c>
      <c r="D247" s="104">
        <v>1000</v>
      </c>
      <c r="E247" s="105">
        <v>1000</v>
      </c>
      <c r="F247" s="118">
        <f t="shared" si="10"/>
        <v>1000000</v>
      </c>
      <c r="G247" s="254">
        <v>140</v>
      </c>
      <c r="H247" s="105">
        <v>800</v>
      </c>
      <c r="I247" s="107">
        <v>1</v>
      </c>
      <c r="J247" s="255">
        <v>21.88</v>
      </c>
      <c r="K247" s="156">
        <v>17.899999999999999</v>
      </c>
      <c r="L247" s="157">
        <v>27.8</v>
      </c>
      <c r="M247" s="256">
        <v>0.86</v>
      </c>
      <c r="N247" s="118">
        <v>12.94</v>
      </c>
      <c r="O247" s="112" t="s">
        <v>201</v>
      </c>
      <c r="P247" s="113" t="s">
        <v>211</v>
      </c>
      <c r="Q247" s="243">
        <v>1.4E-3</v>
      </c>
      <c r="R247" s="105">
        <v>0</v>
      </c>
      <c r="S247" s="115">
        <v>2.8700000000000002E-3</v>
      </c>
      <c r="T247" s="105">
        <v>420</v>
      </c>
      <c r="U247" s="116">
        <v>1000</v>
      </c>
      <c r="V247" s="243">
        <v>1.1999999999999999E-3</v>
      </c>
      <c r="W247" s="105">
        <v>500</v>
      </c>
      <c r="X247" s="116">
        <v>200</v>
      </c>
      <c r="Y247" s="117">
        <v>0</v>
      </c>
      <c r="Z247" s="117">
        <v>1</v>
      </c>
      <c r="AA247" s="108">
        <v>2.4</v>
      </c>
      <c r="AB247" s="106">
        <v>10.5</v>
      </c>
      <c r="AC247" s="109">
        <v>4.4000000000000004</v>
      </c>
      <c r="AD247" s="118">
        <v>0.28000000000000003</v>
      </c>
      <c r="AE247" s="119">
        <v>0.67</v>
      </c>
      <c r="AF247" s="120">
        <v>0.34</v>
      </c>
      <c r="AG247" s="118">
        <v>0.24</v>
      </c>
      <c r="AH247" s="118">
        <v>0</v>
      </c>
      <c r="AI247" s="119">
        <v>0.56999999999999995</v>
      </c>
      <c r="AJ247" s="120">
        <v>0.21</v>
      </c>
      <c r="AK247" s="118">
        <v>0.53</v>
      </c>
      <c r="AL247" s="118">
        <v>0</v>
      </c>
      <c r="AM247" s="119">
        <v>0.74</v>
      </c>
      <c r="AN247" s="120">
        <v>0</v>
      </c>
      <c r="AO247" s="118">
        <v>0.38</v>
      </c>
      <c r="AP247" s="118">
        <v>0</v>
      </c>
      <c r="AQ247" s="119">
        <v>0.38</v>
      </c>
      <c r="AR247" s="120">
        <v>0.46</v>
      </c>
      <c r="AS247" s="118">
        <v>0.28999999999999998</v>
      </c>
      <c r="AT247" s="118">
        <v>0</v>
      </c>
      <c r="AU247" s="119">
        <v>0.57999999999999996</v>
      </c>
      <c r="AV247" s="120">
        <v>0.18</v>
      </c>
      <c r="AW247" s="118">
        <v>0.6</v>
      </c>
      <c r="AX247" s="118">
        <v>0</v>
      </c>
      <c r="AY247" s="119">
        <v>0.77</v>
      </c>
      <c r="AZ247" s="120">
        <v>0.22</v>
      </c>
      <c r="BA247" s="118">
        <v>0.46</v>
      </c>
      <c r="BB247" s="118">
        <v>0</v>
      </c>
      <c r="BC247" s="119">
        <v>0.68</v>
      </c>
      <c r="BD247" s="121">
        <v>0.47</v>
      </c>
      <c r="BE247" s="120">
        <v>0.43</v>
      </c>
      <c r="BF247" s="118">
        <v>0</v>
      </c>
      <c r="BG247" s="118">
        <v>0</v>
      </c>
      <c r="BH247" s="119">
        <v>0.43</v>
      </c>
      <c r="BI247" s="120">
        <v>0.43</v>
      </c>
      <c r="BJ247" s="118">
        <v>0.36</v>
      </c>
      <c r="BK247" s="118">
        <v>0</v>
      </c>
      <c r="BL247" s="119">
        <v>0.79</v>
      </c>
      <c r="BM247" s="120">
        <v>1.1599999999999999</v>
      </c>
      <c r="BN247" s="118">
        <v>0.9</v>
      </c>
      <c r="BO247" s="118">
        <v>1.76</v>
      </c>
      <c r="BP247" s="118">
        <v>1.1599999999999999</v>
      </c>
      <c r="BQ247" s="118">
        <v>0.86</v>
      </c>
      <c r="BR247" s="118">
        <v>0.98</v>
      </c>
      <c r="BS247" s="118">
        <v>1.43</v>
      </c>
      <c r="BT247" s="118">
        <v>1.56</v>
      </c>
      <c r="BU247" s="119">
        <v>0.85</v>
      </c>
      <c r="BV247" s="74">
        <v>1000000</v>
      </c>
      <c r="BW247" s="254">
        <v>140</v>
      </c>
      <c r="BX247" s="105">
        <v>800</v>
      </c>
      <c r="BY247" s="157">
        <v>27.8</v>
      </c>
      <c r="BZ247" s="118">
        <v>12.94</v>
      </c>
      <c r="CA247" s="115">
        <v>2.8700000000000002E-3</v>
      </c>
      <c r="CB247" s="105">
        <v>420</v>
      </c>
      <c r="CC247" s="243">
        <v>1.1999999999999999E-3</v>
      </c>
      <c r="CD247" s="105">
        <v>500</v>
      </c>
      <c r="CE247" s="179">
        <f t="shared" si="11"/>
        <v>1.1142857142857144E-2</v>
      </c>
      <c r="CF247" s="180">
        <f t="shared" si="9"/>
        <v>0.67</v>
      </c>
    </row>
    <row r="248" spans="1:84" ht="24" hidden="1" x14ac:dyDescent="0.25">
      <c r="A248" s="101">
        <v>247</v>
      </c>
      <c r="B248" s="102"/>
      <c r="C248" s="103" t="s">
        <v>465</v>
      </c>
      <c r="D248" s="104">
        <v>1000</v>
      </c>
      <c r="E248" s="105">
        <v>1000</v>
      </c>
      <c r="F248" s="118">
        <f t="shared" si="10"/>
        <v>1000000</v>
      </c>
      <c r="G248" s="254">
        <v>140</v>
      </c>
      <c r="H248" s="105">
        <v>800</v>
      </c>
      <c r="I248" s="107">
        <v>1</v>
      </c>
      <c r="J248" s="255">
        <v>21.88</v>
      </c>
      <c r="K248" s="156">
        <v>17.899999999999999</v>
      </c>
      <c r="L248" s="157">
        <v>27.8</v>
      </c>
      <c r="M248" s="111">
        <v>0.92</v>
      </c>
      <c r="N248" s="118">
        <v>8.24</v>
      </c>
      <c r="O248" s="112" t="s">
        <v>210</v>
      </c>
      <c r="P248" s="113" t="s">
        <v>211</v>
      </c>
      <c r="Q248" s="243">
        <v>2.7000000000000001E-3</v>
      </c>
      <c r="R248" s="105">
        <v>0</v>
      </c>
      <c r="S248" s="115">
        <v>5.4299999999999999E-3</v>
      </c>
      <c r="T248" s="105">
        <v>420</v>
      </c>
      <c r="U248" s="116">
        <v>1000</v>
      </c>
      <c r="V248" s="104">
        <v>0</v>
      </c>
      <c r="W248" s="105">
        <v>0</v>
      </c>
      <c r="X248" s="113" t="s">
        <v>413</v>
      </c>
      <c r="Y248" s="117">
        <v>0</v>
      </c>
      <c r="Z248" s="117">
        <v>1</v>
      </c>
      <c r="AA248" s="108">
        <v>2.2000000000000002</v>
      </c>
      <c r="AB248" s="106">
        <v>5.2</v>
      </c>
      <c r="AC248" s="109">
        <v>2.4</v>
      </c>
      <c r="AD248" s="118">
        <v>0.35</v>
      </c>
      <c r="AE248" s="119">
        <v>0.48</v>
      </c>
      <c r="AF248" s="120">
        <v>0.54</v>
      </c>
      <c r="AG248" s="118">
        <v>0</v>
      </c>
      <c r="AH248" s="118">
        <v>0</v>
      </c>
      <c r="AI248" s="119">
        <v>0.54</v>
      </c>
      <c r="AJ248" s="120">
        <v>0.21</v>
      </c>
      <c r="AK248" s="118">
        <v>0</v>
      </c>
      <c r="AL248" s="118">
        <v>0</v>
      </c>
      <c r="AM248" s="119">
        <v>0.21</v>
      </c>
      <c r="AN248" s="120">
        <v>0.33</v>
      </c>
      <c r="AO248" s="118">
        <v>0</v>
      </c>
      <c r="AP248" s="118">
        <v>0</v>
      </c>
      <c r="AQ248" s="119">
        <v>0.33</v>
      </c>
      <c r="AR248" s="120">
        <v>0.37</v>
      </c>
      <c r="AS248" s="118">
        <v>0</v>
      </c>
      <c r="AT248" s="118">
        <v>0</v>
      </c>
      <c r="AU248" s="119">
        <v>0.37</v>
      </c>
      <c r="AV248" s="120">
        <v>0.28999999999999998</v>
      </c>
      <c r="AW248" s="118">
        <v>0</v>
      </c>
      <c r="AX248" s="118">
        <v>0</v>
      </c>
      <c r="AY248" s="119">
        <v>0.28999999999999998</v>
      </c>
      <c r="AZ248" s="120">
        <v>0.22</v>
      </c>
      <c r="BA248" s="118">
        <v>0</v>
      </c>
      <c r="BB248" s="118">
        <v>0</v>
      </c>
      <c r="BC248" s="119">
        <v>0.22</v>
      </c>
      <c r="BD248" s="121">
        <v>0.17</v>
      </c>
      <c r="BE248" s="120">
        <v>0.46</v>
      </c>
      <c r="BF248" s="118">
        <v>0</v>
      </c>
      <c r="BG248" s="118">
        <v>0</v>
      </c>
      <c r="BH248" s="119">
        <v>0.46</v>
      </c>
      <c r="BI248" s="120">
        <v>0.46</v>
      </c>
      <c r="BJ248" s="118">
        <v>0</v>
      </c>
      <c r="BK248" s="118">
        <v>0</v>
      </c>
      <c r="BL248" s="119">
        <v>0.46</v>
      </c>
      <c r="BM248" s="120">
        <v>0.9</v>
      </c>
      <c r="BN248" s="118">
        <v>2.29</v>
      </c>
      <c r="BO248" s="118">
        <v>1.47</v>
      </c>
      <c r="BP248" s="118">
        <v>1.31</v>
      </c>
      <c r="BQ248" s="118">
        <v>1.68</v>
      </c>
      <c r="BR248" s="118">
        <v>2.1800000000000002</v>
      </c>
      <c r="BS248" s="118">
        <v>2.79</v>
      </c>
      <c r="BT248" s="118">
        <v>1.05</v>
      </c>
      <c r="BU248" s="119">
        <v>1.05</v>
      </c>
      <c r="BV248" s="74">
        <v>1000000</v>
      </c>
      <c r="BW248" s="254">
        <v>140</v>
      </c>
      <c r="BX248" s="105">
        <v>800</v>
      </c>
      <c r="BY248" s="157">
        <v>27.8</v>
      </c>
      <c r="BZ248" s="118">
        <v>8.24</v>
      </c>
      <c r="CA248" s="115">
        <v>5.4299999999999999E-3</v>
      </c>
      <c r="CB248" s="105">
        <v>420</v>
      </c>
      <c r="CC248" s="104">
        <v>0</v>
      </c>
      <c r="CD248" s="105">
        <v>0</v>
      </c>
      <c r="CE248" s="99">
        <f t="shared" si="11"/>
        <v>7.5000000000000006E-3</v>
      </c>
      <c r="CF248" s="100">
        <f t="shared" si="9"/>
        <v>0.48</v>
      </c>
    </row>
    <row r="249" spans="1:84" ht="24" hidden="1" x14ac:dyDescent="0.25">
      <c r="A249" s="101">
        <v>248</v>
      </c>
      <c r="B249" s="102"/>
      <c r="C249" s="103" t="s">
        <v>466</v>
      </c>
      <c r="D249" s="104">
        <v>1000</v>
      </c>
      <c r="E249" s="105">
        <v>1000</v>
      </c>
      <c r="F249" s="118">
        <f t="shared" si="10"/>
        <v>1000000</v>
      </c>
      <c r="G249" s="254">
        <v>140</v>
      </c>
      <c r="H249" s="105">
        <v>800</v>
      </c>
      <c r="I249" s="107">
        <v>1</v>
      </c>
      <c r="J249" s="255">
        <v>21.88</v>
      </c>
      <c r="K249" s="156">
        <v>17.899999999999999</v>
      </c>
      <c r="L249" s="157">
        <v>27.8</v>
      </c>
      <c r="M249" s="111">
        <v>0.92</v>
      </c>
      <c r="N249" s="118">
        <v>8.24</v>
      </c>
      <c r="O249" s="112" t="s">
        <v>210</v>
      </c>
      <c r="P249" s="113" t="s">
        <v>211</v>
      </c>
      <c r="Q249" s="243">
        <v>2.7000000000000001E-3</v>
      </c>
      <c r="R249" s="105">
        <v>0</v>
      </c>
      <c r="S249" s="115">
        <v>5.4299999999999999E-3</v>
      </c>
      <c r="T249" s="105">
        <v>420</v>
      </c>
      <c r="U249" s="116">
        <v>1000</v>
      </c>
      <c r="V249" s="243">
        <v>5.9999999999999995E-4</v>
      </c>
      <c r="W249" s="105">
        <v>500</v>
      </c>
      <c r="X249" s="116">
        <v>400</v>
      </c>
      <c r="Y249" s="117">
        <v>0</v>
      </c>
      <c r="Z249" s="117">
        <v>1</v>
      </c>
      <c r="AA249" s="108">
        <v>3.2</v>
      </c>
      <c r="AB249" s="106">
        <v>11.1</v>
      </c>
      <c r="AC249" s="109">
        <v>3.5</v>
      </c>
      <c r="AD249" s="118">
        <v>0.42</v>
      </c>
      <c r="AE249" s="119">
        <v>0.61</v>
      </c>
      <c r="AF249" s="120">
        <v>0.54</v>
      </c>
      <c r="AG249" s="118">
        <v>0.12</v>
      </c>
      <c r="AH249" s="118">
        <v>0</v>
      </c>
      <c r="AI249" s="119">
        <v>0.65</v>
      </c>
      <c r="AJ249" s="120">
        <v>0.21</v>
      </c>
      <c r="AK249" s="118">
        <v>0.32</v>
      </c>
      <c r="AL249" s="118">
        <v>0</v>
      </c>
      <c r="AM249" s="119">
        <v>0.53</v>
      </c>
      <c r="AN249" s="120">
        <v>0.11</v>
      </c>
      <c r="AO249" s="118">
        <v>0.19</v>
      </c>
      <c r="AP249" s="118">
        <v>0</v>
      </c>
      <c r="AQ249" s="119">
        <v>0.3</v>
      </c>
      <c r="AR249" s="120">
        <v>0.37</v>
      </c>
      <c r="AS249" s="118">
        <v>0.14000000000000001</v>
      </c>
      <c r="AT249" s="118">
        <v>0</v>
      </c>
      <c r="AU249" s="119">
        <v>0.51</v>
      </c>
      <c r="AV249" s="120">
        <v>0.28999999999999998</v>
      </c>
      <c r="AW249" s="118">
        <v>0.3</v>
      </c>
      <c r="AX249" s="118">
        <v>0</v>
      </c>
      <c r="AY249" s="119">
        <v>0.57999999999999996</v>
      </c>
      <c r="AZ249" s="120">
        <v>0.22</v>
      </c>
      <c r="BA249" s="118">
        <v>0.32</v>
      </c>
      <c r="BB249" s="118">
        <v>0</v>
      </c>
      <c r="BC249" s="119">
        <v>0.54</v>
      </c>
      <c r="BD249" s="121">
        <v>0.37</v>
      </c>
      <c r="BE249" s="120">
        <v>0.46</v>
      </c>
      <c r="BF249" s="118">
        <v>0</v>
      </c>
      <c r="BG249" s="118">
        <v>0</v>
      </c>
      <c r="BH249" s="119">
        <v>0.46</v>
      </c>
      <c r="BI249" s="120">
        <v>0.46</v>
      </c>
      <c r="BJ249" s="118">
        <v>0.18</v>
      </c>
      <c r="BK249" s="118">
        <v>0</v>
      </c>
      <c r="BL249" s="119">
        <v>0.63</v>
      </c>
      <c r="BM249" s="120">
        <v>0.93</v>
      </c>
      <c r="BN249" s="118">
        <v>1.1499999999999999</v>
      </c>
      <c r="BO249" s="118">
        <v>2.0499999999999998</v>
      </c>
      <c r="BP249" s="118">
        <v>1.2</v>
      </c>
      <c r="BQ249" s="118">
        <v>1.05</v>
      </c>
      <c r="BR249" s="118">
        <v>1.1299999999999999</v>
      </c>
      <c r="BS249" s="118">
        <v>1.63</v>
      </c>
      <c r="BT249" s="118">
        <v>1.33</v>
      </c>
      <c r="BU249" s="119">
        <v>0.96</v>
      </c>
      <c r="BV249" s="74">
        <v>1000000</v>
      </c>
      <c r="BW249" s="254">
        <v>140</v>
      </c>
      <c r="BX249" s="105">
        <v>800</v>
      </c>
      <c r="BY249" s="157">
        <v>27.8</v>
      </c>
      <c r="BZ249" s="118">
        <v>8.24</v>
      </c>
      <c r="CA249" s="115">
        <v>5.4299999999999999E-3</v>
      </c>
      <c r="CB249" s="105">
        <v>420</v>
      </c>
      <c r="CC249" s="243">
        <v>5.9999999999999995E-4</v>
      </c>
      <c r="CD249" s="105">
        <v>500</v>
      </c>
      <c r="CE249" s="99">
        <f t="shared" si="11"/>
        <v>9.4999999999999998E-3</v>
      </c>
      <c r="CF249" s="100">
        <f t="shared" si="9"/>
        <v>0.61</v>
      </c>
    </row>
    <row r="250" spans="1:84" ht="24" hidden="1" x14ac:dyDescent="0.25">
      <c r="A250" s="128">
        <v>249</v>
      </c>
      <c r="B250" s="129"/>
      <c r="C250" s="130" t="s">
        <v>467</v>
      </c>
      <c r="D250" s="131">
        <v>1000</v>
      </c>
      <c r="E250" s="132">
        <v>1000</v>
      </c>
      <c r="F250" s="145">
        <f t="shared" si="10"/>
        <v>1000000</v>
      </c>
      <c r="G250" s="257">
        <v>140</v>
      </c>
      <c r="H250" s="132">
        <v>800</v>
      </c>
      <c r="I250" s="134">
        <v>1</v>
      </c>
      <c r="J250" s="258">
        <v>21.88</v>
      </c>
      <c r="K250" s="165">
        <v>17.899999999999999</v>
      </c>
      <c r="L250" s="181">
        <v>27.8</v>
      </c>
      <c r="M250" s="138">
        <v>0.92</v>
      </c>
      <c r="N250" s="145">
        <v>8.24</v>
      </c>
      <c r="O250" s="139" t="s">
        <v>210</v>
      </c>
      <c r="P250" s="140" t="s">
        <v>211</v>
      </c>
      <c r="Q250" s="244">
        <v>2.7000000000000001E-3</v>
      </c>
      <c r="R250" s="132">
        <v>0</v>
      </c>
      <c r="S250" s="142">
        <v>5.4299999999999999E-3</v>
      </c>
      <c r="T250" s="132">
        <v>420</v>
      </c>
      <c r="U250" s="143">
        <v>1000</v>
      </c>
      <c r="V250" s="244">
        <v>1.1999999999999999E-3</v>
      </c>
      <c r="W250" s="132">
        <v>500</v>
      </c>
      <c r="X250" s="143">
        <v>200</v>
      </c>
      <c r="Y250" s="144">
        <v>0</v>
      </c>
      <c r="Z250" s="144">
        <v>1</v>
      </c>
      <c r="AA250" s="135">
        <v>1.5</v>
      </c>
      <c r="AB250" s="133">
        <v>14.4</v>
      </c>
      <c r="AC250" s="136">
        <v>9.6</v>
      </c>
      <c r="AD250" s="145">
        <v>0.35</v>
      </c>
      <c r="AE250" s="146">
        <v>0.72</v>
      </c>
      <c r="AF250" s="147">
        <v>0.54</v>
      </c>
      <c r="AG250" s="145">
        <v>0.24</v>
      </c>
      <c r="AH250" s="145">
        <v>0</v>
      </c>
      <c r="AI250" s="146">
        <v>0.77</v>
      </c>
      <c r="AJ250" s="147">
        <v>0.21</v>
      </c>
      <c r="AK250" s="145">
        <v>0.53</v>
      </c>
      <c r="AL250" s="145">
        <v>0</v>
      </c>
      <c r="AM250" s="146">
        <v>0.74</v>
      </c>
      <c r="AN250" s="147">
        <v>0</v>
      </c>
      <c r="AO250" s="145">
        <v>0.38</v>
      </c>
      <c r="AP250" s="145">
        <v>0</v>
      </c>
      <c r="AQ250" s="146">
        <v>0.38</v>
      </c>
      <c r="AR250" s="147">
        <v>0.37</v>
      </c>
      <c r="AS250" s="145">
        <v>0.28999999999999998</v>
      </c>
      <c r="AT250" s="145">
        <v>0</v>
      </c>
      <c r="AU250" s="146">
        <v>0.65</v>
      </c>
      <c r="AV250" s="147">
        <v>0.28999999999999998</v>
      </c>
      <c r="AW250" s="145">
        <v>0.6</v>
      </c>
      <c r="AX250" s="145">
        <v>0</v>
      </c>
      <c r="AY250" s="146">
        <v>0.88</v>
      </c>
      <c r="AZ250" s="147">
        <v>0.22</v>
      </c>
      <c r="BA250" s="145">
        <v>0.46</v>
      </c>
      <c r="BB250" s="145">
        <v>0</v>
      </c>
      <c r="BC250" s="146">
        <v>0.68</v>
      </c>
      <c r="BD250" s="148">
        <v>0.37</v>
      </c>
      <c r="BE250" s="147">
        <v>0.46</v>
      </c>
      <c r="BF250" s="145">
        <v>0</v>
      </c>
      <c r="BG250" s="145">
        <v>0</v>
      </c>
      <c r="BH250" s="146">
        <v>0.46</v>
      </c>
      <c r="BI250" s="147">
        <v>0.46</v>
      </c>
      <c r="BJ250" s="145">
        <v>0.36</v>
      </c>
      <c r="BK250" s="145">
        <v>0</v>
      </c>
      <c r="BL250" s="146">
        <v>0.81</v>
      </c>
      <c r="BM250" s="147">
        <v>0.93</v>
      </c>
      <c r="BN250" s="145">
        <v>0.97</v>
      </c>
      <c r="BO250" s="145">
        <v>1.89</v>
      </c>
      <c r="BP250" s="145">
        <v>1.1000000000000001</v>
      </c>
      <c r="BQ250" s="145">
        <v>0.82</v>
      </c>
      <c r="BR250" s="145">
        <v>1.07</v>
      </c>
      <c r="BS250" s="145">
        <v>1.93</v>
      </c>
      <c r="BT250" s="145">
        <v>1.57</v>
      </c>
      <c r="BU250" s="146">
        <v>0.88</v>
      </c>
      <c r="BV250" s="74">
        <v>1000000</v>
      </c>
      <c r="BW250" s="257">
        <v>140</v>
      </c>
      <c r="BX250" s="132">
        <v>800</v>
      </c>
      <c r="BY250" s="181">
        <v>27.8</v>
      </c>
      <c r="BZ250" s="145">
        <v>8.24</v>
      </c>
      <c r="CA250" s="142">
        <v>5.4299999999999999E-3</v>
      </c>
      <c r="CB250" s="132">
        <v>420</v>
      </c>
      <c r="CC250" s="244">
        <v>1.1999999999999999E-3</v>
      </c>
      <c r="CD250" s="132">
        <v>500</v>
      </c>
      <c r="CE250" s="99">
        <f t="shared" si="11"/>
        <v>1.1214285714285715E-2</v>
      </c>
      <c r="CF250" s="100">
        <f t="shared" si="9"/>
        <v>0.72</v>
      </c>
    </row>
    <row r="251" spans="1:84" ht="24" customHeight="1" x14ac:dyDescent="0.25">
      <c r="A251" s="78">
        <v>250</v>
      </c>
      <c r="B251" s="79" t="s">
        <v>468</v>
      </c>
      <c r="C251" s="80" t="s">
        <v>469</v>
      </c>
      <c r="D251" s="81">
        <v>1000</v>
      </c>
      <c r="E251" s="82">
        <v>1050</v>
      </c>
      <c r="F251" s="95">
        <f t="shared" si="10"/>
        <v>1050000</v>
      </c>
      <c r="G251" s="251">
        <v>140</v>
      </c>
      <c r="H251" s="82">
        <v>840</v>
      </c>
      <c r="I251" s="84">
        <v>0.95</v>
      </c>
      <c r="J251" s="252">
        <v>21.88</v>
      </c>
      <c r="K251" s="150">
        <v>17.899999999999999</v>
      </c>
      <c r="L251" s="151">
        <v>27.8</v>
      </c>
      <c r="M251" s="253">
        <v>1.01</v>
      </c>
      <c r="N251" s="95">
        <v>16.97</v>
      </c>
      <c r="O251" s="89" t="s">
        <v>201</v>
      </c>
      <c r="P251" s="90" t="s">
        <v>211</v>
      </c>
      <c r="Q251" s="250">
        <v>1.4E-3</v>
      </c>
      <c r="R251" s="82">
        <v>0</v>
      </c>
      <c r="S251" s="92">
        <v>2.7399999999999998E-3</v>
      </c>
      <c r="T251" s="82">
        <v>420</v>
      </c>
      <c r="U251" s="93">
        <v>1050</v>
      </c>
      <c r="V251" s="81">
        <v>0</v>
      </c>
      <c r="W251" s="82">
        <v>0</v>
      </c>
      <c r="X251" s="90" t="s">
        <v>413</v>
      </c>
      <c r="Y251" s="94">
        <v>0</v>
      </c>
      <c r="Z251" s="94">
        <v>1</v>
      </c>
      <c r="AA251" s="85">
        <v>1.6</v>
      </c>
      <c r="AB251" s="83">
        <v>3.9</v>
      </c>
      <c r="AC251" s="86">
        <v>2.5</v>
      </c>
      <c r="AD251" s="95">
        <v>0.13</v>
      </c>
      <c r="AE251" s="96">
        <v>0.28999999999999998</v>
      </c>
      <c r="AF251" s="97">
        <v>0.38</v>
      </c>
      <c r="AG251" s="95">
        <v>0</v>
      </c>
      <c r="AH251" s="95">
        <v>0</v>
      </c>
      <c r="AI251" s="96">
        <v>0.38</v>
      </c>
      <c r="AJ251" s="97">
        <v>0.21</v>
      </c>
      <c r="AK251" s="95">
        <v>0</v>
      </c>
      <c r="AL251" s="95">
        <v>0</v>
      </c>
      <c r="AM251" s="96">
        <v>0.21</v>
      </c>
      <c r="AN251" s="97">
        <v>0.41</v>
      </c>
      <c r="AO251" s="95">
        <v>0</v>
      </c>
      <c r="AP251" s="95">
        <v>0</v>
      </c>
      <c r="AQ251" s="96">
        <v>0.41</v>
      </c>
      <c r="AR251" s="97">
        <v>0.55000000000000004</v>
      </c>
      <c r="AS251" s="95">
        <v>0</v>
      </c>
      <c r="AT251" s="95">
        <v>0</v>
      </c>
      <c r="AU251" s="96">
        <v>0.55000000000000004</v>
      </c>
      <c r="AV251" s="97">
        <v>0.21</v>
      </c>
      <c r="AW251" s="95">
        <v>0</v>
      </c>
      <c r="AX251" s="95">
        <v>0</v>
      </c>
      <c r="AY251" s="96">
        <v>0.21</v>
      </c>
      <c r="AZ251" s="97">
        <v>0.25</v>
      </c>
      <c r="BA251" s="95">
        <v>0</v>
      </c>
      <c r="BB251" s="95">
        <v>0</v>
      </c>
      <c r="BC251" s="96">
        <v>0.25</v>
      </c>
      <c r="BD251" s="98">
        <v>0.19</v>
      </c>
      <c r="BE251" s="97">
        <v>0.53</v>
      </c>
      <c r="BF251" s="95">
        <v>0</v>
      </c>
      <c r="BG251" s="95">
        <v>0</v>
      </c>
      <c r="BH251" s="96">
        <v>0.53</v>
      </c>
      <c r="BI251" s="97">
        <v>0.51</v>
      </c>
      <c r="BJ251" s="95">
        <v>0</v>
      </c>
      <c r="BK251" s="95">
        <v>0</v>
      </c>
      <c r="BL251" s="96">
        <v>0.51</v>
      </c>
      <c r="BM251" s="97">
        <v>0.76</v>
      </c>
      <c r="BN251" s="95">
        <v>1.4</v>
      </c>
      <c r="BO251" s="95">
        <v>0.72</v>
      </c>
      <c r="BP251" s="95">
        <v>0.53</v>
      </c>
      <c r="BQ251" s="95">
        <v>1.43</v>
      </c>
      <c r="BR251" s="95">
        <v>1.17</v>
      </c>
      <c r="BS251" s="95">
        <v>1.54</v>
      </c>
      <c r="BT251" s="95">
        <v>0.55000000000000004</v>
      </c>
      <c r="BU251" s="96">
        <v>0.57999999999999996</v>
      </c>
      <c r="BV251" s="74">
        <v>1050000</v>
      </c>
      <c r="BW251" s="251">
        <v>140</v>
      </c>
      <c r="BX251" s="82">
        <v>840</v>
      </c>
      <c r="BY251" s="151">
        <v>27.8</v>
      </c>
      <c r="BZ251" s="95">
        <v>16.97</v>
      </c>
      <c r="CA251" s="92">
        <v>2.7399999999999998E-3</v>
      </c>
      <c r="CB251" s="82">
        <v>420</v>
      </c>
      <c r="CC251" s="81">
        <v>0</v>
      </c>
      <c r="CD251" s="82">
        <v>0</v>
      </c>
      <c r="CE251" s="179">
        <f t="shared" si="11"/>
        <v>3.7414965986394561E-3</v>
      </c>
      <c r="CF251" s="180">
        <f t="shared" si="9"/>
        <v>0.28999999999999998</v>
      </c>
    </row>
    <row r="252" spans="1:84" ht="24" hidden="1" x14ac:dyDescent="0.25">
      <c r="A252" s="101">
        <v>251</v>
      </c>
      <c r="B252" s="102"/>
      <c r="C252" s="103" t="s">
        <v>470</v>
      </c>
      <c r="D252" s="104">
        <v>1000</v>
      </c>
      <c r="E252" s="105">
        <v>1050</v>
      </c>
      <c r="F252" s="118">
        <f t="shared" si="10"/>
        <v>1050000</v>
      </c>
      <c r="G252" s="254">
        <v>140</v>
      </c>
      <c r="H252" s="105">
        <v>840</v>
      </c>
      <c r="I252" s="107">
        <v>0.95</v>
      </c>
      <c r="J252" s="255">
        <v>21.88</v>
      </c>
      <c r="K252" s="156">
        <v>17.899999999999999</v>
      </c>
      <c r="L252" s="157">
        <v>27.8</v>
      </c>
      <c r="M252" s="111">
        <v>1.26</v>
      </c>
      <c r="N252" s="118">
        <v>15.68</v>
      </c>
      <c r="O252" s="112" t="s">
        <v>210</v>
      </c>
      <c r="P252" s="113" t="s">
        <v>211</v>
      </c>
      <c r="Q252" s="243">
        <v>2.5999999999999999E-3</v>
      </c>
      <c r="R252" s="105">
        <v>0</v>
      </c>
      <c r="S252" s="115">
        <v>5.1700000000000001E-3</v>
      </c>
      <c r="T252" s="105">
        <v>420</v>
      </c>
      <c r="U252" s="116">
        <v>1050</v>
      </c>
      <c r="V252" s="243">
        <v>5.9999999999999995E-4</v>
      </c>
      <c r="W252" s="105">
        <v>500</v>
      </c>
      <c r="X252" s="116">
        <v>400</v>
      </c>
      <c r="Y252" s="117">
        <v>0</v>
      </c>
      <c r="Z252" s="117">
        <v>1</v>
      </c>
      <c r="AA252" s="123" t="s">
        <v>413</v>
      </c>
      <c r="AB252" s="106">
        <v>8.6</v>
      </c>
      <c r="AC252" s="113" t="s">
        <v>413</v>
      </c>
      <c r="AD252" s="112" t="s">
        <v>224</v>
      </c>
      <c r="AE252" s="175">
        <v>0.87</v>
      </c>
      <c r="AF252" s="120">
        <v>0.74</v>
      </c>
      <c r="AG252" s="118">
        <v>0.12</v>
      </c>
      <c r="AH252" s="118">
        <v>0</v>
      </c>
      <c r="AI252" s="119">
        <v>0.86</v>
      </c>
      <c r="AJ252" s="120">
        <v>0.21</v>
      </c>
      <c r="AK252" s="118">
        <v>0.32</v>
      </c>
      <c r="AL252" s="118">
        <v>0</v>
      </c>
      <c r="AM252" s="119">
        <v>0.53</v>
      </c>
      <c r="AN252" s="120">
        <v>0</v>
      </c>
      <c r="AO252" s="118">
        <v>0.19</v>
      </c>
      <c r="AP252" s="118">
        <v>0</v>
      </c>
      <c r="AQ252" s="119">
        <v>0.19</v>
      </c>
      <c r="AR252" s="120">
        <v>0.53</v>
      </c>
      <c r="AS252" s="118">
        <v>0.14000000000000001</v>
      </c>
      <c r="AT252" s="118">
        <v>0</v>
      </c>
      <c r="AU252" s="119">
        <v>0.67</v>
      </c>
      <c r="AV252" s="120">
        <v>0.39</v>
      </c>
      <c r="AW252" s="118">
        <v>0.3</v>
      </c>
      <c r="AX252" s="118">
        <v>0</v>
      </c>
      <c r="AY252" s="119">
        <v>0.69</v>
      </c>
      <c r="AZ252" s="120">
        <v>0.28000000000000003</v>
      </c>
      <c r="BA252" s="118">
        <v>0.32</v>
      </c>
      <c r="BB252" s="118">
        <v>0</v>
      </c>
      <c r="BC252" s="119">
        <v>0.6</v>
      </c>
      <c r="BD252" s="121">
        <v>0.51</v>
      </c>
      <c r="BE252" s="120">
        <v>0.66</v>
      </c>
      <c r="BF252" s="118">
        <v>0</v>
      </c>
      <c r="BG252" s="118">
        <v>0</v>
      </c>
      <c r="BH252" s="119">
        <v>0.66</v>
      </c>
      <c r="BI252" s="120">
        <v>0.63</v>
      </c>
      <c r="BJ252" s="118">
        <v>0.18</v>
      </c>
      <c r="BK252" s="118">
        <v>0</v>
      </c>
      <c r="BL252" s="119">
        <v>0.81</v>
      </c>
      <c r="BM252" s="120">
        <v>1.01</v>
      </c>
      <c r="BN252" s="118">
        <v>1.64</v>
      </c>
      <c r="BO252" s="118">
        <v>4.6100000000000003</v>
      </c>
      <c r="BP252" s="118">
        <v>1.29</v>
      </c>
      <c r="BQ252" s="118">
        <v>1.26</v>
      </c>
      <c r="BR252" s="118">
        <v>1.45</v>
      </c>
      <c r="BS252" s="118">
        <v>1.69</v>
      </c>
      <c r="BT252" s="118">
        <v>1.31</v>
      </c>
      <c r="BU252" s="119">
        <v>1.08</v>
      </c>
      <c r="BV252" s="74">
        <v>1050000</v>
      </c>
      <c r="BW252" s="254">
        <v>140</v>
      </c>
      <c r="BX252" s="105">
        <v>840</v>
      </c>
      <c r="BY252" s="157">
        <v>27.8</v>
      </c>
      <c r="BZ252" s="118">
        <v>15.68</v>
      </c>
      <c r="CA252" s="115">
        <v>5.1700000000000001E-3</v>
      </c>
      <c r="CB252" s="105">
        <v>420</v>
      </c>
      <c r="CC252" s="243">
        <v>5.9999999999999995E-4</v>
      </c>
      <c r="CD252" s="105">
        <v>500</v>
      </c>
      <c r="CE252" s="99">
        <f t="shared" si="11"/>
        <v>8.9115646258503406E-3</v>
      </c>
      <c r="CF252" s="100">
        <f t="shared" si="9"/>
        <v>0.87</v>
      </c>
    </row>
    <row r="253" spans="1:84" ht="24" hidden="1" x14ac:dyDescent="0.25">
      <c r="A253" s="101">
        <v>252</v>
      </c>
      <c r="B253" s="102"/>
      <c r="C253" s="103" t="s">
        <v>471</v>
      </c>
      <c r="D253" s="104">
        <v>800</v>
      </c>
      <c r="E253" s="105">
        <v>1350</v>
      </c>
      <c r="F253" s="118">
        <f t="shared" si="10"/>
        <v>1080000</v>
      </c>
      <c r="G253" s="254">
        <v>140</v>
      </c>
      <c r="H253" s="105">
        <v>1080</v>
      </c>
      <c r="I253" s="107">
        <v>0.59</v>
      </c>
      <c r="J253" s="255">
        <v>21.88</v>
      </c>
      <c r="K253" s="156">
        <v>17.899999999999999</v>
      </c>
      <c r="L253" s="157">
        <v>27.8</v>
      </c>
      <c r="M253" s="111">
        <v>1.26</v>
      </c>
      <c r="N253" s="118">
        <v>15.68</v>
      </c>
      <c r="O253" s="112" t="s">
        <v>210</v>
      </c>
      <c r="P253" s="113" t="s">
        <v>211</v>
      </c>
      <c r="Q253" s="243">
        <v>1.1000000000000001E-3</v>
      </c>
      <c r="R253" s="105">
        <v>0</v>
      </c>
      <c r="S253" s="115">
        <v>2.1299999999999999E-3</v>
      </c>
      <c r="T253" s="105">
        <v>420</v>
      </c>
      <c r="U253" s="116">
        <v>1350</v>
      </c>
      <c r="V253" s="104">
        <v>0</v>
      </c>
      <c r="W253" s="105">
        <v>0</v>
      </c>
      <c r="X253" s="113" t="s">
        <v>413</v>
      </c>
      <c r="Y253" s="117">
        <v>0</v>
      </c>
      <c r="Z253" s="117">
        <v>1</v>
      </c>
      <c r="AA253" s="123" t="s">
        <v>413</v>
      </c>
      <c r="AB253" s="106">
        <v>9.3000000000000007</v>
      </c>
      <c r="AC253" s="113" t="s">
        <v>413</v>
      </c>
      <c r="AD253" s="112" t="s">
        <v>224</v>
      </c>
      <c r="AE253" s="175">
        <v>1.07</v>
      </c>
      <c r="AF253" s="120">
        <v>0.89</v>
      </c>
      <c r="AG253" s="118">
        <v>0</v>
      </c>
      <c r="AH253" s="118">
        <v>0</v>
      </c>
      <c r="AI253" s="119">
        <v>0.89</v>
      </c>
      <c r="AJ253" s="120">
        <v>0.21</v>
      </c>
      <c r="AK253" s="118">
        <v>0</v>
      </c>
      <c r="AL253" s="118">
        <v>0</v>
      </c>
      <c r="AM253" s="119">
        <v>0.21</v>
      </c>
      <c r="AN253" s="120">
        <v>0</v>
      </c>
      <c r="AO253" s="118">
        <v>0</v>
      </c>
      <c r="AP253" s="118">
        <v>0</v>
      </c>
      <c r="AQ253" s="119">
        <v>0</v>
      </c>
      <c r="AR253" s="120">
        <v>0.71</v>
      </c>
      <c r="AS253" s="118">
        <v>0</v>
      </c>
      <c r="AT253" s="118">
        <v>0</v>
      </c>
      <c r="AU253" s="119">
        <v>0.71</v>
      </c>
      <c r="AV253" s="120">
        <v>0.53</v>
      </c>
      <c r="AW253" s="118">
        <v>0</v>
      </c>
      <c r="AX253" s="118">
        <v>0</v>
      </c>
      <c r="AY253" s="119">
        <v>0.53</v>
      </c>
      <c r="AZ253" s="120">
        <v>0.23</v>
      </c>
      <c r="BA253" s="118">
        <v>0</v>
      </c>
      <c r="BB253" s="118">
        <v>0</v>
      </c>
      <c r="BC253" s="119">
        <v>0.23</v>
      </c>
      <c r="BD253" s="121">
        <v>0.21</v>
      </c>
      <c r="BE253" s="120">
        <v>1.07</v>
      </c>
      <c r="BF253" s="118">
        <v>0</v>
      </c>
      <c r="BG253" s="118">
        <v>0</v>
      </c>
      <c r="BH253" s="119">
        <v>1.07</v>
      </c>
      <c r="BI253" s="120">
        <v>0.63</v>
      </c>
      <c r="BJ253" s="118">
        <v>0</v>
      </c>
      <c r="BK253" s="118">
        <v>0</v>
      </c>
      <c r="BL253" s="119">
        <v>0.63</v>
      </c>
      <c r="BM253" s="120">
        <v>1.2</v>
      </c>
      <c r="BN253" s="118">
        <v>5.0999999999999996</v>
      </c>
      <c r="BO253" s="124"/>
      <c r="BP253" s="118">
        <v>1.5</v>
      </c>
      <c r="BQ253" s="118">
        <v>2.0099999999999998</v>
      </c>
      <c r="BR253" s="118">
        <v>4.68</v>
      </c>
      <c r="BS253" s="118">
        <v>5.0199999999999996</v>
      </c>
      <c r="BT253" s="118">
        <v>1</v>
      </c>
      <c r="BU253" s="119">
        <v>1.69</v>
      </c>
      <c r="BV253" s="74">
        <v>1080000</v>
      </c>
      <c r="BW253" s="254">
        <v>140</v>
      </c>
      <c r="BX253" s="105">
        <v>1080</v>
      </c>
      <c r="BY253" s="157">
        <v>27.8</v>
      </c>
      <c r="BZ253" s="118">
        <v>15.68</v>
      </c>
      <c r="CA253" s="115">
        <v>2.1299999999999999E-3</v>
      </c>
      <c r="CB253" s="105">
        <v>420</v>
      </c>
      <c r="CC253" s="104">
        <v>0</v>
      </c>
      <c r="CD253" s="105">
        <v>0</v>
      </c>
      <c r="CE253" s="99">
        <f t="shared" si="11"/>
        <v>5.2910052910052907E-3</v>
      </c>
      <c r="CF253" s="100">
        <f t="shared" si="9"/>
        <v>1.07</v>
      </c>
    </row>
    <row r="254" spans="1:84" ht="24" hidden="1" x14ac:dyDescent="0.25">
      <c r="A254" s="101">
        <v>253</v>
      </c>
      <c r="B254" s="102"/>
      <c r="C254" s="103" t="s">
        <v>472</v>
      </c>
      <c r="D254" s="104">
        <v>800</v>
      </c>
      <c r="E254" s="105">
        <v>1350</v>
      </c>
      <c r="F254" s="118">
        <f t="shared" si="10"/>
        <v>1080000</v>
      </c>
      <c r="G254" s="254">
        <v>140</v>
      </c>
      <c r="H254" s="105">
        <v>1080</v>
      </c>
      <c r="I254" s="107">
        <v>0.59</v>
      </c>
      <c r="J254" s="255">
        <v>21.88</v>
      </c>
      <c r="K254" s="156">
        <v>17.899999999999999</v>
      </c>
      <c r="L254" s="157">
        <v>27.8</v>
      </c>
      <c r="M254" s="111">
        <v>1.26</v>
      </c>
      <c r="N254" s="118">
        <v>15.68</v>
      </c>
      <c r="O254" s="112" t="s">
        <v>210</v>
      </c>
      <c r="P254" s="113" t="s">
        <v>211</v>
      </c>
      <c r="Q254" s="243">
        <v>2E-3</v>
      </c>
      <c r="R254" s="105">
        <v>0</v>
      </c>
      <c r="S254" s="115">
        <v>4.0200000000000001E-3</v>
      </c>
      <c r="T254" s="105">
        <v>420</v>
      </c>
      <c r="U254" s="116">
        <v>1350</v>
      </c>
      <c r="V254" s="243">
        <v>5.9999999999999995E-4</v>
      </c>
      <c r="W254" s="105">
        <v>500</v>
      </c>
      <c r="X254" s="116">
        <v>400</v>
      </c>
      <c r="Y254" s="117">
        <v>0</v>
      </c>
      <c r="Z254" s="117">
        <v>1</v>
      </c>
      <c r="AA254" s="123" t="s">
        <v>413</v>
      </c>
      <c r="AB254" s="106">
        <v>7.2</v>
      </c>
      <c r="AC254" s="113" t="s">
        <v>413</v>
      </c>
      <c r="AD254" s="112" t="s">
        <v>224</v>
      </c>
      <c r="AE254" s="175">
        <v>1.28</v>
      </c>
      <c r="AF254" s="120">
        <v>0.89</v>
      </c>
      <c r="AG254" s="118">
        <v>0.12</v>
      </c>
      <c r="AH254" s="118">
        <v>0</v>
      </c>
      <c r="AI254" s="119">
        <v>1.01</v>
      </c>
      <c r="AJ254" s="120">
        <v>0.21</v>
      </c>
      <c r="AK254" s="118">
        <v>0.4</v>
      </c>
      <c r="AL254" s="118">
        <v>0</v>
      </c>
      <c r="AM254" s="119">
        <v>0.61</v>
      </c>
      <c r="AN254" s="120">
        <v>0</v>
      </c>
      <c r="AO254" s="118">
        <v>0.19</v>
      </c>
      <c r="AP254" s="118">
        <v>0</v>
      </c>
      <c r="AQ254" s="119">
        <v>0.19</v>
      </c>
      <c r="AR254" s="120">
        <v>0.71</v>
      </c>
      <c r="AS254" s="118">
        <v>0.14000000000000001</v>
      </c>
      <c r="AT254" s="118">
        <v>0</v>
      </c>
      <c r="AU254" s="119">
        <v>0.85</v>
      </c>
      <c r="AV254" s="120">
        <v>0.53</v>
      </c>
      <c r="AW254" s="118">
        <v>0.3</v>
      </c>
      <c r="AX254" s="118">
        <v>0</v>
      </c>
      <c r="AY254" s="119">
        <v>0.83</v>
      </c>
      <c r="AZ254" s="120">
        <v>0.26</v>
      </c>
      <c r="BA254" s="118">
        <v>0.32</v>
      </c>
      <c r="BB254" s="118">
        <v>0</v>
      </c>
      <c r="BC254" s="119">
        <v>0.59</v>
      </c>
      <c r="BD254" s="121">
        <v>0.56000000000000005</v>
      </c>
      <c r="BE254" s="120">
        <v>1.07</v>
      </c>
      <c r="BF254" s="118">
        <v>0</v>
      </c>
      <c r="BG254" s="118">
        <v>0</v>
      </c>
      <c r="BH254" s="119">
        <v>1.07</v>
      </c>
      <c r="BI254" s="120">
        <v>0.63</v>
      </c>
      <c r="BJ254" s="118">
        <v>0.18</v>
      </c>
      <c r="BK254" s="118">
        <v>0</v>
      </c>
      <c r="BL254" s="119">
        <v>0.81</v>
      </c>
      <c r="BM254" s="120">
        <v>1.27</v>
      </c>
      <c r="BN254" s="118">
        <v>2.1</v>
      </c>
      <c r="BO254" s="118">
        <v>6.78</v>
      </c>
      <c r="BP254" s="118">
        <v>1.5</v>
      </c>
      <c r="BQ254" s="118">
        <v>1.55</v>
      </c>
      <c r="BR254" s="118">
        <v>2.19</v>
      </c>
      <c r="BS254" s="118">
        <v>2.2999999999999998</v>
      </c>
      <c r="BT254" s="118">
        <v>1.2</v>
      </c>
      <c r="BU254" s="119">
        <v>1.58</v>
      </c>
      <c r="BV254" s="74">
        <v>1080000</v>
      </c>
      <c r="BW254" s="254">
        <v>140</v>
      </c>
      <c r="BX254" s="105">
        <v>1080</v>
      </c>
      <c r="BY254" s="157">
        <v>27.8</v>
      </c>
      <c r="BZ254" s="118">
        <v>15.68</v>
      </c>
      <c r="CA254" s="115">
        <v>4.0200000000000001E-3</v>
      </c>
      <c r="CB254" s="105">
        <v>420</v>
      </c>
      <c r="CC254" s="243">
        <v>5.9999999999999995E-4</v>
      </c>
      <c r="CD254" s="105">
        <v>500</v>
      </c>
      <c r="CE254" s="99">
        <f t="shared" si="11"/>
        <v>6.3492063492063492E-3</v>
      </c>
      <c r="CF254" s="100">
        <f t="shared" si="9"/>
        <v>1.28</v>
      </c>
    </row>
    <row r="255" spans="1:84" ht="24" hidden="1" x14ac:dyDescent="0.25">
      <c r="A255" s="128">
        <v>254</v>
      </c>
      <c r="B255" s="129"/>
      <c r="C255" s="130" t="s">
        <v>473</v>
      </c>
      <c r="D255" s="131">
        <v>600</v>
      </c>
      <c r="E255" s="132">
        <v>1650</v>
      </c>
      <c r="F255" s="145">
        <f t="shared" si="10"/>
        <v>990000</v>
      </c>
      <c r="G255" s="257">
        <v>140</v>
      </c>
      <c r="H255" s="132">
        <v>1320</v>
      </c>
      <c r="I255" s="134">
        <v>0.36</v>
      </c>
      <c r="J255" s="258">
        <v>21.88</v>
      </c>
      <c r="K255" s="165">
        <v>17.899999999999999</v>
      </c>
      <c r="L255" s="181">
        <v>27.8</v>
      </c>
      <c r="M255" s="138">
        <v>1.26</v>
      </c>
      <c r="N255" s="145">
        <v>15.68</v>
      </c>
      <c r="O255" s="139" t="s">
        <v>210</v>
      </c>
      <c r="P255" s="140" t="s">
        <v>211</v>
      </c>
      <c r="Q255" s="244">
        <v>8.9999999999999998E-4</v>
      </c>
      <c r="R255" s="132">
        <v>0</v>
      </c>
      <c r="S255" s="142">
        <v>1.74E-3</v>
      </c>
      <c r="T255" s="132">
        <v>420</v>
      </c>
      <c r="U255" s="143">
        <v>1650</v>
      </c>
      <c r="V255" s="131">
        <v>0</v>
      </c>
      <c r="W255" s="132">
        <v>0</v>
      </c>
      <c r="X255" s="140" t="s">
        <v>413</v>
      </c>
      <c r="Y255" s="144">
        <v>0</v>
      </c>
      <c r="Z255" s="144">
        <v>1</v>
      </c>
      <c r="AA255" s="193" t="s">
        <v>413</v>
      </c>
      <c r="AB255" s="133">
        <v>4.2</v>
      </c>
      <c r="AC255" s="140" t="s">
        <v>413</v>
      </c>
      <c r="AD255" s="112" t="s">
        <v>224</v>
      </c>
      <c r="AE255" s="177">
        <v>1.17</v>
      </c>
      <c r="AF255" s="147">
        <v>1.05</v>
      </c>
      <c r="AG255" s="145">
        <v>0</v>
      </c>
      <c r="AH255" s="145">
        <v>0</v>
      </c>
      <c r="AI255" s="146">
        <v>1.05</v>
      </c>
      <c r="AJ255" s="147">
        <v>0.21</v>
      </c>
      <c r="AK255" s="145">
        <v>0</v>
      </c>
      <c r="AL255" s="145">
        <v>0</v>
      </c>
      <c r="AM255" s="146">
        <v>0.21</v>
      </c>
      <c r="AN255" s="147">
        <v>0</v>
      </c>
      <c r="AO255" s="145">
        <v>0</v>
      </c>
      <c r="AP255" s="145">
        <v>0</v>
      </c>
      <c r="AQ255" s="146">
        <v>0</v>
      </c>
      <c r="AR255" s="147">
        <v>0.83</v>
      </c>
      <c r="AS255" s="145">
        <v>0</v>
      </c>
      <c r="AT255" s="145">
        <v>0</v>
      </c>
      <c r="AU255" s="146">
        <v>0.83</v>
      </c>
      <c r="AV255" s="147">
        <v>0.68</v>
      </c>
      <c r="AW255" s="145">
        <v>0</v>
      </c>
      <c r="AX255" s="145">
        <v>0</v>
      </c>
      <c r="AY255" s="146">
        <v>0.68</v>
      </c>
      <c r="AZ255" s="147">
        <v>0.22</v>
      </c>
      <c r="BA255" s="145">
        <v>0</v>
      </c>
      <c r="BB255" s="145">
        <v>0</v>
      </c>
      <c r="BC255" s="146">
        <v>0.22</v>
      </c>
      <c r="BD255" s="148">
        <v>0.24</v>
      </c>
      <c r="BE255" s="147">
        <v>1.74</v>
      </c>
      <c r="BF255" s="145">
        <v>0</v>
      </c>
      <c r="BG255" s="145">
        <v>0</v>
      </c>
      <c r="BH255" s="146">
        <v>1.74</v>
      </c>
      <c r="BI255" s="147">
        <v>0.63</v>
      </c>
      <c r="BJ255" s="145">
        <v>0</v>
      </c>
      <c r="BK255" s="145">
        <v>0</v>
      </c>
      <c r="BL255" s="146">
        <v>0.63</v>
      </c>
      <c r="BM255" s="147">
        <v>1.1100000000000001</v>
      </c>
      <c r="BN255" s="145">
        <v>5.57</v>
      </c>
      <c r="BO255" s="195"/>
      <c r="BP255" s="145">
        <v>1.41</v>
      </c>
      <c r="BQ255" s="145">
        <v>1.71</v>
      </c>
      <c r="BR255" s="145">
        <v>5.36</v>
      </c>
      <c r="BS255" s="145">
        <v>4.8899999999999997</v>
      </c>
      <c r="BT255" s="145">
        <v>0.67</v>
      </c>
      <c r="BU255" s="146">
        <v>1.85</v>
      </c>
      <c r="BV255" s="74">
        <v>990000</v>
      </c>
      <c r="BW255" s="257">
        <v>140</v>
      </c>
      <c r="BX255" s="132">
        <v>1320</v>
      </c>
      <c r="BY255" s="181">
        <v>27.8</v>
      </c>
      <c r="BZ255" s="145">
        <v>15.68</v>
      </c>
      <c r="CA255" s="142">
        <v>1.74E-3</v>
      </c>
      <c r="CB255" s="132">
        <v>420</v>
      </c>
      <c r="CC255" s="131">
        <v>0</v>
      </c>
      <c r="CD255" s="132">
        <v>0</v>
      </c>
      <c r="CE255" s="99">
        <f t="shared" si="11"/>
        <v>2.9004329004329006E-3</v>
      </c>
      <c r="CF255" s="100">
        <f t="shared" si="9"/>
        <v>1.17</v>
      </c>
    </row>
    <row r="256" spans="1:84" ht="14.25" customHeight="1" x14ac:dyDescent="0.25">
      <c r="A256" s="78">
        <v>255</v>
      </c>
      <c r="B256" s="79" t="s">
        <v>59</v>
      </c>
      <c r="C256" s="80" t="s">
        <v>474</v>
      </c>
      <c r="D256" s="81">
        <v>2400</v>
      </c>
      <c r="E256" s="82">
        <v>2400</v>
      </c>
      <c r="F256" s="95">
        <f t="shared" si="10"/>
        <v>5760000</v>
      </c>
      <c r="G256" s="251">
        <v>140</v>
      </c>
      <c r="H256" s="82">
        <v>1920</v>
      </c>
      <c r="I256" s="84">
        <v>1</v>
      </c>
      <c r="J256" s="252">
        <v>21.88</v>
      </c>
      <c r="K256" s="150">
        <v>17.899999999999999</v>
      </c>
      <c r="L256" s="151">
        <v>27.8</v>
      </c>
      <c r="M256" s="88">
        <v>0.7</v>
      </c>
      <c r="N256" s="95">
        <v>16.04</v>
      </c>
      <c r="O256" s="89" t="s">
        <v>201</v>
      </c>
      <c r="P256" s="90" t="s">
        <v>211</v>
      </c>
      <c r="Q256" s="250">
        <v>5.9999999999999995E-4</v>
      </c>
      <c r="R256" s="92">
        <v>4.4999999999999999E-4</v>
      </c>
      <c r="S256" s="246">
        <v>1.5E-3</v>
      </c>
      <c r="T256" s="82">
        <v>420</v>
      </c>
      <c r="U256" s="93">
        <v>800</v>
      </c>
      <c r="V256" s="250">
        <v>5.9999999999999995E-4</v>
      </c>
      <c r="W256" s="82">
        <v>280</v>
      </c>
      <c r="X256" s="93">
        <v>300</v>
      </c>
      <c r="Y256" s="94">
        <v>0</v>
      </c>
      <c r="Z256" s="94">
        <v>1</v>
      </c>
      <c r="AA256" s="85">
        <v>7.4</v>
      </c>
      <c r="AB256" s="83">
        <v>16.2</v>
      </c>
      <c r="AC256" s="86">
        <v>2.2000000000000002</v>
      </c>
      <c r="AD256" s="95">
        <v>0.46</v>
      </c>
      <c r="AE256" s="96">
        <v>0.57999999999999996</v>
      </c>
      <c r="AF256" s="97">
        <v>0.37</v>
      </c>
      <c r="AG256" s="95">
        <v>0.06</v>
      </c>
      <c r="AH256" s="95">
        <v>0</v>
      </c>
      <c r="AI256" s="96">
        <v>0.44</v>
      </c>
      <c r="AJ256" s="97">
        <v>0.21</v>
      </c>
      <c r="AK256" s="95">
        <v>0.16</v>
      </c>
      <c r="AL256" s="95">
        <v>0</v>
      </c>
      <c r="AM256" s="96">
        <v>0.37</v>
      </c>
      <c r="AN256" s="97">
        <v>0.43</v>
      </c>
      <c r="AO256" s="95">
        <v>0.1</v>
      </c>
      <c r="AP256" s="95">
        <v>0</v>
      </c>
      <c r="AQ256" s="96">
        <v>0.53</v>
      </c>
      <c r="AR256" s="97">
        <v>0.51</v>
      </c>
      <c r="AS256" s="95">
        <v>0.08</v>
      </c>
      <c r="AT256" s="95">
        <v>0</v>
      </c>
      <c r="AU256" s="96">
        <v>0.59</v>
      </c>
      <c r="AV256" s="97">
        <v>0.2</v>
      </c>
      <c r="AW256" s="95">
        <v>0.16</v>
      </c>
      <c r="AX256" s="95">
        <v>0</v>
      </c>
      <c r="AY256" s="96">
        <v>0.36</v>
      </c>
      <c r="AZ256" s="97">
        <v>0.2</v>
      </c>
      <c r="BA256" s="95">
        <v>0.49</v>
      </c>
      <c r="BB256" s="95">
        <v>0</v>
      </c>
      <c r="BC256" s="96">
        <v>0.7</v>
      </c>
      <c r="BD256" s="98">
        <v>0.52</v>
      </c>
      <c r="BE256" s="97">
        <v>0.35</v>
      </c>
      <c r="BF256" s="95">
        <v>0</v>
      </c>
      <c r="BG256" s="95">
        <v>0</v>
      </c>
      <c r="BH256" s="96">
        <v>0.35</v>
      </c>
      <c r="BI256" s="97">
        <v>0.35</v>
      </c>
      <c r="BJ256" s="95">
        <v>0.1</v>
      </c>
      <c r="BK256" s="95">
        <v>0</v>
      </c>
      <c r="BL256" s="96">
        <v>0.45</v>
      </c>
      <c r="BM256" s="97">
        <v>1.34</v>
      </c>
      <c r="BN256" s="95">
        <v>1.57</v>
      </c>
      <c r="BO256" s="95">
        <v>1.1000000000000001</v>
      </c>
      <c r="BP256" s="95">
        <v>0.99</v>
      </c>
      <c r="BQ256" s="95">
        <v>1.63</v>
      </c>
      <c r="BR256" s="95">
        <v>0.84</v>
      </c>
      <c r="BS256" s="95">
        <v>1.1200000000000001</v>
      </c>
      <c r="BT256" s="95">
        <v>1.67</v>
      </c>
      <c r="BU256" s="96">
        <v>1.31</v>
      </c>
      <c r="BV256" s="74">
        <v>5760000</v>
      </c>
      <c r="BW256" s="251">
        <v>140</v>
      </c>
      <c r="BX256" s="82">
        <v>1920</v>
      </c>
      <c r="BY256" s="151">
        <v>27.8</v>
      </c>
      <c r="BZ256" s="95">
        <v>16.04</v>
      </c>
      <c r="CA256" s="246">
        <v>1.5E-3</v>
      </c>
      <c r="CB256" s="82">
        <v>420</v>
      </c>
      <c r="CC256" s="250">
        <v>5.9999999999999995E-4</v>
      </c>
      <c r="CD256" s="82">
        <v>280</v>
      </c>
      <c r="CE256" s="99">
        <f t="shared" si="11"/>
        <v>4.9702380952380953E-3</v>
      </c>
      <c r="CF256" s="100">
        <f t="shared" si="9"/>
        <v>0.57999999999999996</v>
      </c>
    </row>
    <row r="257" spans="1:84" x14ac:dyDescent="0.25">
      <c r="A257" s="101">
        <v>256</v>
      </c>
      <c r="B257" s="102"/>
      <c r="C257" s="103" t="s">
        <v>475</v>
      </c>
      <c r="D257" s="104">
        <v>2400</v>
      </c>
      <c r="E257" s="105">
        <v>2400</v>
      </c>
      <c r="F257" s="118">
        <f t="shared" si="10"/>
        <v>5760000</v>
      </c>
      <c r="G257" s="254">
        <v>140</v>
      </c>
      <c r="H257" s="105">
        <v>1920</v>
      </c>
      <c r="I257" s="107">
        <v>1</v>
      </c>
      <c r="J257" s="255">
        <v>21.88</v>
      </c>
      <c r="K257" s="156">
        <v>17.899999999999999</v>
      </c>
      <c r="L257" s="157">
        <v>27.8</v>
      </c>
      <c r="M257" s="111">
        <v>0.7</v>
      </c>
      <c r="N257" s="118">
        <v>16.04</v>
      </c>
      <c r="O257" s="112" t="s">
        <v>201</v>
      </c>
      <c r="P257" s="113" t="s">
        <v>211</v>
      </c>
      <c r="Q257" s="243">
        <v>2.9999999999999997E-4</v>
      </c>
      <c r="R257" s="115">
        <v>2.9999999999999997E-4</v>
      </c>
      <c r="S257" s="248">
        <v>8.0000000000000004E-4</v>
      </c>
      <c r="T257" s="105">
        <v>420</v>
      </c>
      <c r="U257" s="116">
        <v>1200</v>
      </c>
      <c r="V257" s="243">
        <v>2.9999999999999997E-4</v>
      </c>
      <c r="W257" s="105">
        <v>280</v>
      </c>
      <c r="X257" s="116">
        <v>500</v>
      </c>
      <c r="Y257" s="117">
        <v>0</v>
      </c>
      <c r="Z257" s="117">
        <v>1</v>
      </c>
      <c r="AA257" s="108">
        <v>6.5</v>
      </c>
      <c r="AB257" s="106">
        <v>10.5</v>
      </c>
      <c r="AC257" s="109">
        <v>1.6</v>
      </c>
      <c r="AD257" s="118">
        <v>0.39</v>
      </c>
      <c r="AE257" s="119">
        <v>0.42</v>
      </c>
      <c r="AF257" s="120">
        <v>0.37</v>
      </c>
      <c r="AG257" s="118">
        <v>0.04</v>
      </c>
      <c r="AH257" s="118">
        <v>0</v>
      </c>
      <c r="AI257" s="119">
        <v>0.41</v>
      </c>
      <c r="AJ257" s="120">
        <v>0.21</v>
      </c>
      <c r="AK257" s="118">
        <v>0.09</v>
      </c>
      <c r="AL257" s="118">
        <v>0</v>
      </c>
      <c r="AM257" s="119">
        <v>0.3</v>
      </c>
      <c r="AN257" s="120">
        <v>0.54</v>
      </c>
      <c r="AO257" s="118">
        <v>0.06</v>
      </c>
      <c r="AP257" s="118">
        <v>0</v>
      </c>
      <c r="AQ257" s="119">
        <v>0.61</v>
      </c>
      <c r="AR257" s="120">
        <v>0.51</v>
      </c>
      <c r="AS257" s="118">
        <v>0.05</v>
      </c>
      <c r="AT257" s="118">
        <v>0</v>
      </c>
      <c r="AU257" s="119">
        <v>0.56000000000000005</v>
      </c>
      <c r="AV257" s="120">
        <v>0.2</v>
      </c>
      <c r="AW257" s="118">
        <v>0.1</v>
      </c>
      <c r="AX257" s="118">
        <v>0</v>
      </c>
      <c r="AY257" s="119">
        <v>0.28999999999999998</v>
      </c>
      <c r="AZ257" s="120">
        <v>0.18</v>
      </c>
      <c r="BA257" s="118">
        <v>0.39</v>
      </c>
      <c r="BB257" s="118">
        <v>0</v>
      </c>
      <c r="BC257" s="119">
        <v>0.56999999999999995</v>
      </c>
      <c r="BD257" s="121">
        <v>0.52</v>
      </c>
      <c r="BE257" s="120">
        <v>0.35</v>
      </c>
      <c r="BF257" s="118">
        <v>0</v>
      </c>
      <c r="BG257" s="118">
        <v>0</v>
      </c>
      <c r="BH257" s="119">
        <v>0.35</v>
      </c>
      <c r="BI257" s="120">
        <v>0.35</v>
      </c>
      <c r="BJ257" s="118">
        <v>0.06</v>
      </c>
      <c r="BK257" s="118">
        <v>0</v>
      </c>
      <c r="BL257" s="119">
        <v>0.41</v>
      </c>
      <c r="BM257" s="120">
        <v>1.02</v>
      </c>
      <c r="BN257" s="118">
        <v>1.4</v>
      </c>
      <c r="BO257" s="118">
        <v>0.69</v>
      </c>
      <c r="BP257" s="118">
        <v>0.75</v>
      </c>
      <c r="BQ257" s="118">
        <v>1.42</v>
      </c>
      <c r="BR257" s="118">
        <v>0.74</v>
      </c>
      <c r="BS257" s="118">
        <v>0.81</v>
      </c>
      <c r="BT257" s="118">
        <v>1.2</v>
      </c>
      <c r="BU257" s="119">
        <v>1.03</v>
      </c>
      <c r="BV257" s="74">
        <v>5760000</v>
      </c>
      <c r="BW257" s="254">
        <v>140</v>
      </c>
      <c r="BX257" s="105">
        <v>1920</v>
      </c>
      <c r="BY257" s="157">
        <v>27.8</v>
      </c>
      <c r="BZ257" s="118">
        <v>16.04</v>
      </c>
      <c r="CA257" s="248">
        <v>8.0000000000000004E-4</v>
      </c>
      <c r="CB257" s="105">
        <v>420</v>
      </c>
      <c r="CC257" s="243">
        <v>2.9999999999999997E-4</v>
      </c>
      <c r="CD257" s="105">
        <v>280</v>
      </c>
      <c r="CE257" s="99">
        <f t="shared" si="11"/>
        <v>3.5714285714285713E-3</v>
      </c>
      <c r="CF257" s="100">
        <f t="shared" si="9"/>
        <v>0.42</v>
      </c>
    </row>
    <row r="258" spans="1:84" x14ac:dyDescent="0.25">
      <c r="A258" s="101">
        <v>257</v>
      </c>
      <c r="B258" s="102"/>
      <c r="C258" s="103" t="s">
        <v>476</v>
      </c>
      <c r="D258" s="104">
        <v>2400</v>
      </c>
      <c r="E258" s="105">
        <v>2400</v>
      </c>
      <c r="F258" s="118">
        <f t="shared" si="10"/>
        <v>5760000</v>
      </c>
      <c r="G258" s="254">
        <v>140</v>
      </c>
      <c r="H258" s="105">
        <v>1920</v>
      </c>
      <c r="I258" s="107">
        <v>1</v>
      </c>
      <c r="J258" s="255">
        <v>21.88</v>
      </c>
      <c r="K258" s="156">
        <v>17.899999999999999</v>
      </c>
      <c r="L258" s="157">
        <v>27.8</v>
      </c>
      <c r="M258" s="111">
        <v>0.7</v>
      </c>
      <c r="N258" s="118">
        <v>16.04</v>
      </c>
      <c r="O258" s="112" t="s">
        <v>201</v>
      </c>
      <c r="P258" s="113" t="s">
        <v>211</v>
      </c>
      <c r="Q258" s="243">
        <v>1.1999999999999999E-3</v>
      </c>
      <c r="R258" s="115">
        <v>4.4999999999999999E-4</v>
      </c>
      <c r="S258" s="248">
        <v>2.7000000000000001E-3</v>
      </c>
      <c r="T258" s="105">
        <v>420</v>
      </c>
      <c r="U258" s="116">
        <v>800</v>
      </c>
      <c r="V258" s="243">
        <v>2.9999999999999997E-4</v>
      </c>
      <c r="W258" s="105">
        <v>280</v>
      </c>
      <c r="X258" s="116">
        <v>500</v>
      </c>
      <c r="Y258" s="117">
        <v>0</v>
      </c>
      <c r="Z258" s="117">
        <v>1</v>
      </c>
      <c r="AA258" s="108">
        <v>6.2</v>
      </c>
      <c r="AB258" s="106">
        <v>10.199999999999999</v>
      </c>
      <c r="AC258" s="109">
        <v>1.6</v>
      </c>
      <c r="AD258" s="118">
        <v>0.38</v>
      </c>
      <c r="AE258" s="119">
        <v>0.41</v>
      </c>
      <c r="AF258" s="120">
        <v>0.37</v>
      </c>
      <c r="AG258" s="118">
        <v>0.04</v>
      </c>
      <c r="AH258" s="118">
        <v>0</v>
      </c>
      <c r="AI258" s="119">
        <v>0.41</v>
      </c>
      <c r="AJ258" s="120">
        <v>0.21</v>
      </c>
      <c r="AK258" s="118">
        <v>0.09</v>
      </c>
      <c r="AL258" s="118">
        <v>0</v>
      </c>
      <c r="AM258" s="119">
        <v>0.3</v>
      </c>
      <c r="AN258" s="120">
        <v>0.59</v>
      </c>
      <c r="AO258" s="118">
        <v>0.06</v>
      </c>
      <c r="AP258" s="118">
        <v>0</v>
      </c>
      <c r="AQ258" s="119">
        <v>0.65</v>
      </c>
      <c r="AR258" s="120">
        <v>0.51</v>
      </c>
      <c r="AS258" s="118">
        <v>0.05</v>
      </c>
      <c r="AT258" s="118">
        <v>0</v>
      </c>
      <c r="AU258" s="119">
        <v>0.56000000000000005</v>
      </c>
      <c r="AV258" s="120">
        <v>0.2</v>
      </c>
      <c r="AW258" s="118">
        <v>0.1</v>
      </c>
      <c r="AX258" s="118">
        <v>0</v>
      </c>
      <c r="AY258" s="119">
        <v>0.28999999999999998</v>
      </c>
      <c r="AZ258" s="120">
        <v>0.24</v>
      </c>
      <c r="BA258" s="118">
        <v>0.44</v>
      </c>
      <c r="BB258" s="118">
        <v>0</v>
      </c>
      <c r="BC258" s="119">
        <v>0.68</v>
      </c>
      <c r="BD258" s="121">
        <v>0.52</v>
      </c>
      <c r="BE258" s="120">
        <v>0.35</v>
      </c>
      <c r="BF258" s="118">
        <v>0</v>
      </c>
      <c r="BG258" s="118">
        <v>0</v>
      </c>
      <c r="BH258" s="119">
        <v>0.35</v>
      </c>
      <c r="BI258" s="120">
        <v>0.35</v>
      </c>
      <c r="BJ258" s="118">
        <v>0.06</v>
      </c>
      <c r="BK258" s="118">
        <v>0</v>
      </c>
      <c r="BL258" s="119">
        <v>0.41</v>
      </c>
      <c r="BM258" s="120">
        <v>1</v>
      </c>
      <c r="BN258" s="118">
        <v>1.38</v>
      </c>
      <c r="BO258" s="118">
        <v>0.64</v>
      </c>
      <c r="BP258" s="118">
        <v>0.74</v>
      </c>
      <c r="BQ258" s="118">
        <v>1.4</v>
      </c>
      <c r="BR258" s="118">
        <v>0.61</v>
      </c>
      <c r="BS258" s="118">
        <v>0.8</v>
      </c>
      <c r="BT258" s="118">
        <v>1.18</v>
      </c>
      <c r="BU258" s="119">
        <v>1.02</v>
      </c>
      <c r="BV258" s="74">
        <v>5760000</v>
      </c>
      <c r="BW258" s="254">
        <v>140</v>
      </c>
      <c r="BX258" s="105">
        <v>1920</v>
      </c>
      <c r="BY258" s="157">
        <v>27.8</v>
      </c>
      <c r="BZ258" s="118">
        <v>16.04</v>
      </c>
      <c r="CA258" s="248">
        <v>2.7000000000000001E-3</v>
      </c>
      <c r="CB258" s="105">
        <v>420</v>
      </c>
      <c r="CC258" s="243">
        <v>2.9999999999999997E-4</v>
      </c>
      <c r="CD258" s="105">
        <v>280</v>
      </c>
      <c r="CE258" s="99">
        <f t="shared" si="11"/>
        <v>3.5119047619047617E-3</v>
      </c>
      <c r="CF258" s="100">
        <f>AE258</f>
        <v>0.41</v>
      </c>
    </row>
    <row r="259" spans="1:84" x14ac:dyDescent="0.25">
      <c r="A259" s="101">
        <v>258</v>
      </c>
      <c r="B259" s="102"/>
      <c r="C259" s="103" t="s">
        <v>477</v>
      </c>
      <c r="D259" s="104">
        <v>2400</v>
      </c>
      <c r="E259" s="105">
        <v>2400</v>
      </c>
      <c r="F259" s="118">
        <f>E259*D259</f>
        <v>5760000</v>
      </c>
      <c r="G259" s="254">
        <v>117</v>
      </c>
      <c r="H259" s="105">
        <v>1920</v>
      </c>
      <c r="I259" s="107">
        <v>1</v>
      </c>
      <c r="J259" s="255">
        <v>21.88</v>
      </c>
      <c r="K259" s="156">
        <v>17.899999999999999</v>
      </c>
      <c r="L259" s="157">
        <v>27.8</v>
      </c>
      <c r="M259" s="111">
        <v>0.7</v>
      </c>
      <c r="N259" s="118">
        <v>16.04</v>
      </c>
      <c r="O259" s="112" t="s">
        <v>201</v>
      </c>
      <c r="P259" s="113" t="s">
        <v>211</v>
      </c>
      <c r="Q259" s="243">
        <v>1.4E-3</v>
      </c>
      <c r="R259" s="115">
        <v>5.4000000000000001E-4</v>
      </c>
      <c r="S259" s="248">
        <v>3.2000000000000002E-3</v>
      </c>
      <c r="T259" s="105">
        <v>420</v>
      </c>
      <c r="U259" s="116">
        <v>800</v>
      </c>
      <c r="V259" s="243">
        <v>5.9999999999999995E-4</v>
      </c>
      <c r="W259" s="105">
        <v>280</v>
      </c>
      <c r="X259" s="116">
        <v>300</v>
      </c>
      <c r="Y259" s="117">
        <v>0</v>
      </c>
      <c r="Z259" s="117">
        <v>1</v>
      </c>
      <c r="AA259" s="108">
        <v>9.1</v>
      </c>
      <c r="AB259" s="106">
        <v>14.9</v>
      </c>
      <c r="AC259" s="109">
        <v>1.6</v>
      </c>
      <c r="AD259" s="118">
        <v>0.63</v>
      </c>
      <c r="AE259" s="119">
        <v>0.76</v>
      </c>
      <c r="AF259" s="120">
        <v>0.37</v>
      </c>
      <c r="AG259" s="118">
        <v>0.06</v>
      </c>
      <c r="AH259" s="118">
        <v>0</v>
      </c>
      <c r="AI259" s="119">
        <v>0.44</v>
      </c>
      <c r="AJ259" s="120">
        <v>0.21</v>
      </c>
      <c r="AK259" s="118">
        <v>0.16</v>
      </c>
      <c r="AL259" s="118">
        <v>0</v>
      </c>
      <c r="AM259" s="119">
        <v>0.37</v>
      </c>
      <c r="AN259" s="120">
        <v>0.6</v>
      </c>
      <c r="AO259" s="118">
        <v>0.1</v>
      </c>
      <c r="AP259" s="118">
        <v>0</v>
      </c>
      <c r="AQ259" s="119">
        <v>0.7</v>
      </c>
      <c r="AR259" s="120">
        <v>0.51</v>
      </c>
      <c r="AS259" s="118">
        <v>0.08</v>
      </c>
      <c r="AT259" s="118">
        <v>0</v>
      </c>
      <c r="AU259" s="119">
        <v>0.59</v>
      </c>
      <c r="AV259" s="120">
        <v>0.2</v>
      </c>
      <c r="AW259" s="118">
        <v>0.16</v>
      </c>
      <c r="AX259" s="118">
        <v>0</v>
      </c>
      <c r="AY259" s="119">
        <v>0.36</v>
      </c>
      <c r="AZ259" s="120">
        <v>0.25</v>
      </c>
      <c r="BA259" s="118">
        <v>0.52</v>
      </c>
      <c r="BB259" s="118">
        <v>0</v>
      </c>
      <c r="BC259" s="119">
        <v>0.76</v>
      </c>
      <c r="BD259" s="121">
        <v>0.52</v>
      </c>
      <c r="BE259" s="120">
        <v>0.35</v>
      </c>
      <c r="BF259" s="118">
        <v>0</v>
      </c>
      <c r="BG259" s="118">
        <v>0</v>
      </c>
      <c r="BH259" s="119">
        <v>0.35</v>
      </c>
      <c r="BI259" s="120">
        <v>0.35</v>
      </c>
      <c r="BJ259" s="118">
        <v>0.1</v>
      </c>
      <c r="BK259" s="118">
        <v>0</v>
      </c>
      <c r="BL259" s="119">
        <v>0.45</v>
      </c>
      <c r="BM259" s="120">
        <v>1.73</v>
      </c>
      <c r="BN259" s="118">
        <v>2.04</v>
      </c>
      <c r="BO259" s="118">
        <v>1.08</v>
      </c>
      <c r="BP259" s="118">
        <v>1.29</v>
      </c>
      <c r="BQ259" s="118">
        <v>2.11</v>
      </c>
      <c r="BR259" s="118">
        <v>0.99</v>
      </c>
      <c r="BS259" s="118">
        <v>1.46</v>
      </c>
      <c r="BT259" s="118">
        <v>2.16</v>
      </c>
      <c r="BU259" s="119">
        <v>1.7</v>
      </c>
      <c r="BV259" s="74">
        <v>5760000</v>
      </c>
      <c r="BW259" s="254">
        <v>117</v>
      </c>
      <c r="BX259" s="105">
        <v>1920</v>
      </c>
      <c r="BY259" s="157">
        <v>27.8</v>
      </c>
      <c r="BZ259" s="118">
        <v>16.04</v>
      </c>
      <c r="CA259" s="248">
        <v>3.2000000000000002E-3</v>
      </c>
      <c r="CB259" s="105">
        <v>420</v>
      </c>
      <c r="CC259" s="243">
        <v>5.9999999999999995E-4</v>
      </c>
      <c r="CD259" s="105">
        <v>280</v>
      </c>
      <c r="CE259" s="99">
        <f>BT259/(G259*E259)*1000</f>
        <v>7.6923076923076936E-3</v>
      </c>
      <c r="CF259" s="100">
        <f>AE259</f>
        <v>0.76</v>
      </c>
    </row>
    <row r="260" spans="1:84" x14ac:dyDescent="0.25">
      <c r="A260" s="128">
        <v>259</v>
      </c>
      <c r="B260" s="216"/>
      <c r="C260" s="217" t="s">
        <v>478</v>
      </c>
      <c r="D260" s="218">
        <v>2400</v>
      </c>
      <c r="E260" s="219">
        <v>2400</v>
      </c>
      <c r="F260" s="232">
        <f>E260*D260</f>
        <v>5760000</v>
      </c>
      <c r="G260" s="260">
        <v>140</v>
      </c>
      <c r="H260" s="219">
        <v>1920</v>
      </c>
      <c r="I260" s="221">
        <v>1</v>
      </c>
      <c r="J260" s="258">
        <v>21.88</v>
      </c>
      <c r="K260" s="165">
        <v>17.899999999999999</v>
      </c>
      <c r="L260" s="181">
        <v>27.8</v>
      </c>
      <c r="M260" s="261">
        <v>0.7</v>
      </c>
      <c r="N260" s="232">
        <v>16.04</v>
      </c>
      <c r="O260" s="224" t="s">
        <v>201</v>
      </c>
      <c r="P260" s="225" t="s">
        <v>211</v>
      </c>
      <c r="Q260" s="262">
        <v>1.1999999999999999E-3</v>
      </c>
      <c r="R260" s="227">
        <v>7.5000000000000002E-4</v>
      </c>
      <c r="S260" s="263">
        <v>3.0000000000000001E-3</v>
      </c>
      <c r="T260" s="219">
        <v>420</v>
      </c>
      <c r="U260" s="228">
        <v>480</v>
      </c>
      <c r="V260" s="262">
        <v>5.9999999999999995E-4</v>
      </c>
      <c r="W260" s="219">
        <v>280</v>
      </c>
      <c r="X260" s="228">
        <v>300</v>
      </c>
      <c r="Y260" s="230">
        <v>0</v>
      </c>
      <c r="Z260" s="230">
        <v>1</v>
      </c>
      <c r="AA260" s="241">
        <v>9</v>
      </c>
      <c r="AB260" s="220">
        <v>22.6</v>
      </c>
      <c r="AC260" s="264">
        <v>2.5</v>
      </c>
      <c r="AD260" s="145">
        <v>0.31</v>
      </c>
      <c r="AE260" s="146">
        <v>0.48</v>
      </c>
      <c r="AF260" s="147">
        <v>0.37</v>
      </c>
      <c r="AG260" s="145">
        <v>0.06</v>
      </c>
      <c r="AH260" s="145">
        <v>0</v>
      </c>
      <c r="AI260" s="146">
        <v>0.44</v>
      </c>
      <c r="AJ260" s="147">
        <v>0.21</v>
      </c>
      <c r="AK260" s="145">
        <v>0.16</v>
      </c>
      <c r="AL260" s="145">
        <v>0</v>
      </c>
      <c r="AM260" s="146">
        <v>0.37</v>
      </c>
      <c r="AN260" s="147">
        <v>0.38</v>
      </c>
      <c r="AO260" s="145">
        <v>0.1</v>
      </c>
      <c r="AP260" s="145">
        <v>0</v>
      </c>
      <c r="AQ260" s="146">
        <v>0.48</v>
      </c>
      <c r="AR260" s="147">
        <v>0.51</v>
      </c>
      <c r="AS260" s="145">
        <v>0.08</v>
      </c>
      <c r="AT260" s="145">
        <v>0</v>
      </c>
      <c r="AU260" s="146">
        <v>0.59</v>
      </c>
      <c r="AV260" s="147">
        <v>0.2</v>
      </c>
      <c r="AW260" s="145">
        <v>0.16</v>
      </c>
      <c r="AX260" s="145">
        <v>0</v>
      </c>
      <c r="AY260" s="146">
        <v>0.36</v>
      </c>
      <c r="AZ260" s="147">
        <v>0.24</v>
      </c>
      <c r="BA260" s="145">
        <v>0.56999999999999995</v>
      </c>
      <c r="BB260" s="145">
        <v>0</v>
      </c>
      <c r="BC260" s="146">
        <v>0.8</v>
      </c>
      <c r="BD260" s="148">
        <v>0.52</v>
      </c>
      <c r="BE260" s="147">
        <v>0.35</v>
      </c>
      <c r="BF260" s="145">
        <v>0</v>
      </c>
      <c r="BG260" s="145">
        <v>0</v>
      </c>
      <c r="BH260" s="146">
        <v>0.35</v>
      </c>
      <c r="BI260" s="147">
        <v>0.35</v>
      </c>
      <c r="BJ260" s="145">
        <v>0.1</v>
      </c>
      <c r="BK260" s="145">
        <v>0</v>
      </c>
      <c r="BL260" s="146">
        <v>0.45</v>
      </c>
      <c r="BM260" s="147">
        <v>1.1100000000000001</v>
      </c>
      <c r="BN260" s="145">
        <v>1.3</v>
      </c>
      <c r="BO260" s="145">
        <v>1</v>
      </c>
      <c r="BP260" s="145">
        <v>0.82</v>
      </c>
      <c r="BQ260" s="145">
        <v>1.35</v>
      </c>
      <c r="BR260" s="145">
        <v>0.6</v>
      </c>
      <c r="BS260" s="145">
        <v>0.93</v>
      </c>
      <c r="BT260" s="145">
        <v>1.38</v>
      </c>
      <c r="BU260" s="146">
        <v>1.0900000000000001</v>
      </c>
      <c r="BV260" s="74">
        <v>5760000</v>
      </c>
      <c r="BW260" s="260">
        <v>140</v>
      </c>
      <c r="BX260" s="219">
        <v>1920</v>
      </c>
      <c r="BY260" s="181">
        <v>27.8</v>
      </c>
      <c r="BZ260" s="232">
        <v>16.04</v>
      </c>
      <c r="CA260" s="263">
        <v>3.0000000000000001E-3</v>
      </c>
      <c r="CB260" s="219">
        <v>420</v>
      </c>
      <c r="CC260" s="262">
        <v>5.9999999999999995E-4</v>
      </c>
      <c r="CD260" s="219">
        <v>280</v>
      </c>
      <c r="CE260" s="179">
        <f>BT260/(G260*E260)*1000</f>
        <v>4.1071428571428569E-3</v>
      </c>
      <c r="CF260" s="180">
        <f>AE260</f>
        <v>0.48</v>
      </c>
    </row>
    <row r="263" spans="1:84" x14ac:dyDescent="0.25">
      <c r="BW263" s="265"/>
    </row>
  </sheetData>
  <autoFilter ref="A1:CF260" xr:uid="{00000000-0009-0000-0000-000003000000}">
    <filterColumn colId="14">
      <filters>
        <filter val="GP"/>
      </filters>
    </filterColumn>
    <filterColumn colId="15">
      <filters>
        <filter val="BH"/>
      </filters>
    </filterColumn>
    <sortState xmlns:xlrd2="http://schemas.microsoft.com/office/spreadsheetml/2017/richdata2" ref="A71:CF260">
      <sortCondition ref="A1:A260"/>
    </sortState>
  </autoFilter>
  <customSheetViews>
    <customSheetView guid="{6A3968C5-0A0A-44BD-9D91-8A632DB179F3}" scale="115" filter="1" showAutoFilter="1" hiddenColumns="1" topLeftCell="A149">
      <selection activeCell="M27" sqref="M27"/>
      <pageMargins left="0.7" right="0.7" top="0.75" bottom="0.75" header="0.3" footer="0.3"/>
      <pageSetup orientation="portrait" verticalDpi="0" r:id="rId1"/>
      <autoFilter ref="A1:CF260" xr:uid="{F18C493E-E1BC-4A72-9D3E-394B0399639C}">
        <filterColumn colId="14">
          <filters>
            <filter val="GP"/>
          </filters>
        </filterColumn>
        <filterColumn colId="15">
          <filters>
            <filter val="BH"/>
          </filters>
        </filterColumn>
        <sortState xmlns:xlrd2="http://schemas.microsoft.com/office/spreadsheetml/2017/richdata2" ref="A71:CF260">
          <sortCondition ref="A1:A260"/>
        </sortState>
      </autoFilter>
    </customSheetView>
    <customSheetView guid="{F952AE04-5FFA-4EC5-9AC4-659942525BDB}" scale="115" filter="1" showAutoFilter="1" hiddenColumns="1" state="hidden" topLeftCell="A149">
      <selection activeCell="M27" sqref="M27"/>
      <pageMargins left="0.7" right="0.7" top="0.75" bottom="0.75" header="0.3" footer="0.3"/>
      <pageSetup orientation="portrait" verticalDpi="0" r:id="rId2"/>
      <autoFilter ref="A1:CF260" xr:uid="{BDEAE87A-599B-4A2C-88AB-C7FCD7AB9889}">
        <filterColumn colId="14">
          <filters>
            <filter val="GP"/>
          </filters>
        </filterColumn>
        <filterColumn colId="15">
          <filters>
            <filter val="BH"/>
          </filters>
        </filterColumn>
        <sortState xmlns:xlrd2="http://schemas.microsoft.com/office/spreadsheetml/2017/richdata2" ref="A71:CF260">
          <sortCondition ref="A1:A260"/>
        </sortState>
      </autoFilter>
    </customSheetView>
  </customSheetViews>
  <pageMargins left="0.7" right="0.7" top="0.75" bottom="0.75" header="0.3" footer="0.3"/>
  <pageSetup orientation="portrait" verticalDpi="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2">
    <tabColor theme="0"/>
  </sheetPr>
  <dimension ref="A1:B49"/>
  <sheetViews>
    <sheetView topLeftCell="A34" zoomScaleNormal="100" workbookViewId="0">
      <selection activeCell="A23" sqref="A23"/>
    </sheetView>
  </sheetViews>
  <sheetFormatPr defaultRowHeight="15" x14ac:dyDescent="0.25"/>
  <cols>
    <col min="1" max="1" width="32.28515625" style="434" customWidth="1"/>
    <col min="2" max="2" width="116.85546875" style="434" customWidth="1"/>
    <col min="3" max="16384" width="9.140625" style="434"/>
  </cols>
  <sheetData>
    <row r="1" spans="1:2" ht="30" x14ac:dyDescent="0.45">
      <c r="A1" s="433" t="s">
        <v>101</v>
      </c>
    </row>
    <row r="2" spans="1:2" ht="2.25" customHeight="1" x14ac:dyDescent="0.45">
      <c r="A2" s="433"/>
    </row>
    <row r="3" spans="1:2" x14ac:dyDescent="0.25">
      <c r="A3" s="435" t="s">
        <v>483</v>
      </c>
    </row>
    <row r="4" spans="1:2" x14ac:dyDescent="0.25">
      <c r="A4" s="436" t="s">
        <v>42</v>
      </c>
      <c r="B4" s="437" t="s">
        <v>72</v>
      </c>
    </row>
    <row r="5" spans="1:2" x14ac:dyDescent="0.25">
      <c r="A5" s="436" t="s">
        <v>43</v>
      </c>
      <c r="B5" s="437" t="s">
        <v>73</v>
      </c>
    </row>
    <row r="6" spans="1:2" x14ac:dyDescent="0.25">
      <c r="A6" s="436" t="s">
        <v>61</v>
      </c>
      <c r="B6" s="437" t="s">
        <v>74</v>
      </c>
    </row>
    <row r="7" spans="1:2" x14ac:dyDescent="0.25">
      <c r="A7" s="436" t="s">
        <v>99</v>
      </c>
      <c r="B7" s="438" t="s">
        <v>83</v>
      </c>
    </row>
    <row r="8" spans="1:2" ht="28.5" x14ac:dyDescent="0.25">
      <c r="A8" s="439" t="s">
        <v>81</v>
      </c>
      <c r="B8" s="440" t="s">
        <v>75</v>
      </c>
    </row>
    <row r="9" spans="1:2" x14ac:dyDescent="0.25">
      <c r="A9" s="439" t="s">
        <v>48</v>
      </c>
      <c r="B9" s="438" t="s">
        <v>76</v>
      </c>
    </row>
    <row r="10" spans="1:2" x14ac:dyDescent="0.25">
      <c r="A10" s="436" t="s">
        <v>50</v>
      </c>
      <c r="B10" s="438" t="s">
        <v>77</v>
      </c>
    </row>
    <row r="11" spans="1:2" x14ac:dyDescent="0.25">
      <c r="A11" s="441" t="s">
        <v>52</v>
      </c>
      <c r="B11" s="438" t="s">
        <v>84</v>
      </c>
    </row>
    <row r="12" spans="1:2" x14ac:dyDescent="0.25">
      <c r="A12" s="442" t="s">
        <v>54</v>
      </c>
      <c r="B12" s="438" t="s">
        <v>85</v>
      </c>
    </row>
    <row r="13" spans="1:2" x14ac:dyDescent="0.25">
      <c r="A13" s="441" t="s">
        <v>56</v>
      </c>
      <c r="B13" s="438" t="s">
        <v>86</v>
      </c>
    </row>
    <row r="14" spans="1:2" x14ac:dyDescent="0.25">
      <c r="A14" s="442" t="s">
        <v>58</v>
      </c>
      <c r="B14" s="438" t="s">
        <v>87</v>
      </c>
    </row>
    <row r="15" spans="1:2" x14ac:dyDescent="0.25">
      <c r="A15" s="442" t="s">
        <v>59</v>
      </c>
      <c r="B15" s="443" t="s">
        <v>88</v>
      </c>
    </row>
    <row r="16" spans="1:2" x14ac:dyDescent="0.25">
      <c r="A16" s="436" t="s">
        <v>12</v>
      </c>
      <c r="B16" s="438" t="s">
        <v>82</v>
      </c>
    </row>
    <row r="17" spans="1:2" x14ac:dyDescent="0.25">
      <c r="A17" s="436" t="s">
        <v>62</v>
      </c>
      <c r="B17" s="437" t="s">
        <v>78</v>
      </c>
    </row>
    <row r="18" spans="1:2" x14ac:dyDescent="0.25">
      <c r="A18" s="436" t="s">
        <v>63</v>
      </c>
      <c r="B18" s="443" t="s">
        <v>79</v>
      </c>
    </row>
    <row r="19" spans="1:2" x14ac:dyDescent="0.25">
      <c r="A19" s="436" t="s">
        <v>672</v>
      </c>
      <c r="B19" s="438" t="s">
        <v>80</v>
      </c>
    </row>
    <row r="20" spans="1:2" x14ac:dyDescent="0.25">
      <c r="A20" s="436" t="s">
        <v>89</v>
      </c>
      <c r="B20" s="438" t="s">
        <v>90</v>
      </c>
    </row>
    <row r="21" spans="1:2" x14ac:dyDescent="0.25">
      <c r="A21" s="436" t="s">
        <v>506</v>
      </c>
      <c r="B21" s="437" t="s">
        <v>507</v>
      </c>
    </row>
    <row r="22" spans="1:2" x14ac:dyDescent="0.25">
      <c r="A22" s="436" t="s">
        <v>552</v>
      </c>
      <c r="B22" s="437" t="s">
        <v>562</v>
      </c>
    </row>
    <row r="23" spans="1:2" x14ac:dyDescent="0.25">
      <c r="A23" s="436" t="s">
        <v>555</v>
      </c>
      <c r="B23" s="437" t="s">
        <v>561</v>
      </c>
    </row>
    <row r="24" spans="1:2" x14ac:dyDescent="0.25">
      <c r="A24" s="436" t="s">
        <v>564</v>
      </c>
      <c r="B24" s="437" t="s">
        <v>563</v>
      </c>
    </row>
    <row r="25" spans="1:2" x14ac:dyDescent="0.25">
      <c r="A25" s="436" t="s">
        <v>594</v>
      </c>
      <c r="B25" s="438" t="s">
        <v>595</v>
      </c>
    </row>
    <row r="26" spans="1:2" x14ac:dyDescent="0.25">
      <c r="A26" s="436" t="s">
        <v>611</v>
      </c>
      <c r="B26" s="443" t="s">
        <v>639</v>
      </c>
    </row>
    <row r="27" spans="1:2" x14ac:dyDescent="0.25">
      <c r="A27" s="436" t="s">
        <v>613</v>
      </c>
      <c r="B27" s="443" t="s">
        <v>640</v>
      </c>
    </row>
    <row r="28" spans="1:2" x14ac:dyDescent="0.25">
      <c r="A28" s="436" t="s">
        <v>614</v>
      </c>
      <c r="B28" s="438" t="s">
        <v>651</v>
      </c>
    </row>
    <row r="29" spans="1:2" x14ac:dyDescent="0.25">
      <c r="A29" s="436" t="s">
        <v>609</v>
      </c>
      <c r="B29" s="438" t="s">
        <v>641</v>
      </c>
    </row>
    <row r="30" spans="1:2" x14ac:dyDescent="0.25">
      <c r="A30" s="444" t="s">
        <v>616</v>
      </c>
      <c r="B30" s="438" t="s">
        <v>643</v>
      </c>
    </row>
    <row r="31" spans="1:2" x14ac:dyDescent="0.25">
      <c r="A31" s="436" t="s">
        <v>619</v>
      </c>
      <c r="B31" s="438" t="s">
        <v>642</v>
      </c>
    </row>
    <row r="32" spans="1:2" x14ac:dyDescent="0.25">
      <c r="A32" s="436" t="s">
        <v>621</v>
      </c>
      <c r="B32" s="438" t="s">
        <v>644</v>
      </c>
    </row>
    <row r="33" spans="1:2" x14ac:dyDescent="0.25">
      <c r="A33" s="436" t="s">
        <v>626</v>
      </c>
      <c r="B33" s="438" t="s">
        <v>645</v>
      </c>
    </row>
    <row r="34" spans="1:2" x14ac:dyDescent="0.25">
      <c r="A34" s="442" t="s">
        <v>628</v>
      </c>
      <c r="B34" s="438" t="s">
        <v>646</v>
      </c>
    </row>
    <row r="35" spans="1:2" x14ac:dyDescent="0.25">
      <c r="A35" s="436" t="s">
        <v>335</v>
      </c>
      <c r="B35" s="438" t="s">
        <v>647</v>
      </c>
    </row>
    <row r="36" spans="1:2" x14ac:dyDescent="0.25">
      <c r="A36" s="436" t="s">
        <v>634</v>
      </c>
      <c r="B36" s="438" t="s">
        <v>648</v>
      </c>
    </row>
    <row r="37" spans="1:2" x14ac:dyDescent="0.25">
      <c r="A37" s="436" t="s">
        <v>950</v>
      </c>
      <c r="B37" s="438" t="s">
        <v>951</v>
      </c>
    </row>
    <row r="38" spans="1:2" x14ac:dyDescent="0.25">
      <c r="A38" s="436" t="s">
        <v>952</v>
      </c>
      <c r="B38" s="438" t="s">
        <v>953</v>
      </c>
    </row>
    <row r="39" spans="1:2" x14ac:dyDescent="0.25">
      <c r="A39" s="436" t="s">
        <v>954</v>
      </c>
      <c r="B39" s="438" t="s">
        <v>955</v>
      </c>
    </row>
    <row r="43" spans="1:2" x14ac:dyDescent="0.25">
      <c r="A43" s="435" t="s">
        <v>102</v>
      </c>
    </row>
    <row r="44" spans="1:2" x14ac:dyDescent="0.25">
      <c r="A44" s="434" t="s">
        <v>484</v>
      </c>
    </row>
    <row r="45" spans="1:2" x14ac:dyDescent="0.25">
      <c r="A45" s="434" t="s">
        <v>485</v>
      </c>
    </row>
    <row r="47" spans="1:2" x14ac:dyDescent="0.25">
      <c r="A47" s="435" t="s">
        <v>596</v>
      </c>
    </row>
    <row r="48" spans="1:2" x14ac:dyDescent="0.25">
      <c r="A48" s="434" t="s">
        <v>597</v>
      </c>
    </row>
    <row r="49" spans="1:1" x14ac:dyDescent="0.25">
      <c r="A49" s="434" t="s">
        <v>598</v>
      </c>
    </row>
  </sheetData>
  <customSheetViews>
    <customSheetView guid="{6A3968C5-0A0A-44BD-9D91-8A632DB179F3}" topLeftCell="A6">
      <selection activeCell="M27" sqref="M27"/>
      <pageMargins left="0.7" right="0.7" top="0.75" bottom="0.75" header="0.3" footer="0.3"/>
      <pageSetup orientation="portrait" r:id="rId1"/>
    </customSheetView>
    <customSheetView guid="{F952AE04-5FFA-4EC5-9AC4-659942525BDB}" state="hidden" topLeftCell="A6">
      <selection activeCell="M27" sqref="M27"/>
      <pageMargins left="0.7" right="0.7" top="0.75" bottom="0.75" header="0.3" footer="0.3"/>
      <pageSetup orientation="portrait" r:id="rId2"/>
    </customSheetView>
  </customSheetViews>
  <pageMargins left="0.7" right="0.7" top="0.75" bottom="0.75" header="0.3" footer="0.3"/>
  <pageSetup orientation="portrait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1">
    <tabColor theme="0"/>
  </sheetPr>
  <dimension ref="A1:J39"/>
  <sheetViews>
    <sheetView topLeftCell="A7" zoomScaleNormal="100" workbookViewId="0">
      <selection activeCell="M27" sqref="M27"/>
    </sheetView>
  </sheetViews>
  <sheetFormatPr defaultColWidth="9.140625" defaultRowHeight="14.25" x14ac:dyDescent="0.25"/>
  <cols>
    <col min="1" max="1" width="26.85546875" style="37" customWidth="1"/>
    <col min="2" max="2" width="19.85546875" style="37" customWidth="1"/>
    <col min="3" max="3" width="19.85546875" style="285" customWidth="1"/>
    <col min="4" max="7" width="19.85546875" style="37" customWidth="1"/>
    <col min="8" max="8" width="106.42578125" style="37" customWidth="1"/>
    <col min="9" max="16384" width="9.140625" style="37"/>
  </cols>
  <sheetData>
    <row r="1" spans="1:10" x14ac:dyDescent="0.25">
      <c r="A1" s="35" t="s">
        <v>1</v>
      </c>
      <c r="B1" s="35" t="s">
        <v>40</v>
      </c>
      <c r="C1" s="280" t="s">
        <v>40</v>
      </c>
      <c r="D1" s="35" t="s">
        <v>41</v>
      </c>
      <c r="E1" s="276" t="s">
        <v>534</v>
      </c>
      <c r="F1" s="36" t="s">
        <v>553</v>
      </c>
      <c r="G1" s="36" t="s">
        <v>606</v>
      </c>
    </row>
    <row r="2" spans="1:10" ht="15" x14ac:dyDescent="0.25">
      <c r="A2" s="48" t="s">
        <v>42</v>
      </c>
      <c r="B2" s="445">
        <v>2</v>
      </c>
      <c r="C2" s="447">
        <v>2</v>
      </c>
      <c r="D2" s="445" t="s">
        <v>44</v>
      </c>
      <c r="E2" s="446" t="s">
        <v>64</v>
      </c>
      <c r="F2" s="274"/>
      <c r="G2" s="274"/>
      <c r="H2" s="46" t="s">
        <v>72</v>
      </c>
    </row>
    <row r="3" spans="1:10" ht="15" x14ac:dyDescent="0.25">
      <c r="A3" s="48" t="s">
        <v>43</v>
      </c>
      <c r="B3" s="445"/>
      <c r="C3" s="447"/>
      <c r="D3" s="445"/>
      <c r="E3" s="446"/>
      <c r="F3" s="274"/>
      <c r="G3" s="274" t="s">
        <v>633</v>
      </c>
      <c r="H3" s="46" t="s">
        <v>73</v>
      </c>
    </row>
    <row r="4" spans="1:10" ht="15" x14ac:dyDescent="0.25">
      <c r="A4" s="48" t="s">
        <v>61</v>
      </c>
      <c r="B4" s="39">
        <v>4</v>
      </c>
      <c r="C4" s="281">
        <v>4</v>
      </c>
      <c r="D4" s="39" t="s">
        <v>45</v>
      </c>
      <c r="E4" s="277"/>
      <c r="F4" s="38"/>
      <c r="G4" s="38" t="s">
        <v>636</v>
      </c>
      <c r="H4" s="46" t="s">
        <v>74</v>
      </c>
    </row>
    <row r="5" spans="1:10" x14ac:dyDescent="0.25">
      <c r="A5" s="48" t="s">
        <v>99</v>
      </c>
      <c r="B5" s="39">
        <v>29</v>
      </c>
      <c r="C5" s="281">
        <v>29</v>
      </c>
      <c r="D5" s="39" t="s">
        <v>46</v>
      </c>
      <c r="E5" s="277" t="s">
        <v>67</v>
      </c>
      <c r="F5" s="38" t="s">
        <v>554</v>
      </c>
      <c r="G5" s="38" t="s">
        <v>618</v>
      </c>
      <c r="H5" s="47" t="s">
        <v>83</v>
      </c>
      <c r="I5" s="37" t="s">
        <v>91</v>
      </c>
      <c r="J5" s="37" t="s">
        <v>93</v>
      </c>
    </row>
    <row r="6" spans="1:10" ht="28.5" x14ac:dyDescent="0.25">
      <c r="A6" s="52" t="s">
        <v>81</v>
      </c>
      <c r="B6" s="39">
        <v>4</v>
      </c>
      <c r="C6" s="281">
        <v>4</v>
      </c>
      <c r="D6" s="39" t="s">
        <v>47</v>
      </c>
      <c r="E6" s="278">
        <v>187190193195</v>
      </c>
      <c r="F6" s="50" t="s">
        <v>554</v>
      </c>
      <c r="G6" s="50" t="s">
        <v>608</v>
      </c>
      <c r="H6" s="275" t="s">
        <v>75</v>
      </c>
      <c r="I6" s="37" t="s">
        <v>97</v>
      </c>
      <c r="J6" s="37" t="s">
        <v>96</v>
      </c>
    </row>
    <row r="7" spans="1:10" x14ac:dyDescent="0.25">
      <c r="A7" s="52" t="s">
        <v>48</v>
      </c>
      <c r="B7" s="39">
        <v>10</v>
      </c>
      <c r="C7" s="281">
        <v>10</v>
      </c>
      <c r="D7" s="39" t="s">
        <v>49</v>
      </c>
      <c r="E7" s="277" t="s">
        <v>413</v>
      </c>
      <c r="F7" s="38" t="s">
        <v>554</v>
      </c>
      <c r="G7" s="38" t="s">
        <v>623</v>
      </c>
      <c r="H7" s="47" t="s">
        <v>76</v>
      </c>
      <c r="I7" s="37" t="s">
        <v>97</v>
      </c>
      <c r="J7" s="37" t="s">
        <v>98</v>
      </c>
    </row>
    <row r="8" spans="1:10" x14ac:dyDescent="0.25">
      <c r="A8" s="48" t="s">
        <v>50</v>
      </c>
      <c r="B8" s="39">
        <v>6</v>
      </c>
      <c r="C8" s="281">
        <v>6</v>
      </c>
      <c r="D8" s="39" t="s">
        <v>51</v>
      </c>
      <c r="E8" s="277" t="s">
        <v>66</v>
      </c>
      <c r="F8" s="38"/>
      <c r="G8" s="38" t="s">
        <v>631</v>
      </c>
      <c r="H8" s="47" t="s">
        <v>77</v>
      </c>
    </row>
    <row r="9" spans="1:10" x14ac:dyDescent="0.25">
      <c r="A9" s="288" t="s">
        <v>52</v>
      </c>
      <c r="B9" s="39">
        <v>4</v>
      </c>
      <c r="C9" s="281"/>
      <c r="D9" s="39" t="s">
        <v>53</v>
      </c>
      <c r="E9" s="277" t="s">
        <v>413</v>
      </c>
      <c r="F9" s="38"/>
      <c r="G9" s="38"/>
      <c r="H9" s="47" t="s">
        <v>84</v>
      </c>
    </row>
    <row r="10" spans="1:10" x14ac:dyDescent="0.25">
      <c r="A10" s="51" t="s">
        <v>54</v>
      </c>
      <c r="B10" s="39">
        <v>9</v>
      </c>
      <c r="C10" s="281"/>
      <c r="D10" s="39" t="s">
        <v>55</v>
      </c>
      <c r="E10" s="277" t="s">
        <v>413</v>
      </c>
      <c r="F10" s="38"/>
      <c r="G10" s="38"/>
      <c r="H10" s="47" t="s">
        <v>85</v>
      </c>
    </row>
    <row r="11" spans="1:10" x14ac:dyDescent="0.25">
      <c r="A11" s="288" t="s">
        <v>56</v>
      </c>
      <c r="B11" s="39">
        <v>10</v>
      </c>
      <c r="C11" s="281"/>
      <c r="D11" s="39" t="s">
        <v>57</v>
      </c>
      <c r="E11" s="277" t="s">
        <v>413</v>
      </c>
      <c r="F11" s="38"/>
      <c r="G11" s="38"/>
      <c r="H11" s="47" t="s">
        <v>86</v>
      </c>
      <c r="J11" s="37" t="s">
        <v>100</v>
      </c>
    </row>
    <row r="12" spans="1:10" x14ac:dyDescent="0.25">
      <c r="A12" s="51" t="s">
        <v>58</v>
      </c>
      <c r="B12" s="39">
        <v>1</v>
      </c>
      <c r="C12" s="281"/>
      <c r="D12" s="39">
        <v>250</v>
      </c>
      <c r="E12" s="277" t="s">
        <v>413</v>
      </c>
      <c r="F12" s="38"/>
      <c r="G12" s="38"/>
      <c r="H12" s="47" t="s">
        <v>87</v>
      </c>
    </row>
    <row r="13" spans="1:10" x14ac:dyDescent="0.25">
      <c r="A13" s="51" t="s">
        <v>59</v>
      </c>
      <c r="B13" s="39">
        <v>5</v>
      </c>
      <c r="C13" s="281"/>
      <c r="D13" s="39" t="s">
        <v>60</v>
      </c>
      <c r="E13" s="277" t="s">
        <v>413</v>
      </c>
      <c r="F13" s="38"/>
      <c r="G13" s="38"/>
      <c r="H13" s="49" t="s">
        <v>88</v>
      </c>
    </row>
    <row r="14" spans="1:10" x14ac:dyDescent="0.25">
      <c r="A14" s="48" t="s">
        <v>12</v>
      </c>
      <c r="B14" s="40">
        <v>66</v>
      </c>
      <c r="C14" s="281">
        <v>66</v>
      </c>
      <c r="D14" s="38" t="s">
        <v>413</v>
      </c>
      <c r="E14" s="279" t="s">
        <v>65</v>
      </c>
      <c r="F14" s="41"/>
      <c r="G14" s="41"/>
      <c r="H14" s="47" t="s">
        <v>82</v>
      </c>
    </row>
    <row r="15" spans="1:10" ht="15" x14ac:dyDescent="0.25">
      <c r="A15" s="48" t="s">
        <v>62</v>
      </c>
      <c r="B15" s="38">
        <v>5</v>
      </c>
      <c r="C15" s="282">
        <v>5</v>
      </c>
      <c r="D15" s="38" t="s">
        <v>413</v>
      </c>
      <c r="E15" s="277" t="s">
        <v>68</v>
      </c>
      <c r="F15" s="38" t="s">
        <v>554</v>
      </c>
      <c r="G15" s="38" t="s">
        <v>638</v>
      </c>
      <c r="H15" s="46" t="s">
        <v>78</v>
      </c>
    </row>
    <row r="16" spans="1:10" x14ac:dyDescent="0.25">
      <c r="A16" s="48" t="s">
        <v>63</v>
      </c>
      <c r="B16" s="38">
        <v>8</v>
      </c>
      <c r="C16" s="282">
        <v>8</v>
      </c>
      <c r="D16" s="38" t="s">
        <v>413</v>
      </c>
      <c r="E16" s="277" t="s">
        <v>69</v>
      </c>
      <c r="F16" s="38"/>
      <c r="G16" s="38"/>
      <c r="H16" s="49" t="s">
        <v>79</v>
      </c>
      <c r="I16" s="37" t="s">
        <v>91</v>
      </c>
      <c r="J16" s="37" t="s">
        <v>95</v>
      </c>
    </row>
    <row r="17" spans="1:10" x14ac:dyDescent="0.25">
      <c r="A17" s="48" t="s">
        <v>672</v>
      </c>
      <c r="B17" s="38">
        <v>12</v>
      </c>
      <c r="C17" s="282">
        <v>12</v>
      </c>
      <c r="D17" s="38" t="s">
        <v>413</v>
      </c>
      <c r="E17" s="277" t="s">
        <v>70</v>
      </c>
      <c r="F17" s="38"/>
      <c r="G17" s="38"/>
      <c r="H17" s="47" t="s">
        <v>80</v>
      </c>
      <c r="I17" s="37" t="s">
        <v>92</v>
      </c>
      <c r="J17" s="37" t="s">
        <v>94</v>
      </c>
    </row>
    <row r="18" spans="1:10" ht="15" x14ac:dyDescent="0.25">
      <c r="A18" s="48" t="s">
        <v>552</v>
      </c>
      <c r="B18" s="38">
        <v>2</v>
      </c>
      <c r="C18" s="282">
        <v>2</v>
      </c>
      <c r="D18" s="38"/>
      <c r="E18" s="277"/>
      <c r="F18" s="38" t="s">
        <v>554</v>
      </c>
      <c r="G18" s="38" t="s">
        <v>624</v>
      </c>
      <c r="H18" s="46" t="s">
        <v>562</v>
      </c>
    </row>
    <row r="19" spans="1:10" ht="15" x14ac:dyDescent="0.25">
      <c r="A19" s="48" t="s">
        <v>555</v>
      </c>
      <c r="B19" s="38">
        <v>6</v>
      </c>
      <c r="C19" s="282">
        <v>6</v>
      </c>
      <c r="D19" s="38"/>
      <c r="E19" s="277"/>
      <c r="F19" s="38" t="s">
        <v>554</v>
      </c>
      <c r="G19" s="38" t="s">
        <v>632</v>
      </c>
      <c r="H19" s="46" t="s">
        <v>561</v>
      </c>
    </row>
    <row r="20" spans="1:10" ht="15" x14ac:dyDescent="0.25">
      <c r="A20" s="48" t="s">
        <v>564</v>
      </c>
      <c r="B20" s="38">
        <v>6</v>
      </c>
      <c r="C20" s="282">
        <v>6</v>
      </c>
      <c r="D20" s="38"/>
      <c r="E20" s="277"/>
      <c r="F20" s="38" t="s">
        <v>554</v>
      </c>
      <c r="G20" s="38" t="s">
        <v>625</v>
      </c>
      <c r="H20" s="46" t="s">
        <v>563</v>
      </c>
    </row>
    <row r="21" spans="1:10" x14ac:dyDescent="0.25">
      <c r="A21" s="48" t="s">
        <v>89</v>
      </c>
      <c r="B21" s="38">
        <v>10</v>
      </c>
      <c r="C21" s="282">
        <v>10</v>
      </c>
      <c r="D21" s="38" t="s">
        <v>413</v>
      </c>
      <c r="E21" s="277" t="s">
        <v>413</v>
      </c>
      <c r="F21" s="38"/>
      <c r="G21" s="38"/>
      <c r="H21" s="47" t="s">
        <v>90</v>
      </c>
    </row>
    <row r="22" spans="1:10" ht="15" x14ac:dyDescent="0.25">
      <c r="A22" s="48" t="s">
        <v>506</v>
      </c>
      <c r="B22" s="38">
        <v>5</v>
      </c>
      <c r="C22" s="282">
        <v>5</v>
      </c>
      <c r="D22" s="38" t="s">
        <v>413</v>
      </c>
      <c r="E22" s="277" t="s">
        <v>413</v>
      </c>
      <c r="F22" s="38" t="s">
        <v>554</v>
      </c>
      <c r="G22" s="38" t="s">
        <v>637</v>
      </c>
      <c r="H22" s="46" t="s">
        <v>507</v>
      </c>
    </row>
    <row r="23" spans="1:10" ht="15" x14ac:dyDescent="0.25">
      <c r="A23" s="48" t="s">
        <v>611</v>
      </c>
      <c r="B23" s="38">
        <v>10</v>
      </c>
      <c r="C23" s="282">
        <v>10</v>
      </c>
      <c r="D23" s="38" t="s">
        <v>413</v>
      </c>
      <c r="E23" s="289" t="s">
        <v>413</v>
      </c>
      <c r="F23" s="38" t="s">
        <v>413</v>
      </c>
      <c r="G23" s="38" t="s">
        <v>612</v>
      </c>
      <c r="H23" s="46"/>
    </row>
    <row r="24" spans="1:10" ht="15" x14ac:dyDescent="0.25">
      <c r="A24" s="48" t="s">
        <v>613</v>
      </c>
      <c r="B24" s="38">
        <v>11</v>
      </c>
      <c r="C24" s="282">
        <v>11</v>
      </c>
      <c r="D24" s="38" t="s">
        <v>413</v>
      </c>
      <c r="E24" s="289" t="s">
        <v>413</v>
      </c>
      <c r="F24" s="38" t="s">
        <v>413</v>
      </c>
      <c r="G24" s="38" t="s">
        <v>607</v>
      </c>
      <c r="H24" s="46"/>
    </row>
    <row r="25" spans="1:10" ht="15" x14ac:dyDescent="0.25">
      <c r="A25" s="48" t="s">
        <v>614</v>
      </c>
      <c r="B25" s="38">
        <v>2</v>
      </c>
      <c r="C25" s="282">
        <v>2</v>
      </c>
      <c r="D25" s="38"/>
      <c r="E25" s="289"/>
      <c r="F25" s="38"/>
      <c r="G25" s="38" t="s">
        <v>615</v>
      </c>
      <c r="H25" s="46"/>
    </row>
    <row r="26" spans="1:10" ht="15" customHeight="1" x14ac:dyDescent="0.25">
      <c r="A26" s="48" t="s">
        <v>609</v>
      </c>
      <c r="B26" s="38">
        <v>3</v>
      </c>
      <c r="C26" s="282">
        <v>3</v>
      </c>
      <c r="D26" s="38" t="s">
        <v>413</v>
      </c>
      <c r="E26" s="289" t="s">
        <v>413</v>
      </c>
      <c r="F26" s="38" t="s">
        <v>413</v>
      </c>
      <c r="G26" s="38" t="s">
        <v>610</v>
      </c>
      <c r="H26" s="46"/>
    </row>
    <row r="27" spans="1:10" ht="15" customHeight="1" x14ac:dyDescent="0.25">
      <c r="A27" s="290" t="s">
        <v>616</v>
      </c>
      <c r="B27" s="38">
        <v>6</v>
      </c>
      <c r="C27" s="282"/>
      <c r="D27" s="38" t="s">
        <v>413</v>
      </c>
      <c r="E27" s="289" t="s">
        <v>413</v>
      </c>
      <c r="F27" s="38" t="s">
        <v>413</v>
      </c>
      <c r="G27" s="38" t="s">
        <v>617</v>
      </c>
      <c r="H27" s="46"/>
    </row>
    <row r="28" spans="1:10" ht="15" customHeight="1" x14ac:dyDescent="0.25">
      <c r="A28" s="48" t="s">
        <v>619</v>
      </c>
      <c r="B28" s="38">
        <v>10</v>
      </c>
      <c r="C28" s="282">
        <v>10</v>
      </c>
      <c r="D28" s="38" t="s">
        <v>413</v>
      </c>
      <c r="E28" s="289" t="s">
        <v>413</v>
      </c>
      <c r="F28" s="38" t="s">
        <v>413</v>
      </c>
      <c r="G28" s="38" t="s">
        <v>620</v>
      </c>
      <c r="H28" s="46"/>
    </row>
    <row r="29" spans="1:10" ht="15" x14ac:dyDescent="0.25">
      <c r="A29" s="48" t="s">
        <v>621</v>
      </c>
      <c r="B29" s="38">
        <v>16</v>
      </c>
      <c r="C29" s="282">
        <v>16</v>
      </c>
      <c r="D29" s="38" t="s">
        <v>413</v>
      </c>
      <c r="E29" s="289" t="s">
        <v>413</v>
      </c>
      <c r="F29" s="38" t="s">
        <v>413</v>
      </c>
      <c r="G29" s="38" t="s">
        <v>622</v>
      </c>
      <c r="H29" s="46"/>
    </row>
    <row r="30" spans="1:10" ht="15" x14ac:dyDescent="0.25">
      <c r="A30" s="48" t="s">
        <v>626</v>
      </c>
      <c r="B30" s="38">
        <v>2</v>
      </c>
      <c r="C30" s="282">
        <v>2</v>
      </c>
      <c r="D30" s="38" t="s">
        <v>413</v>
      </c>
      <c r="E30" s="289" t="s">
        <v>413</v>
      </c>
      <c r="F30" s="38" t="s">
        <v>413</v>
      </c>
      <c r="G30" s="38" t="s">
        <v>627</v>
      </c>
      <c r="H30" s="46"/>
    </row>
    <row r="31" spans="1:10" ht="15" x14ac:dyDescent="0.25">
      <c r="A31" s="51" t="s">
        <v>628</v>
      </c>
      <c r="B31" s="38">
        <v>7</v>
      </c>
      <c r="C31" s="282"/>
      <c r="D31" s="38"/>
      <c r="E31" s="289"/>
      <c r="F31" s="38"/>
      <c r="G31" s="38" t="s">
        <v>629</v>
      </c>
      <c r="H31" s="46"/>
    </row>
    <row r="32" spans="1:10" ht="15" x14ac:dyDescent="0.25">
      <c r="A32" s="48" t="s">
        <v>335</v>
      </c>
      <c r="B32" s="38">
        <v>6</v>
      </c>
      <c r="C32" s="282">
        <v>6</v>
      </c>
      <c r="D32" s="38"/>
      <c r="E32" s="289"/>
      <c r="F32" s="38"/>
      <c r="G32" s="38" t="s">
        <v>630</v>
      </c>
      <c r="H32" s="46"/>
    </row>
    <row r="33" spans="1:8" ht="15" x14ac:dyDescent="0.25">
      <c r="A33" s="48" t="s">
        <v>634</v>
      </c>
      <c r="B33" s="38">
        <v>4</v>
      </c>
      <c r="C33" s="282">
        <v>4</v>
      </c>
      <c r="D33" s="38"/>
      <c r="E33" s="289"/>
      <c r="F33" s="38"/>
      <c r="G33" s="38" t="s">
        <v>635</v>
      </c>
      <c r="H33" s="46"/>
    </row>
    <row r="34" spans="1:8" ht="15" x14ac:dyDescent="0.25">
      <c r="A34" s="48" t="s">
        <v>950</v>
      </c>
      <c r="B34" s="38">
        <v>14</v>
      </c>
      <c r="C34" s="282">
        <v>14</v>
      </c>
      <c r="D34" s="38"/>
      <c r="E34" s="38"/>
      <c r="F34" s="38"/>
      <c r="G34" s="38"/>
      <c r="H34" s="46"/>
    </row>
    <row r="35" spans="1:8" ht="15" x14ac:dyDescent="0.25">
      <c r="A35" s="48" t="s">
        <v>952</v>
      </c>
      <c r="B35" s="38">
        <v>21</v>
      </c>
      <c r="C35" s="282">
        <v>21</v>
      </c>
      <c r="D35" s="38"/>
      <c r="E35" s="38"/>
      <c r="F35" s="38"/>
      <c r="G35" s="38"/>
      <c r="H35" s="46"/>
    </row>
    <row r="36" spans="1:8" ht="15" x14ac:dyDescent="0.25">
      <c r="A36" s="48" t="s">
        <v>954</v>
      </c>
      <c r="B36" s="38">
        <v>18</v>
      </c>
      <c r="C36" s="282">
        <v>18</v>
      </c>
      <c r="D36" s="38"/>
      <c r="E36" s="38"/>
      <c r="F36" s="38"/>
      <c r="G36" s="38"/>
      <c r="H36" s="46"/>
    </row>
    <row r="37" spans="1:8" x14ac:dyDescent="0.25">
      <c r="B37" s="42"/>
      <c r="C37" s="283"/>
    </row>
    <row r="38" spans="1:8" x14ac:dyDescent="0.25">
      <c r="A38" s="43" t="s">
        <v>71</v>
      </c>
      <c r="B38" s="44">
        <f>SUM(B2:B36)</f>
        <v>334</v>
      </c>
      <c r="C38" s="284">
        <f>SUM(C2:C36)</f>
        <v>292</v>
      </c>
      <c r="D38" s="359">
        <f>C38/B38</f>
        <v>0.87425149700598803</v>
      </c>
    </row>
    <row r="39" spans="1:8" x14ac:dyDescent="0.25">
      <c r="A39" s="45"/>
      <c r="D39" s="44">
        <f>B38-C38</f>
        <v>42</v>
      </c>
    </row>
  </sheetData>
  <customSheetViews>
    <customSheetView guid="{6A3968C5-0A0A-44BD-9D91-8A632DB179F3}">
      <selection activeCell="H29" sqref="H29"/>
      <pageMargins left="0.7" right="0.7" top="0.75" bottom="0.75" header="0.3" footer="0.3"/>
      <pageSetup orientation="portrait" verticalDpi="1200" r:id="rId1"/>
    </customSheetView>
    <customSheetView guid="{F952AE04-5FFA-4EC5-9AC4-659942525BDB}" state="hidden" topLeftCell="A7">
      <selection activeCell="M27" sqref="M27"/>
      <pageMargins left="0.7" right="0.7" top="0.75" bottom="0.75" header="0.3" footer="0.3"/>
      <pageSetup orientation="portrait" verticalDpi="1200" r:id="rId2"/>
    </customSheetView>
  </customSheetViews>
  <mergeCells count="4">
    <mergeCell ref="B2:B3"/>
    <mergeCell ref="D2:D3"/>
    <mergeCell ref="E2:E3"/>
    <mergeCell ref="C2:C3"/>
  </mergeCells>
  <pageMargins left="0.7" right="0.7" top="0.75" bottom="0.75" header="0.3" footer="0.3"/>
  <pageSetup orientation="portrait" verticalDpi="1200" r:id="rId3"/>
  <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3">
    <tabColor rgb="FFFF0000"/>
  </sheetPr>
  <dimension ref="A1:CD303"/>
  <sheetViews>
    <sheetView tabSelected="1" zoomScale="70" zoomScaleNormal="70" workbookViewId="0">
      <pane xSplit="3" ySplit="8" topLeftCell="BI9" activePane="bottomRight" state="frozen"/>
      <selection pane="topRight" activeCell="D1" sqref="D1"/>
      <selection pane="bottomLeft" activeCell="A9" sqref="A9"/>
      <selection pane="bottomRight" activeCell="D168" sqref="D168"/>
    </sheetView>
  </sheetViews>
  <sheetFormatPr defaultColWidth="8.7109375" defaultRowHeight="14.25" x14ac:dyDescent="0.25"/>
  <cols>
    <col min="1" max="1" width="8.85546875" style="286" customWidth="1"/>
    <col min="2" max="2" width="30.140625" style="286" customWidth="1"/>
    <col min="3" max="3" width="12.5703125" style="286" customWidth="1"/>
    <col min="4" max="4" width="17.7109375" style="286" bestFit="1" customWidth="1"/>
    <col min="5" max="5" width="17.5703125" style="286" customWidth="1"/>
    <col min="6" max="6" width="25.140625" style="286" customWidth="1"/>
    <col min="7" max="22" width="9.140625" style="286" customWidth="1"/>
    <col min="23" max="23" width="9.140625" style="385" hidden="1" customWidth="1"/>
    <col min="24" max="24" width="9.140625" style="286" customWidth="1"/>
    <col min="25" max="25" width="9.140625" style="385" hidden="1" customWidth="1"/>
    <col min="26" max="26" width="9.140625" style="373" customWidth="1"/>
    <col min="27" max="28" width="9.140625" style="286" customWidth="1"/>
    <col min="29" max="29" width="11.85546875" style="286" customWidth="1"/>
    <col min="30" max="30" width="8.85546875" style="286" customWidth="1"/>
    <col min="31" max="31" width="11.140625" style="286" customWidth="1"/>
    <col min="32" max="33" width="11.140625" style="291" customWidth="1"/>
    <col min="34" max="35" width="11.140625" style="292" customWidth="1"/>
    <col min="36" max="37" width="18.5703125" style="286" customWidth="1"/>
    <col min="38" max="43" width="9.140625" style="286" customWidth="1"/>
    <col min="44" max="44" width="15.140625" style="286" customWidth="1"/>
    <col min="45" max="45" width="10.7109375" style="286" customWidth="1"/>
    <col min="46" max="46" width="15.140625" style="286" bestFit="1" customWidth="1"/>
    <col min="47" max="47" width="9.140625" style="286" customWidth="1"/>
    <col min="48" max="48" width="8.85546875" style="286" customWidth="1"/>
    <col min="49" max="65" width="9.140625" style="286" customWidth="1"/>
    <col min="66" max="66" width="8.7109375" style="286"/>
    <col min="67" max="67" width="0.85546875" style="374" customWidth="1"/>
    <col min="68" max="68" width="14.85546875" style="286" customWidth="1"/>
    <col min="69" max="70" width="8.7109375" style="286"/>
    <col min="71" max="71" width="15.140625" style="286" customWidth="1"/>
    <col min="72" max="72" width="8.7109375" style="286"/>
    <col min="73" max="73" width="0.85546875" style="374" customWidth="1"/>
    <col min="74" max="74" width="11.5703125" style="286" bestFit="1" customWidth="1"/>
    <col min="75" max="75" width="11.5703125" style="286" customWidth="1"/>
    <col min="76" max="76" width="8.7109375" style="286"/>
    <col min="77" max="78" width="13.42578125" style="286" customWidth="1"/>
    <col min="79" max="79" width="10.42578125" style="286" customWidth="1"/>
    <col min="80" max="80" width="17.7109375" style="286" customWidth="1"/>
    <col min="81" max="81" width="9.140625" style="286" customWidth="1"/>
    <col min="82" max="82" width="10.42578125" style="286" bestFit="1" customWidth="1"/>
    <col min="83" max="16384" width="8.7109375" style="286"/>
  </cols>
  <sheetData>
    <row r="1" spans="1:82" x14ac:dyDescent="0.25">
      <c r="A1" s="297" t="s">
        <v>104</v>
      </c>
      <c r="B1" s="298"/>
      <c r="C1" s="298"/>
      <c r="D1" s="298"/>
      <c r="E1" s="298"/>
      <c r="F1" s="298"/>
      <c r="G1" s="298"/>
      <c r="H1" s="298"/>
      <c r="I1" s="298"/>
      <c r="J1" s="298"/>
      <c r="K1" s="298"/>
      <c r="L1" s="298"/>
      <c r="M1" s="298"/>
      <c r="N1" s="361"/>
      <c r="O1" s="298"/>
      <c r="P1" s="298"/>
      <c r="Q1" s="298"/>
      <c r="R1" s="373"/>
      <c r="S1" s="373"/>
      <c r="T1" s="298"/>
      <c r="U1" s="298"/>
      <c r="V1" s="298"/>
      <c r="X1" s="298"/>
      <c r="AA1" s="373"/>
      <c r="AB1" s="373"/>
      <c r="AC1" s="298"/>
      <c r="AD1" s="298"/>
      <c r="AE1" s="298"/>
      <c r="AF1" s="298"/>
      <c r="AG1" s="373"/>
      <c r="AH1" s="298"/>
      <c r="AI1" s="373"/>
      <c r="AJ1" s="298"/>
      <c r="AK1" s="298"/>
      <c r="AL1" s="298"/>
      <c r="AM1" s="298"/>
      <c r="AN1" s="298"/>
      <c r="AO1" s="298"/>
      <c r="AP1" s="298"/>
      <c r="AQ1" s="298"/>
      <c r="AR1" s="298"/>
      <c r="AS1" s="298"/>
      <c r="AT1" s="298"/>
      <c r="AU1" s="298"/>
      <c r="AV1" s="298"/>
      <c r="AW1" s="298"/>
      <c r="AX1" s="298"/>
      <c r="AY1" s="298"/>
      <c r="AZ1" s="298"/>
      <c r="BA1" s="298"/>
      <c r="BB1" s="298"/>
      <c r="BC1" s="298"/>
      <c r="BD1" s="373"/>
      <c r="BE1" s="298"/>
      <c r="BF1" s="298"/>
      <c r="BG1" s="298"/>
      <c r="BH1" s="298"/>
      <c r="BI1" s="298"/>
      <c r="BJ1" s="298"/>
      <c r="BK1" s="298"/>
      <c r="BL1" s="298"/>
      <c r="BM1" s="298"/>
      <c r="BN1" s="298"/>
      <c r="BP1" s="361"/>
      <c r="BQ1" s="361"/>
      <c r="BR1" s="361"/>
      <c r="BS1" s="361"/>
      <c r="BT1" s="361"/>
      <c r="BV1" s="298"/>
      <c r="BW1" s="373"/>
      <c r="BX1" s="298"/>
      <c r="BY1" s="373"/>
      <c r="BZ1" s="373"/>
      <c r="CA1" s="373"/>
      <c r="CB1" s="298"/>
      <c r="CC1" s="373"/>
    </row>
    <row r="2" spans="1:82" x14ac:dyDescent="0.25">
      <c r="A2" s="299" t="s">
        <v>105</v>
      </c>
      <c r="B2" s="299" t="s">
        <v>490</v>
      </c>
      <c r="C2" s="298"/>
      <c r="D2" s="298"/>
      <c r="E2" s="298"/>
      <c r="F2" s="298"/>
      <c r="G2" s="298"/>
      <c r="H2" s="298"/>
      <c r="I2" s="300" t="s">
        <v>508</v>
      </c>
      <c r="J2" s="300" t="s">
        <v>509</v>
      </c>
      <c r="K2" s="298"/>
      <c r="L2" s="300" t="s">
        <v>520</v>
      </c>
      <c r="M2" s="300"/>
      <c r="N2" s="300"/>
      <c r="O2" s="300" t="s">
        <v>521</v>
      </c>
      <c r="P2" s="298"/>
      <c r="Q2" s="300" t="s">
        <v>522</v>
      </c>
      <c r="R2" s="300"/>
      <c r="S2" s="300"/>
      <c r="T2" s="300" t="s">
        <v>523</v>
      </c>
      <c r="U2" s="298"/>
      <c r="V2" s="298"/>
      <c r="X2" s="298"/>
      <c r="AA2" s="373"/>
      <c r="AB2" s="373"/>
      <c r="AC2" s="298"/>
      <c r="AD2" s="298"/>
      <c r="AE2" s="298"/>
      <c r="AF2" s="298"/>
      <c r="AG2" s="373"/>
      <c r="AH2" s="298"/>
      <c r="AI2" s="373"/>
      <c r="AJ2" s="298"/>
      <c r="AK2" s="298"/>
      <c r="AL2" s="298"/>
      <c r="AM2" s="298"/>
      <c r="AN2" s="298"/>
      <c r="AO2" s="298"/>
      <c r="AP2" s="298"/>
      <c r="AQ2" s="298"/>
      <c r="AR2" s="298"/>
      <c r="AS2" s="298"/>
      <c r="AT2" s="298"/>
      <c r="AU2" s="298"/>
      <c r="AV2" s="298"/>
      <c r="AW2" s="298"/>
      <c r="AX2" s="298"/>
      <c r="AY2" s="298"/>
      <c r="AZ2" s="298"/>
      <c r="BA2" s="298"/>
      <c r="BB2" s="298"/>
      <c r="BC2" s="298"/>
      <c r="BD2" s="373"/>
      <c r="BE2" s="298"/>
      <c r="BF2" s="298"/>
      <c r="BG2" s="298"/>
      <c r="BH2" s="298"/>
      <c r="BI2" s="298"/>
      <c r="BJ2" s="298"/>
      <c r="BK2" s="298"/>
      <c r="BL2" s="298"/>
      <c r="BM2" s="298"/>
      <c r="BN2" s="298"/>
      <c r="BP2" s="361"/>
      <c r="BQ2" s="361"/>
      <c r="BR2" s="361"/>
      <c r="BS2" s="361"/>
      <c r="BT2" s="361"/>
      <c r="BV2" s="298"/>
      <c r="BW2" s="373"/>
      <c r="BX2" s="298"/>
      <c r="BY2" s="373"/>
      <c r="BZ2" s="373"/>
      <c r="CA2" s="373"/>
      <c r="CB2" s="298"/>
      <c r="CC2" s="373"/>
    </row>
    <row r="3" spans="1:82" x14ac:dyDescent="0.25">
      <c r="A3" s="301" t="s">
        <v>107</v>
      </c>
      <c r="B3" s="299" t="s">
        <v>492</v>
      </c>
      <c r="C3" s="298"/>
      <c r="D3" s="298"/>
      <c r="E3" s="298"/>
      <c r="F3" s="298"/>
      <c r="G3" s="298"/>
      <c r="H3" s="298"/>
      <c r="I3" s="298">
        <v>1</v>
      </c>
      <c r="J3" s="298">
        <v>6.8947599999999998E-3</v>
      </c>
      <c r="K3" s="298"/>
      <c r="L3" s="298">
        <v>1</v>
      </c>
      <c r="M3" s="298"/>
      <c r="N3" s="361"/>
      <c r="O3" s="298">
        <v>25.4</v>
      </c>
      <c r="P3" s="298"/>
      <c r="Q3" s="298">
        <v>1</v>
      </c>
      <c r="R3" s="373"/>
      <c r="S3" s="373"/>
      <c r="T3" s="298">
        <f>4.44822/1000</f>
        <v>4.4482200000000001E-3</v>
      </c>
      <c r="U3" s="298"/>
      <c r="V3" s="298"/>
      <c r="X3" s="298"/>
      <c r="AA3" s="373"/>
      <c r="AB3" s="373"/>
      <c r="AC3" s="298"/>
      <c r="AD3" s="298"/>
      <c r="AE3" s="298"/>
      <c r="AF3" s="298"/>
      <c r="AG3" s="373"/>
      <c r="AH3" s="298"/>
      <c r="AI3" s="373"/>
      <c r="AJ3" s="298"/>
      <c r="AK3" s="298"/>
      <c r="AL3" s="298"/>
      <c r="AM3" s="298"/>
      <c r="AN3" s="298"/>
      <c r="AO3" s="298"/>
      <c r="AP3" s="298"/>
      <c r="AQ3" s="298"/>
      <c r="AR3" s="298"/>
      <c r="AS3" s="298"/>
      <c r="AT3" s="298"/>
      <c r="AU3" s="298"/>
      <c r="AV3" s="298"/>
      <c r="AW3" s="298"/>
      <c r="AX3" s="298"/>
      <c r="AY3" s="298"/>
      <c r="AZ3" s="298"/>
      <c r="BA3" s="298"/>
      <c r="BB3" s="298"/>
      <c r="BC3" s="298"/>
      <c r="BD3" s="373"/>
      <c r="BE3" s="298"/>
      <c r="BF3" s="298"/>
      <c r="BG3" s="298"/>
      <c r="BH3" s="298"/>
      <c r="BI3" s="298"/>
      <c r="BJ3" s="298"/>
      <c r="BK3" s="298"/>
      <c r="BL3" s="298"/>
      <c r="BM3" s="298"/>
      <c r="BN3" s="298"/>
      <c r="BP3" s="361"/>
      <c r="BQ3" s="361"/>
      <c r="BR3" s="361"/>
      <c r="BS3" s="361"/>
      <c r="BT3" s="361"/>
      <c r="BV3" s="298"/>
      <c r="BW3" s="373"/>
      <c r="BX3" s="298"/>
      <c r="BY3" s="373"/>
      <c r="BZ3" s="373"/>
      <c r="CA3" s="373"/>
      <c r="CB3" s="298"/>
      <c r="CC3" s="373"/>
    </row>
    <row r="4" spans="1:82" x14ac:dyDescent="0.25">
      <c r="A4" s="302" t="s">
        <v>106</v>
      </c>
      <c r="B4" s="299" t="s">
        <v>487</v>
      </c>
      <c r="C4" s="298"/>
      <c r="D4" s="298"/>
      <c r="E4" s="298"/>
      <c r="F4" s="298"/>
      <c r="G4" s="298"/>
      <c r="H4" s="298"/>
      <c r="I4" s="298">
        <v>145.03800000000001</v>
      </c>
      <c r="J4" s="298">
        <v>1</v>
      </c>
      <c r="K4" s="298"/>
      <c r="L4" s="298">
        <v>3.9370099999999998E-2</v>
      </c>
      <c r="M4" s="298"/>
      <c r="N4" s="361"/>
      <c r="O4" s="298">
        <v>1</v>
      </c>
      <c r="P4" s="298"/>
      <c r="Q4" s="298">
        <f>0.224809*1000</f>
        <v>224.809</v>
      </c>
      <c r="R4" s="373"/>
      <c r="S4" s="373"/>
      <c r="T4" s="298">
        <v>1</v>
      </c>
      <c r="U4" s="298"/>
      <c r="V4" s="298"/>
      <c r="X4" s="298"/>
      <c r="AA4" s="373"/>
      <c r="AB4" s="373"/>
      <c r="AC4" s="298"/>
      <c r="AD4" s="298"/>
      <c r="AE4" s="298"/>
      <c r="AF4" s="298"/>
      <c r="AG4" s="373"/>
      <c r="AH4" s="298"/>
      <c r="AI4" s="373"/>
      <c r="AJ4" s="298"/>
      <c r="AK4" s="298"/>
      <c r="AL4" s="298"/>
      <c r="AM4" s="298"/>
      <c r="AN4" s="298"/>
      <c r="AO4" s="298"/>
      <c r="AP4" s="298"/>
      <c r="AQ4" s="298"/>
      <c r="AR4" s="298"/>
      <c r="AS4" s="298"/>
      <c r="AT4" s="298"/>
      <c r="AU4" s="298"/>
      <c r="AV4" s="298"/>
      <c r="AW4" s="298"/>
      <c r="AX4" s="298"/>
      <c r="AY4" s="298"/>
      <c r="AZ4" s="298"/>
      <c r="BA4" s="298"/>
      <c r="BB4" s="298"/>
      <c r="BC4" s="298"/>
      <c r="BD4" s="373"/>
      <c r="BE4" s="298"/>
      <c r="BF4" s="298"/>
      <c r="BG4" s="298"/>
      <c r="BH4" s="298"/>
      <c r="BI4" s="298"/>
      <c r="BJ4" s="298"/>
      <c r="BK4" s="298"/>
      <c r="BL4" s="298"/>
      <c r="BM4" s="298"/>
      <c r="BN4" s="328">
        <f>MAX(BN9:BN300)</f>
        <v>3.2684046846585897</v>
      </c>
      <c r="BP4" s="361"/>
      <c r="BQ4" s="361"/>
      <c r="BR4" s="361"/>
      <c r="BS4" s="361"/>
      <c r="BT4" s="361"/>
      <c r="BV4" s="298"/>
      <c r="BW4" s="373"/>
      <c r="BX4" s="298"/>
      <c r="BY4" s="373"/>
      <c r="BZ4" s="373"/>
      <c r="CA4" s="373"/>
      <c r="CB4" s="298"/>
      <c r="CC4" s="328">
        <f>MAX(CC9:CC300)</f>
        <v>0.90523120520546863</v>
      </c>
    </row>
    <row r="5" spans="1:82" x14ac:dyDescent="0.25">
      <c r="A5" s="303" t="s">
        <v>488</v>
      </c>
      <c r="B5" s="299" t="s">
        <v>489</v>
      </c>
      <c r="C5" s="298"/>
      <c r="D5" s="298"/>
      <c r="E5" s="298"/>
      <c r="F5" s="298"/>
      <c r="G5" s="298"/>
      <c r="H5" s="298"/>
      <c r="I5" s="298"/>
      <c r="J5" s="298"/>
      <c r="K5" s="298"/>
      <c r="L5" s="298"/>
      <c r="M5" s="298"/>
      <c r="N5" s="361"/>
      <c r="O5" s="298"/>
      <c r="P5" s="298"/>
      <c r="Q5" s="298"/>
      <c r="R5" s="373"/>
      <c r="S5" s="373"/>
      <c r="T5" s="298"/>
      <c r="U5" s="298"/>
      <c r="V5" s="298"/>
      <c r="X5" s="298"/>
      <c r="AA5" s="373"/>
      <c r="AB5" s="373"/>
      <c r="AC5" s="298"/>
      <c r="AD5" s="298"/>
      <c r="AE5" s="298"/>
      <c r="AF5" s="298"/>
      <c r="AG5" s="373"/>
      <c r="AH5" s="298"/>
      <c r="AI5" s="373"/>
      <c r="AJ5" s="298"/>
      <c r="AK5" s="298"/>
      <c r="AL5" s="298"/>
      <c r="AM5" s="298"/>
      <c r="AN5" s="298"/>
      <c r="AO5" s="298"/>
      <c r="AP5" s="298"/>
      <c r="AQ5" s="298"/>
      <c r="AR5" s="298"/>
      <c r="AS5" s="298"/>
      <c r="AT5" s="298"/>
      <c r="AU5" s="298"/>
      <c r="AV5" s="298"/>
      <c r="AW5" s="298"/>
      <c r="AX5" s="298"/>
      <c r="AY5" s="298"/>
      <c r="AZ5" s="298"/>
      <c r="BA5" s="298"/>
      <c r="BB5" s="298"/>
      <c r="BC5" s="298"/>
      <c r="BD5" s="373"/>
      <c r="BE5" s="298"/>
      <c r="BF5" s="298"/>
      <c r="BG5" s="298"/>
      <c r="BH5" s="298"/>
      <c r="BI5" s="298"/>
      <c r="BJ5" s="298"/>
      <c r="BK5" s="298"/>
      <c r="BL5" s="298"/>
      <c r="BM5" s="298"/>
      <c r="BN5" s="298"/>
      <c r="BP5" s="361"/>
      <c r="BQ5" s="361"/>
      <c r="BR5" s="361"/>
      <c r="BS5" s="361"/>
      <c r="BT5" s="361"/>
      <c r="BV5" s="298"/>
      <c r="BW5" s="373"/>
      <c r="BX5" s="298"/>
      <c r="BY5" s="373"/>
      <c r="BZ5" s="373"/>
      <c r="CA5" s="373"/>
      <c r="CB5" s="298"/>
      <c r="CC5" s="373"/>
    </row>
    <row r="6" spans="1:82" x14ac:dyDescent="0.25">
      <c r="A6" s="304" t="s">
        <v>539</v>
      </c>
      <c r="B6" s="299" t="s">
        <v>540</v>
      </c>
      <c r="C6" s="298"/>
      <c r="D6" s="298"/>
      <c r="E6" s="298"/>
      <c r="F6" s="298"/>
      <c r="G6" s="298"/>
      <c r="H6" s="298" t="s">
        <v>554</v>
      </c>
      <c r="I6" s="298" t="s">
        <v>554</v>
      </c>
      <c r="J6" s="298"/>
      <c r="K6" s="298" t="s">
        <v>554</v>
      </c>
      <c r="L6" s="298"/>
      <c r="M6" s="298"/>
      <c r="N6" s="361"/>
      <c r="O6" s="298"/>
      <c r="P6" s="298"/>
      <c r="Q6" s="298"/>
      <c r="R6" s="373" t="s">
        <v>554</v>
      </c>
      <c r="S6" s="373"/>
      <c r="T6" s="298"/>
      <c r="U6" s="298"/>
      <c r="V6" s="298"/>
      <c r="X6" s="298"/>
      <c r="AA6" s="373"/>
      <c r="AB6" s="373"/>
      <c r="AC6" s="298"/>
      <c r="AD6" s="298"/>
      <c r="AE6" s="298"/>
      <c r="AF6" s="298"/>
      <c r="AG6" s="373"/>
      <c r="AH6" s="298"/>
      <c r="AI6" s="373" t="s">
        <v>554</v>
      </c>
      <c r="AJ6" s="298"/>
      <c r="AK6" s="298"/>
      <c r="AL6" s="298"/>
      <c r="AM6" s="298"/>
      <c r="AN6" s="298" t="s">
        <v>554</v>
      </c>
      <c r="AO6" s="298" t="s">
        <v>554</v>
      </c>
      <c r="AP6" s="298"/>
      <c r="AQ6" s="298"/>
      <c r="AR6" s="298"/>
      <c r="AS6" s="298"/>
      <c r="AT6" s="298"/>
      <c r="AU6" s="298"/>
      <c r="AV6" s="298"/>
      <c r="AW6" s="298"/>
      <c r="AX6" s="298" t="s">
        <v>554</v>
      </c>
      <c r="AY6" s="298" t="s">
        <v>554</v>
      </c>
      <c r="AZ6" s="298"/>
      <c r="BA6" s="298"/>
      <c r="BB6" s="298"/>
      <c r="BC6" s="298" t="s">
        <v>554</v>
      </c>
      <c r="BD6" s="373"/>
      <c r="BE6" s="298"/>
      <c r="BF6" s="298"/>
      <c r="BG6" s="298"/>
      <c r="BH6" s="298"/>
      <c r="BI6" s="298"/>
      <c r="BJ6" s="298"/>
      <c r="BK6" s="298"/>
      <c r="BL6" s="298"/>
      <c r="BM6" s="298" t="s">
        <v>18</v>
      </c>
      <c r="BN6" s="298"/>
      <c r="BP6" s="361"/>
      <c r="BQ6" s="361"/>
      <c r="BR6" s="361"/>
      <c r="BS6" s="361"/>
      <c r="BT6" s="361"/>
      <c r="BV6" s="298"/>
      <c r="BW6" s="373"/>
      <c r="BX6" s="298"/>
      <c r="BY6" s="373"/>
      <c r="BZ6" s="373"/>
      <c r="CA6" s="373"/>
      <c r="CB6" s="298"/>
      <c r="CC6" s="373" t="s">
        <v>18</v>
      </c>
    </row>
    <row r="7" spans="1:82" ht="15" customHeight="1" x14ac:dyDescent="0.25">
      <c r="A7" s="298"/>
      <c r="B7" s="298"/>
      <c r="C7" s="298"/>
      <c r="D7" s="450" t="s">
        <v>673</v>
      </c>
      <c r="E7" s="450"/>
      <c r="F7" s="352" t="s">
        <v>674</v>
      </c>
      <c r="G7" s="453" t="s">
        <v>108</v>
      </c>
      <c r="H7" s="453"/>
      <c r="I7" s="453"/>
      <c r="J7" s="453"/>
      <c r="K7" s="453"/>
      <c r="L7" s="453"/>
      <c r="M7" s="453"/>
      <c r="N7" s="453"/>
      <c r="O7" s="453"/>
      <c r="P7" s="454" t="s">
        <v>112</v>
      </c>
      <c r="Q7" s="454"/>
      <c r="R7" s="454"/>
      <c r="S7" s="454"/>
      <c r="T7" s="454"/>
      <c r="U7" s="457" t="s">
        <v>500</v>
      </c>
      <c r="V7" s="457"/>
      <c r="W7" s="457"/>
      <c r="X7" s="457"/>
      <c r="Y7" s="457"/>
      <c r="Z7" s="457"/>
      <c r="AA7" s="457"/>
      <c r="AB7" s="457"/>
      <c r="AC7" s="457"/>
      <c r="AD7" s="457"/>
      <c r="AE7" s="457"/>
      <c r="AF7" s="457"/>
      <c r="AG7" s="457"/>
      <c r="AH7" s="457"/>
      <c r="AI7" s="389"/>
      <c r="AJ7" s="452" t="s">
        <v>701</v>
      </c>
      <c r="AK7" s="452"/>
      <c r="AL7" s="452"/>
      <c r="AM7" s="452"/>
      <c r="AN7" s="452"/>
      <c r="AO7" s="452"/>
      <c r="AP7" s="452"/>
      <c r="AQ7" s="452"/>
      <c r="AR7" s="456" t="s">
        <v>116</v>
      </c>
      <c r="AS7" s="456"/>
      <c r="AT7" s="456"/>
      <c r="AU7" s="456"/>
      <c r="AV7" s="456"/>
      <c r="AW7" s="456"/>
      <c r="AX7" s="456"/>
      <c r="AY7" s="456"/>
      <c r="AZ7" s="456"/>
      <c r="BA7" s="456"/>
      <c r="BB7" s="455" t="s">
        <v>113</v>
      </c>
      <c r="BC7" s="455"/>
      <c r="BD7" s="455"/>
      <c r="BE7" s="455"/>
      <c r="BF7" s="451" t="s">
        <v>115</v>
      </c>
      <c r="BG7" s="451"/>
      <c r="BH7" s="451"/>
      <c r="BI7" s="451"/>
      <c r="BJ7" s="451"/>
      <c r="BK7" s="451"/>
      <c r="BL7" s="451"/>
      <c r="BM7" s="451"/>
      <c r="BN7" s="451"/>
      <c r="BP7" s="448" t="s">
        <v>808</v>
      </c>
      <c r="BQ7" s="448"/>
      <c r="BR7" s="448"/>
      <c r="BS7" s="448"/>
      <c r="BT7" s="448"/>
      <c r="BV7" s="449" t="s">
        <v>593</v>
      </c>
      <c r="BW7" s="449"/>
      <c r="BX7" s="449"/>
      <c r="BY7" s="449"/>
      <c r="BZ7" s="449"/>
      <c r="CA7" s="449"/>
      <c r="CB7" s="449"/>
      <c r="CC7" s="449"/>
      <c r="CD7" s="449"/>
    </row>
    <row r="8" spans="1:82" s="296" customFormat="1" ht="42.75" x14ac:dyDescent="0.25">
      <c r="A8" s="53" t="s">
        <v>2</v>
      </c>
      <c r="B8" s="53" t="s">
        <v>671</v>
      </c>
      <c r="C8" s="53" t="s">
        <v>0</v>
      </c>
      <c r="D8" s="53" t="s">
        <v>596</v>
      </c>
      <c r="E8" s="53" t="s">
        <v>667</v>
      </c>
      <c r="F8" s="53" t="s">
        <v>102</v>
      </c>
      <c r="G8" s="54" t="s">
        <v>3</v>
      </c>
      <c r="H8" s="55" t="s">
        <v>591</v>
      </c>
      <c r="I8" s="54" t="s">
        <v>4</v>
      </c>
      <c r="J8" s="55" t="s">
        <v>5</v>
      </c>
      <c r="K8" s="54" t="s">
        <v>6</v>
      </c>
      <c r="L8" s="53" t="s">
        <v>499</v>
      </c>
      <c r="M8" s="54" t="s">
        <v>7</v>
      </c>
      <c r="N8" s="55" t="s">
        <v>814</v>
      </c>
      <c r="O8" s="53" t="s">
        <v>592</v>
      </c>
      <c r="P8" s="55" t="s">
        <v>109</v>
      </c>
      <c r="Q8" s="55" t="s">
        <v>111</v>
      </c>
      <c r="R8" s="55" t="s">
        <v>110</v>
      </c>
      <c r="S8" s="55" t="s">
        <v>972</v>
      </c>
      <c r="T8" s="55" t="s">
        <v>973</v>
      </c>
      <c r="U8" s="53" t="s">
        <v>660</v>
      </c>
      <c r="V8" s="53" t="s">
        <v>659</v>
      </c>
      <c r="W8" s="386" t="s">
        <v>876</v>
      </c>
      <c r="X8" s="53" t="s">
        <v>486</v>
      </c>
      <c r="Y8" s="386" t="s">
        <v>869</v>
      </c>
      <c r="Z8" s="417" t="s">
        <v>1019</v>
      </c>
      <c r="AA8" s="53" t="s">
        <v>956</v>
      </c>
      <c r="AB8" s="53" t="s">
        <v>957</v>
      </c>
      <c r="AC8" s="53" t="s">
        <v>600</v>
      </c>
      <c r="AD8" s="53" t="s">
        <v>669</v>
      </c>
      <c r="AE8" s="53" t="s">
        <v>599</v>
      </c>
      <c r="AF8" s="53" t="s">
        <v>670</v>
      </c>
      <c r="AG8" s="53" t="s">
        <v>974</v>
      </c>
      <c r="AH8" s="53" t="s">
        <v>975</v>
      </c>
      <c r="AI8" s="53" t="s">
        <v>976</v>
      </c>
      <c r="AJ8" s="53" t="s">
        <v>709</v>
      </c>
      <c r="AK8" s="53" t="s">
        <v>708</v>
      </c>
      <c r="AL8" s="53" t="s">
        <v>494</v>
      </c>
      <c r="AM8" s="53" t="s">
        <v>493</v>
      </c>
      <c r="AN8" s="53" t="s">
        <v>117</v>
      </c>
      <c r="AO8" s="53" t="s">
        <v>8</v>
      </c>
      <c r="AP8" s="53" t="s">
        <v>497</v>
      </c>
      <c r="AQ8" s="53" t="s">
        <v>9</v>
      </c>
      <c r="AR8" s="53" t="s">
        <v>706</v>
      </c>
      <c r="AS8" s="53" t="s">
        <v>601</v>
      </c>
      <c r="AT8" s="53" t="s">
        <v>707</v>
      </c>
      <c r="AU8" s="53" t="s">
        <v>602</v>
      </c>
      <c r="AV8" s="53" t="s">
        <v>496</v>
      </c>
      <c r="AW8" s="53" t="s">
        <v>495</v>
      </c>
      <c r="AX8" s="53" t="s">
        <v>118</v>
      </c>
      <c r="AY8" s="55" t="s">
        <v>10</v>
      </c>
      <c r="AZ8" s="53" t="s">
        <v>498</v>
      </c>
      <c r="BA8" s="53" t="s">
        <v>11</v>
      </c>
      <c r="BB8" s="53" t="s">
        <v>491</v>
      </c>
      <c r="BC8" s="53" t="s">
        <v>480</v>
      </c>
      <c r="BD8" s="53" t="s">
        <v>942</v>
      </c>
      <c r="BE8" s="53" t="s">
        <v>481</v>
      </c>
      <c r="BF8" s="53" t="s">
        <v>661</v>
      </c>
      <c r="BG8" s="53" t="s">
        <v>114</v>
      </c>
      <c r="BH8" s="53" t="s">
        <v>662</v>
      </c>
      <c r="BI8" s="53" t="s">
        <v>663</v>
      </c>
      <c r="BJ8" s="53" t="s">
        <v>665</v>
      </c>
      <c r="BK8" s="53" t="s">
        <v>666</v>
      </c>
      <c r="BL8" s="53" t="s">
        <v>664</v>
      </c>
      <c r="BM8" s="53" t="s">
        <v>479</v>
      </c>
      <c r="BN8" s="53" t="s">
        <v>482</v>
      </c>
      <c r="BO8" s="375"/>
      <c r="BP8" s="372" t="s">
        <v>809</v>
      </c>
      <c r="BQ8" s="372" t="s">
        <v>810</v>
      </c>
      <c r="BR8" s="372" t="s">
        <v>811</v>
      </c>
      <c r="BS8" s="372" t="s">
        <v>812</v>
      </c>
      <c r="BT8" s="372" t="s">
        <v>813</v>
      </c>
      <c r="BU8" s="375"/>
      <c r="BV8" s="377" t="s">
        <v>815</v>
      </c>
      <c r="BW8" s="55" t="s">
        <v>816</v>
      </c>
      <c r="BX8" s="55" t="s">
        <v>817</v>
      </c>
      <c r="BY8" s="287"/>
      <c r="BZ8" s="287"/>
      <c r="CA8" s="287"/>
      <c r="CB8" s="55" t="s">
        <v>819</v>
      </c>
      <c r="CC8" s="53" t="s">
        <v>479</v>
      </c>
      <c r="CD8" s="378" t="s">
        <v>818</v>
      </c>
    </row>
    <row r="9" spans="1:82" x14ac:dyDescent="0.25">
      <c r="A9" s="305">
        <v>1</v>
      </c>
      <c r="B9" s="298" t="s">
        <v>672</v>
      </c>
      <c r="C9" s="298" t="s">
        <v>524</v>
      </c>
      <c r="D9" s="298" t="s">
        <v>597</v>
      </c>
      <c r="E9" s="298" t="s">
        <v>668</v>
      </c>
      <c r="F9" s="298" t="s">
        <v>484</v>
      </c>
      <c r="G9" s="311">
        <f>(8*12+8)*$O$3</f>
        <v>2641.6</v>
      </c>
      <c r="H9" s="311">
        <f t="shared" ref="H9:H43" si="0">IF(F9="Cantilever",G9,0.5*G9)</f>
        <v>2641.6</v>
      </c>
      <c r="I9" s="311">
        <f>8*12*$O$3</f>
        <v>2438.3999999999996</v>
      </c>
      <c r="J9" s="306">
        <f t="shared" ref="J9:J20" si="1">I9*G9</f>
        <v>6441277.4399999985</v>
      </c>
      <c r="K9" s="311">
        <f>(5+5/8)*$O$3</f>
        <v>142.875</v>
      </c>
      <c r="L9" s="327">
        <f t="shared" ref="L9:L20" si="2">0.8*I9</f>
        <v>1950.7199999999998</v>
      </c>
      <c r="M9" s="309">
        <f t="shared" ref="M9:M20" si="3">G9/I9</f>
        <v>1.0833333333333335</v>
      </c>
      <c r="N9" s="309">
        <f>O9</f>
        <v>1.0833333333333335</v>
      </c>
      <c r="O9" s="309">
        <f t="shared" ref="O9:O72" si="4">H9/I9</f>
        <v>1.0833333333333335</v>
      </c>
      <c r="P9" s="306">
        <f>(0*390/2*K9)+(I9-0*390/2)*(25.4)*2</f>
        <v>123870.71999999997</v>
      </c>
      <c r="Q9" s="306">
        <f t="shared" ref="Q9:Q72" si="5">K9*I9</f>
        <v>348386.39999999997</v>
      </c>
      <c r="R9" s="309">
        <f t="shared" ref="R9:R50" si="6">P9/Q9</f>
        <v>0.35555555555555551</v>
      </c>
      <c r="S9" s="312">
        <f>I9</f>
        <v>2438.3999999999996</v>
      </c>
      <c r="T9" s="312">
        <f>G9</f>
        <v>2641.6</v>
      </c>
      <c r="U9" s="310">
        <f>2090*$J$3</f>
        <v>14.410048399999999</v>
      </c>
      <c r="V9" s="310">
        <f>2880*$J$3</f>
        <v>19.856908799999999</v>
      </c>
      <c r="W9" s="387">
        <f>IF(V9="-",0,V9)</f>
        <v>19.856908799999999</v>
      </c>
      <c r="X9" s="307">
        <f>4570*$J$3</f>
        <v>31.5090532</v>
      </c>
      <c r="Y9" s="387">
        <f>IF(X9="-",0,X9)</f>
        <v>31.5090532</v>
      </c>
      <c r="Z9" s="418">
        <v>0.46</v>
      </c>
      <c r="AA9" s="366">
        <f t="shared" ref="AA9:AA20" si="7">(K9^-0.221)*((1-Z9)^0.0818)*(U9^-0.425)*((V9+U9)^1.01)*((X9+U9)^0.312)</f>
        <v>11.972859906439023</v>
      </c>
      <c r="AB9" s="366">
        <v>9.9</v>
      </c>
      <c r="AC9" s="308" t="s">
        <v>413</v>
      </c>
      <c r="AD9" s="309" t="s">
        <v>413</v>
      </c>
      <c r="AE9" s="311" t="s">
        <v>413</v>
      </c>
      <c r="AF9" s="327">
        <v>1</v>
      </c>
      <c r="AG9" s="413">
        <f t="shared" ref="AG9:AG20" si="8">AF9*AA9</f>
        <v>11.972859906439023</v>
      </c>
      <c r="AH9" s="413">
        <f t="shared" ref="AH9:AH20" si="9">AF9*AB9</f>
        <v>9.9</v>
      </c>
      <c r="AI9" s="416">
        <f t="shared" ref="AI9:AI20" si="10">((2*390/2)*AG9+(I9-2*390/2)*AH9)/I9</f>
        <v>10.231535172043642</v>
      </c>
      <c r="AJ9" s="298" t="s">
        <v>413</v>
      </c>
      <c r="AK9" s="298" t="s">
        <v>413</v>
      </c>
      <c r="AL9" s="298">
        <v>0</v>
      </c>
      <c r="AM9" s="298">
        <v>0</v>
      </c>
      <c r="AN9" s="306">
        <f t="shared" ref="AN9:AN50" si="11">AM9/K9/L9</f>
        <v>0</v>
      </c>
      <c r="AO9" s="298">
        <v>0</v>
      </c>
      <c r="AP9" s="306">
        <f>AN9*AO9</f>
        <v>0</v>
      </c>
      <c r="AQ9" s="311">
        <v>0</v>
      </c>
      <c r="AR9" s="311" t="s">
        <v>413</v>
      </c>
      <c r="AS9" s="311">
        <v>0</v>
      </c>
      <c r="AT9" s="311" t="s">
        <v>413</v>
      </c>
      <c r="AU9" s="311">
        <v>0</v>
      </c>
      <c r="AV9" s="307">
        <v>0</v>
      </c>
      <c r="AW9" s="312">
        <f t="shared" ref="AW9:AW20" si="12">AU9+AS9</f>
        <v>0</v>
      </c>
      <c r="AX9" s="306">
        <f>AW9/K9/I9</f>
        <v>0</v>
      </c>
      <c r="AY9" s="298">
        <v>0</v>
      </c>
      <c r="AZ9" s="306">
        <f>AX9*AY9</f>
        <v>0</v>
      </c>
      <c r="BA9" s="298">
        <v>0</v>
      </c>
      <c r="BB9" s="313">
        <f>BG9*(8*12+8)/(8*12)</f>
        <v>209.14105333333336</v>
      </c>
      <c r="BC9" s="309">
        <f t="shared" ref="BC9:BC41" si="13">BB9/Q9*1000</f>
        <v>0.60031348334301626</v>
      </c>
      <c r="BD9" s="327">
        <f>BC9/AI9</f>
        <v>5.8672865141811352E-2</v>
      </c>
      <c r="BE9" s="309">
        <f t="shared" ref="BE9:BE47" si="14">BB9/P9*1000</f>
        <v>1.6883816719022333</v>
      </c>
      <c r="BF9" s="307" t="s">
        <v>413</v>
      </c>
      <c r="BG9" s="311">
        <f>$J$3*28*1000</f>
        <v>193.05328</v>
      </c>
      <c r="BH9" s="311">
        <f>BG9</f>
        <v>193.05328</v>
      </c>
      <c r="BI9" s="298">
        <v>0.94430000000000003</v>
      </c>
      <c r="BJ9" s="351">
        <f t="shared" ref="BJ9:BJ72" si="15">IF(D9="Monotonic",0.814,1)</f>
        <v>0.81399999999999995</v>
      </c>
      <c r="BK9" s="298">
        <f t="shared" ref="BK9:BK72" si="16">IF(E9="Dynamic",0.9,1)</f>
        <v>1</v>
      </c>
      <c r="BL9" s="311">
        <f>BH9*BI9*BJ9*BK9</f>
        <v>148.39237281545601</v>
      </c>
      <c r="BM9" s="309">
        <f t="shared" ref="BM9:BM41" si="17">BL9/(K9*I9)*1000</f>
        <v>0.42594192200228265</v>
      </c>
      <c r="BN9" s="309">
        <f t="shared" ref="BN9:BN41" si="18">BL9/P9*1000</f>
        <v>1.1979616556314201</v>
      </c>
      <c r="BO9" s="376"/>
      <c r="BP9" s="328">
        <f>SQRT(AI9)/N9</f>
        <v>2.9526250127843907</v>
      </c>
      <c r="BQ9" s="328">
        <f t="shared" ref="BQ9:BQ72" si="19">AZ9</f>
        <v>0</v>
      </c>
      <c r="BR9" s="328">
        <f t="shared" ref="BR9:BR14" si="20">IF(AN9=0,0,AN9*SQRT(X9*(AP9/AN9)))</f>
        <v>0</v>
      </c>
      <c r="BS9" s="328">
        <f>IF(F9="Cantilever",0.6*R9*SQRT(AZ9*AI9),R9*SQRT(AZ9*AI9))</f>
        <v>0</v>
      </c>
      <c r="BT9" s="328">
        <f>BC9</f>
        <v>0.60031348334301626</v>
      </c>
      <c r="BU9" s="376"/>
      <c r="BV9" s="328">
        <f t="shared" ref="BV9:BV72" si="21">IF(R9&gt;0.5,0.5,R9)</f>
        <v>0.35555555555555551</v>
      </c>
      <c r="BW9" s="328">
        <f t="shared" ref="BW9:BW72" si="22">IF(N9*I9/L9&gt;1,1,IF(N9*I9/L9&lt;0.25,0.25,N9*I9/L9))</f>
        <v>1</v>
      </c>
      <c r="BX9" s="298">
        <f>0.16*(2-BW9)*SQRT(AI9)</f>
        <v>0.51178833554929448</v>
      </c>
      <c r="BY9" s="311">
        <f t="shared" ref="BY9:BY72" si="23">(BX9*K9*L9+0.25*BB9*1000)*BV9</f>
        <v>69306.787541526006</v>
      </c>
      <c r="BZ9" s="311">
        <f t="shared" ref="BZ9:BZ72" si="24">IF(BA9=0,0,0.6*1*AW9*AY9*L9/BA9)</f>
        <v>0</v>
      </c>
      <c r="CA9" s="311">
        <f>0.4*SQRT(AI9)*K9*L9*BV9</f>
        <v>126791.1792241854</v>
      </c>
      <c r="CB9" s="307">
        <f>IF((BY9+BZ9)&lt;CA9,(BY9+BZ9)/1000,CA9/1000)</f>
        <v>69.306787541526006</v>
      </c>
      <c r="CC9" s="309">
        <f>CB9/(K9*I9)*1000</f>
        <v>0.19893654729784518</v>
      </c>
      <c r="CD9" s="379">
        <f t="shared" ref="CD9:CD72" si="25">BL9/CB9</f>
        <v>2.1410943729940581</v>
      </c>
    </row>
    <row r="10" spans="1:82" x14ac:dyDescent="0.25">
      <c r="A10" s="305">
        <v>2</v>
      </c>
      <c r="B10" s="298" t="s">
        <v>672</v>
      </c>
      <c r="C10" s="298" t="s">
        <v>525</v>
      </c>
      <c r="D10" s="298" t="s">
        <v>597</v>
      </c>
      <c r="E10" s="298" t="s">
        <v>668</v>
      </c>
      <c r="F10" s="298" t="s">
        <v>484</v>
      </c>
      <c r="G10" s="311">
        <f t="shared" ref="G10:G20" si="26">(8*12+8)*$O$3</f>
        <v>2641.6</v>
      </c>
      <c r="H10" s="311">
        <f t="shared" si="0"/>
        <v>2641.6</v>
      </c>
      <c r="I10" s="311">
        <f t="shared" ref="I10:I20" si="27">8*12*$O$3</f>
        <v>2438.3999999999996</v>
      </c>
      <c r="J10" s="306">
        <f t="shared" si="1"/>
        <v>6441277.4399999985</v>
      </c>
      <c r="K10" s="311">
        <f t="shared" ref="K10:K20" si="28">(5+5/8)*$O$3</f>
        <v>142.875</v>
      </c>
      <c r="L10" s="327">
        <f t="shared" si="2"/>
        <v>1950.7199999999998</v>
      </c>
      <c r="M10" s="309">
        <f t="shared" si="3"/>
        <v>1.0833333333333335</v>
      </c>
      <c r="N10" s="309">
        <f t="shared" ref="N10:N73" si="29">O10</f>
        <v>1.0833333333333335</v>
      </c>
      <c r="O10" s="309">
        <f t="shared" si="4"/>
        <v>1.0833333333333335</v>
      </c>
      <c r="P10" s="306">
        <f>(2*390/2*K10)+(I10-2*390/2)*(25.4)*2</f>
        <v>159779.96999999997</v>
      </c>
      <c r="Q10" s="306">
        <f t="shared" si="5"/>
        <v>348386.39999999997</v>
      </c>
      <c r="R10" s="309">
        <f t="shared" si="6"/>
        <v>0.45862860892388446</v>
      </c>
      <c r="S10" s="312">
        <f>I10-200</f>
        <v>2238.3999999999996</v>
      </c>
      <c r="T10" s="312">
        <f>G10</f>
        <v>2641.6</v>
      </c>
      <c r="U10" s="310">
        <f>2920*$J$3</f>
        <v>20.132699199999998</v>
      </c>
      <c r="V10" s="310">
        <f>3180*$J$3</f>
        <v>21.9253368</v>
      </c>
      <c r="W10" s="387">
        <f t="shared" ref="W10:W73" si="30">IF(V10="-",0,V10)</f>
        <v>21.9253368</v>
      </c>
      <c r="X10" s="307">
        <f>5230*$J$3</f>
        <v>36.059594799999999</v>
      </c>
      <c r="Y10" s="387">
        <f t="shared" ref="Y10:Y73" si="31">IF(X10="-",0,X10)</f>
        <v>36.059594799999999</v>
      </c>
      <c r="Z10" s="418">
        <v>0.46</v>
      </c>
      <c r="AA10" s="366">
        <f t="shared" si="7"/>
        <v>13.604818609361216</v>
      </c>
      <c r="AB10" s="366">
        <v>12.4</v>
      </c>
      <c r="AC10" s="308" t="s">
        <v>413</v>
      </c>
      <c r="AD10" s="309" t="s">
        <v>413</v>
      </c>
      <c r="AE10" s="311" t="s">
        <v>413</v>
      </c>
      <c r="AF10" s="327">
        <v>1</v>
      </c>
      <c r="AG10" s="313">
        <f t="shared" si="8"/>
        <v>13.604818609361216</v>
      </c>
      <c r="AH10" s="313">
        <f t="shared" si="9"/>
        <v>12.4</v>
      </c>
      <c r="AI10" s="308">
        <f t="shared" si="10"/>
        <v>12.592699826792519</v>
      </c>
      <c r="AJ10" s="311" t="s">
        <v>711</v>
      </c>
      <c r="AK10" s="311" t="s">
        <v>413</v>
      </c>
      <c r="AL10" s="311">
        <f>(5/8*$O$3)^2*PI()/4</f>
        <v>197.93260902246004</v>
      </c>
      <c r="AM10" s="311">
        <f>2*(5/8*$O$3)^2*PI()/4</f>
        <v>395.86521804492008</v>
      </c>
      <c r="AN10" s="306">
        <f t="shared" si="11"/>
        <v>1.4203525813755939E-3</v>
      </c>
      <c r="AO10" s="298">
        <v>285</v>
      </c>
      <c r="AP10" s="306">
        <f>AN10*AO10</f>
        <v>0.40480048569204424</v>
      </c>
      <c r="AQ10" s="311">
        <f>I9-200</f>
        <v>2238.3999999999996</v>
      </c>
      <c r="AR10" s="311" t="s">
        <v>413</v>
      </c>
      <c r="AS10" s="311">
        <v>0</v>
      </c>
      <c r="AT10" s="311" t="s">
        <v>413</v>
      </c>
      <c r="AU10" s="311">
        <v>0</v>
      </c>
      <c r="AV10" s="307">
        <v>0</v>
      </c>
      <c r="AW10" s="312">
        <f t="shared" si="12"/>
        <v>0</v>
      </c>
      <c r="AX10" s="306">
        <f>AW10/K10/I10</f>
        <v>0</v>
      </c>
      <c r="AY10" s="298">
        <v>0</v>
      </c>
      <c r="AZ10" s="306">
        <f>AX10*AY10</f>
        <v>0</v>
      </c>
      <c r="BA10" s="298">
        <v>0</v>
      </c>
      <c r="BB10" s="313">
        <f t="shared" ref="BB10:BB20" si="32">BG10*(8*12+8)/(8*12)</f>
        <v>507.91398666666669</v>
      </c>
      <c r="BC10" s="309">
        <f t="shared" si="13"/>
        <v>1.4579041738330392</v>
      </c>
      <c r="BD10" s="327">
        <f t="shared" ref="BD10:BD73" si="33">BC10/AI10</f>
        <v>0.11577375732653998</v>
      </c>
      <c r="BE10" s="309">
        <f t="shared" si="14"/>
        <v>3.1788339093233446</v>
      </c>
      <c r="BF10" s="307" t="s">
        <v>413</v>
      </c>
      <c r="BG10" s="311">
        <f>$J$3*68*1000</f>
        <v>468.84368000000001</v>
      </c>
      <c r="BH10" s="311">
        <f t="shared" ref="BH10:BH20" si="34">BG10</f>
        <v>468.84368000000001</v>
      </c>
      <c r="BI10" s="373">
        <v>0.94430000000000003</v>
      </c>
      <c r="BJ10" s="351">
        <f t="shared" si="15"/>
        <v>0.81399999999999995</v>
      </c>
      <c r="BK10" s="360">
        <f t="shared" si="16"/>
        <v>1</v>
      </c>
      <c r="BL10" s="311">
        <f t="shared" ref="BL10:BL73" si="35">BH10*BI10*BJ10*BK10</f>
        <v>360.38147683753601</v>
      </c>
      <c r="BM10" s="309">
        <f t="shared" si="17"/>
        <v>1.0344303820055434</v>
      </c>
      <c r="BN10" s="309">
        <f t="shared" si="18"/>
        <v>2.2554859463143977</v>
      </c>
      <c r="BO10" s="376"/>
      <c r="BP10" s="328">
        <f t="shared" ref="BP10:BP73" si="36">SQRT(AI10)/N10</f>
        <v>3.2756487004298767</v>
      </c>
      <c r="BQ10" s="328">
        <f t="shared" si="19"/>
        <v>0</v>
      </c>
      <c r="BR10" s="328">
        <f t="shared" si="20"/>
        <v>0.14398890069705103</v>
      </c>
      <c r="BS10" s="328">
        <f t="shared" ref="BS10:BS73" si="37">IF(F10="Cantilever",0.6*R10*SQRT(AZ10*AI10),R10*SQRT(AZ10*AI10))</f>
        <v>0</v>
      </c>
      <c r="BT10" s="328">
        <f t="shared" ref="BT10:BT73" si="38">BC10</f>
        <v>1.4579041738330392</v>
      </c>
      <c r="BU10" s="376"/>
      <c r="BV10" s="328">
        <f t="shared" si="21"/>
        <v>0.45862860892388446</v>
      </c>
      <c r="BW10" s="328">
        <f t="shared" si="22"/>
        <v>1</v>
      </c>
      <c r="BX10" s="373">
        <f t="shared" ref="BX10:BX73" si="39">0.16*(2-BW10)*SQRT(AI10)</f>
        <v>0.56777910807451204</v>
      </c>
      <c r="BY10" s="311">
        <f t="shared" si="23"/>
        <v>130811.75437329726</v>
      </c>
      <c r="BZ10" s="311">
        <f t="shared" si="24"/>
        <v>0</v>
      </c>
      <c r="CA10" s="311">
        <f t="shared" ref="CA10:CA73" si="40">0.4*SQRT(AI10)*K10*L10*BV10</f>
        <v>181439.45770954457</v>
      </c>
      <c r="CB10" s="307">
        <f t="shared" ref="CB10:CB73" si="41">IF((BY10+BZ10)&lt;CA10,(BY10+BZ10)/1000,CA10/1000)</f>
        <v>130.81175437329725</v>
      </c>
      <c r="CC10" s="309">
        <f t="shared" ref="CC10:CC73" si="42">CB10/(K10*I10)*1000</f>
        <v>0.37547893480714878</v>
      </c>
      <c r="CD10" s="379">
        <f t="shared" si="25"/>
        <v>2.7549624922017029</v>
      </c>
    </row>
    <row r="11" spans="1:82" x14ac:dyDescent="0.25">
      <c r="A11" s="305">
        <v>3</v>
      </c>
      <c r="B11" s="298" t="s">
        <v>672</v>
      </c>
      <c r="C11" s="298" t="s">
        <v>526</v>
      </c>
      <c r="D11" s="298" t="s">
        <v>597</v>
      </c>
      <c r="E11" s="298" t="s">
        <v>668</v>
      </c>
      <c r="F11" s="298" t="s">
        <v>484</v>
      </c>
      <c r="G11" s="311">
        <f t="shared" si="26"/>
        <v>2641.6</v>
      </c>
      <c r="H11" s="311">
        <f t="shared" si="0"/>
        <v>2641.6</v>
      </c>
      <c r="I11" s="311">
        <f t="shared" si="27"/>
        <v>2438.3999999999996</v>
      </c>
      <c r="J11" s="306">
        <f t="shared" si="1"/>
        <v>6441277.4399999985</v>
      </c>
      <c r="K11" s="311">
        <f t="shared" si="28"/>
        <v>142.875</v>
      </c>
      <c r="L11" s="327">
        <f t="shared" si="2"/>
        <v>1950.7199999999998</v>
      </c>
      <c r="M11" s="309">
        <f t="shared" si="3"/>
        <v>1.0833333333333335</v>
      </c>
      <c r="N11" s="309">
        <f t="shared" si="29"/>
        <v>1.0833333333333335</v>
      </c>
      <c r="O11" s="309">
        <f t="shared" si="4"/>
        <v>1.0833333333333335</v>
      </c>
      <c r="P11" s="306">
        <f>(0*390/2*K11)+(I11-0*390/2)*(25.4)*2</f>
        <v>123870.71999999997</v>
      </c>
      <c r="Q11" s="306">
        <f t="shared" si="5"/>
        <v>348386.39999999997</v>
      </c>
      <c r="R11" s="309">
        <f t="shared" si="6"/>
        <v>0.35555555555555551</v>
      </c>
      <c r="S11" s="312">
        <f>I11</f>
        <v>2438.3999999999996</v>
      </c>
      <c r="T11" s="312">
        <f>G11/2</f>
        <v>1320.8</v>
      </c>
      <c r="U11" s="310">
        <f t="shared" ref="U11:U19" si="43">2090*$J$3</f>
        <v>14.410048399999999</v>
      </c>
      <c r="V11" s="310">
        <f t="shared" ref="V11:V19" si="44">2880*$J$3</f>
        <v>19.856908799999999</v>
      </c>
      <c r="W11" s="387">
        <f t="shared" si="30"/>
        <v>19.856908799999999</v>
      </c>
      <c r="X11" s="307">
        <f t="shared" ref="X11:X16" si="45">4570*$J$3</f>
        <v>31.5090532</v>
      </c>
      <c r="Y11" s="387">
        <f t="shared" si="31"/>
        <v>31.5090532</v>
      </c>
      <c r="Z11" s="418">
        <v>0.46</v>
      </c>
      <c r="AA11" s="366">
        <f t="shared" si="7"/>
        <v>11.972859906439023</v>
      </c>
      <c r="AB11" s="366">
        <v>9.9</v>
      </c>
      <c r="AC11" s="308" t="s">
        <v>413</v>
      </c>
      <c r="AD11" s="309" t="s">
        <v>413</v>
      </c>
      <c r="AE11" s="311" t="s">
        <v>413</v>
      </c>
      <c r="AF11" s="327">
        <v>1</v>
      </c>
      <c r="AG11" s="313">
        <f t="shared" si="8"/>
        <v>11.972859906439023</v>
      </c>
      <c r="AH11" s="313">
        <f t="shared" si="9"/>
        <v>9.9</v>
      </c>
      <c r="AI11" s="308">
        <f t="shared" si="10"/>
        <v>10.231535172043642</v>
      </c>
      <c r="AJ11" s="298" t="s">
        <v>413</v>
      </c>
      <c r="AK11" s="298" t="s">
        <v>413</v>
      </c>
      <c r="AL11" s="298">
        <v>0</v>
      </c>
      <c r="AM11" s="298">
        <v>0</v>
      </c>
      <c r="AN11" s="306">
        <f t="shared" si="11"/>
        <v>0</v>
      </c>
      <c r="AO11" s="298">
        <v>0</v>
      </c>
      <c r="AP11" s="306">
        <f>AN11*AO11</f>
        <v>0</v>
      </c>
      <c r="AQ11" s="311">
        <v>0</v>
      </c>
      <c r="AR11" s="311" t="s">
        <v>712</v>
      </c>
      <c r="AS11" s="311">
        <f>2*(5/8*$O$3)^2*PI()/4+2*(1/2*$O$3)^2*PI()/4</f>
        <v>649.21895759366896</v>
      </c>
      <c r="AT11" s="311" t="s">
        <v>413</v>
      </c>
      <c r="AU11" s="311">
        <v>0</v>
      </c>
      <c r="AV11" s="307">
        <f>(5/8*$O$3)^2*PI()/4+(1/2*$O$3)^2*PI()/4</f>
        <v>324.60947879683448</v>
      </c>
      <c r="AW11" s="312">
        <f t="shared" si="12"/>
        <v>649.21895759366896</v>
      </c>
      <c r="AX11" s="306">
        <f>AV11/BA11/K11</f>
        <v>1.720156233936719E-3</v>
      </c>
      <c r="AY11" s="298">
        <f>AZ11/AX11</f>
        <v>291.63414634146346</v>
      </c>
      <c r="AZ11" s="306">
        <f>(285*(5/8*$O$3)^2*PI()/4+302*(1/2*$O$3)^2*PI()/4)/BA11/K11</f>
        <v>0.50165629485808172</v>
      </c>
      <c r="BA11" s="307">
        <f>G11/2</f>
        <v>1320.8</v>
      </c>
      <c r="BB11" s="313">
        <f>BG11*(8*12+8)/(8*12)</f>
        <v>358.52752000000004</v>
      </c>
      <c r="BC11" s="309">
        <f t="shared" si="13"/>
        <v>1.0291088285880277</v>
      </c>
      <c r="BD11" s="327">
        <f t="shared" si="33"/>
        <v>0.10058205452881944</v>
      </c>
      <c r="BE11" s="309">
        <f t="shared" si="14"/>
        <v>2.8943685804038282</v>
      </c>
      <c r="BF11" s="307" t="s">
        <v>413</v>
      </c>
      <c r="BG11" s="311">
        <f>$J$3*48*1000</f>
        <v>330.94848000000002</v>
      </c>
      <c r="BH11" s="311">
        <f t="shared" si="34"/>
        <v>330.94848000000002</v>
      </c>
      <c r="BI11" s="373">
        <v>0.94430000000000003</v>
      </c>
      <c r="BJ11" s="351">
        <f t="shared" si="15"/>
        <v>0.81399999999999995</v>
      </c>
      <c r="BK11" s="360">
        <f t="shared" si="16"/>
        <v>1</v>
      </c>
      <c r="BL11" s="311">
        <f t="shared" si="35"/>
        <v>254.38692482649603</v>
      </c>
      <c r="BM11" s="309">
        <f t="shared" si="17"/>
        <v>0.73018615200391301</v>
      </c>
      <c r="BN11" s="309">
        <f t="shared" si="18"/>
        <v>2.0536485525110058</v>
      </c>
      <c r="BO11" s="376"/>
      <c r="BP11" s="328">
        <f t="shared" si="36"/>
        <v>2.9526250127843907</v>
      </c>
      <c r="BQ11" s="328">
        <f t="shared" si="19"/>
        <v>0.50165629485808172</v>
      </c>
      <c r="BR11" s="328">
        <f t="shared" si="20"/>
        <v>0</v>
      </c>
      <c r="BS11" s="328">
        <f t="shared" si="37"/>
        <v>0.48331720256854455</v>
      </c>
      <c r="BT11" s="328">
        <f t="shared" si="38"/>
        <v>1.0291088285880277</v>
      </c>
      <c r="BU11" s="376"/>
      <c r="BV11" s="328">
        <f t="shared" si="21"/>
        <v>0.35555555555555551</v>
      </c>
      <c r="BW11" s="328">
        <f t="shared" si="22"/>
        <v>1</v>
      </c>
      <c r="BX11" s="373">
        <f t="shared" si="39"/>
        <v>0.51178833554929448</v>
      </c>
      <c r="BY11" s="311">
        <f t="shared" si="23"/>
        <v>82585.584578563037</v>
      </c>
      <c r="BZ11" s="311">
        <f t="shared" si="24"/>
        <v>167779.42137882777</v>
      </c>
      <c r="CA11" s="311">
        <f t="shared" si="40"/>
        <v>126791.1792241854</v>
      </c>
      <c r="CB11" s="307">
        <f t="shared" si="41"/>
        <v>126.7911792241854</v>
      </c>
      <c r="CC11" s="309">
        <f t="shared" si="42"/>
        <v>0.36393837194616496</v>
      </c>
      <c r="CD11" s="379">
        <f t="shared" si="25"/>
        <v>2.0063456021392674</v>
      </c>
    </row>
    <row r="12" spans="1:82" x14ac:dyDescent="0.25">
      <c r="A12" s="305">
        <v>4</v>
      </c>
      <c r="B12" s="298" t="s">
        <v>672</v>
      </c>
      <c r="C12" s="298" t="s">
        <v>527</v>
      </c>
      <c r="D12" s="298" t="s">
        <v>597</v>
      </c>
      <c r="E12" s="298" t="s">
        <v>668</v>
      </c>
      <c r="F12" s="298" t="s">
        <v>484</v>
      </c>
      <c r="G12" s="311">
        <f t="shared" si="26"/>
        <v>2641.6</v>
      </c>
      <c r="H12" s="311">
        <f t="shared" si="0"/>
        <v>2641.6</v>
      </c>
      <c r="I12" s="311">
        <f t="shared" si="27"/>
        <v>2438.3999999999996</v>
      </c>
      <c r="J12" s="306">
        <f t="shared" si="1"/>
        <v>6441277.4399999985</v>
      </c>
      <c r="K12" s="311">
        <f t="shared" si="28"/>
        <v>142.875</v>
      </c>
      <c r="L12" s="327">
        <f t="shared" si="2"/>
        <v>1950.7199999999998</v>
      </c>
      <c r="M12" s="309">
        <f t="shared" si="3"/>
        <v>1.0833333333333335</v>
      </c>
      <c r="N12" s="309">
        <f t="shared" si="29"/>
        <v>1.0833333333333335</v>
      </c>
      <c r="O12" s="309">
        <f t="shared" si="4"/>
        <v>1.0833333333333335</v>
      </c>
      <c r="P12" s="306">
        <f>(2*390/2*K12)+(I12-2*390/2)*(25.4)*2</f>
        <v>159779.96999999997</v>
      </c>
      <c r="Q12" s="306">
        <f t="shared" si="5"/>
        <v>348386.39999999997</v>
      </c>
      <c r="R12" s="309">
        <f t="shared" si="6"/>
        <v>0.45862860892388446</v>
      </c>
      <c r="S12" s="312">
        <f>I12-200</f>
        <v>2238.3999999999996</v>
      </c>
      <c r="T12" s="312">
        <f>G11/2</f>
        <v>1320.8</v>
      </c>
      <c r="U12" s="310">
        <f>2920*$J$3</f>
        <v>20.132699199999998</v>
      </c>
      <c r="V12" s="310">
        <f>3180*$J$3</f>
        <v>21.9253368</v>
      </c>
      <c r="W12" s="387">
        <f t="shared" si="30"/>
        <v>21.9253368</v>
      </c>
      <c r="X12" s="307">
        <f t="shared" si="45"/>
        <v>31.5090532</v>
      </c>
      <c r="Y12" s="387">
        <f t="shared" si="31"/>
        <v>31.5090532</v>
      </c>
      <c r="Z12" s="418">
        <v>0.46</v>
      </c>
      <c r="AA12" s="366">
        <f t="shared" si="7"/>
        <v>13.251038292063562</v>
      </c>
      <c r="AB12" s="366">
        <v>9.9</v>
      </c>
      <c r="AC12" s="308" t="s">
        <v>413</v>
      </c>
      <c r="AD12" s="309" t="s">
        <v>413</v>
      </c>
      <c r="AE12" s="311" t="s">
        <v>413</v>
      </c>
      <c r="AF12" s="327">
        <v>1</v>
      </c>
      <c r="AG12" s="313">
        <f t="shared" si="8"/>
        <v>13.251038292063562</v>
      </c>
      <c r="AH12" s="313">
        <f t="shared" si="9"/>
        <v>9.9</v>
      </c>
      <c r="AI12" s="308">
        <f t="shared" si="10"/>
        <v>10.43596823076804</v>
      </c>
      <c r="AJ12" s="311" t="s">
        <v>711</v>
      </c>
      <c r="AK12" s="311" t="s">
        <v>413</v>
      </c>
      <c r="AL12" s="311">
        <f>(5/8*$O$3)^2*PI()/4</f>
        <v>197.93260902246004</v>
      </c>
      <c r="AM12" s="311">
        <f>2*(5/8*$O$3)^2*PI()/4</f>
        <v>395.86521804492008</v>
      </c>
      <c r="AN12" s="306">
        <f t="shared" si="11"/>
        <v>1.4203525813755939E-3</v>
      </c>
      <c r="AO12" s="298">
        <v>285</v>
      </c>
      <c r="AP12" s="306">
        <f>AN12*AO12</f>
        <v>0.40480048569204424</v>
      </c>
      <c r="AQ12" s="311">
        <f>I11-200</f>
        <v>2238.3999999999996</v>
      </c>
      <c r="AR12" s="311" t="s">
        <v>714</v>
      </c>
      <c r="AS12" s="311">
        <f>2*(1/2*$O$3)^2*PI()/4</f>
        <v>253.35373954874885</v>
      </c>
      <c r="AT12" s="311" t="s">
        <v>413</v>
      </c>
      <c r="AU12" s="311">
        <v>0</v>
      </c>
      <c r="AV12" s="307">
        <f>(1/2*$O$3)^2*PI()/4</f>
        <v>126.67686977437442</v>
      </c>
      <c r="AW12" s="312">
        <f t="shared" si="12"/>
        <v>253.35373954874885</v>
      </c>
      <c r="AX12" s="306">
        <f>AV12/BA12/K12</f>
        <v>6.7128048153628059E-4</v>
      </c>
      <c r="AY12" s="298">
        <v>302</v>
      </c>
      <c r="AZ12" s="306">
        <f>AX12*AW11</f>
        <v>0.43580801447596024</v>
      </c>
      <c r="BA12" s="307">
        <f>G12/2</f>
        <v>1320.8</v>
      </c>
      <c r="BB12" s="313">
        <f t="shared" si="32"/>
        <v>448.15939999999995</v>
      </c>
      <c r="BC12" s="309">
        <f t="shared" si="13"/>
        <v>1.2863860357350343</v>
      </c>
      <c r="BD12" s="327">
        <f t="shared" si="33"/>
        <v>0.12326465616696901</v>
      </c>
      <c r="BE12" s="309">
        <f t="shared" si="14"/>
        <v>2.8048534494029509</v>
      </c>
      <c r="BF12" s="307" t="s">
        <v>413</v>
      </c>
      <c r="BG12" s="311">
        <f>$J$3*60*1000</f>
        <v>413.68559999999997</v>
      </c>
      <c r="BH12" s="311">
        <f t="shared" si="34"/>
        <v>413.68559999999997</v>
      </c>
      <c r="BI12" s="373">
        <v>0.94430000000000003</v>
      </c>
      <c r="BJ12" s="351">
        <f t="shared" si="15"/>
        <v>0.81399999999999995</v>
      </c>
      <c r="BK12" s="360">
        <f t="shared" si="16"/>
        <v>1</v>
      </c>
      <c r="BL12" s="311">
        <f t="shared" si="35"/>
        <v>317.98365603311998</v>
      </c>
      <c r="BM12" s="309">
        <f t="shared" si="17"/>
        <v>0.91273269000489121</v>
      </c>
      <c r="BN12" s="309">
        <f t="shared" si="18"/>
        <v>1.9901346585127038</v>
      </c>
      <c r="BO12" s="376"/>
      <c r="BP12" s="328">
        <f t="shared" si="36"/>
        <v>2.9819768523766319</v>
      </c>
      <c r="BQ12" s="328">
        <f t="shared" si="19"/>
        <v>0.43580801447596024</v>
      </c>
      <c r="BR12" s="328">
        <f t="shared" si="20"/>
        <v>0.13459727630457416</v>
      </c>
      <c r="BS12" s="328">
        <f t="shared" si="37"/>
        <v>0.58684900569370058</v>
      </c>
      <c r="BT12" s="328">
        <f t="shared" si="38"/>
        <v>1.2863860357350343</v>
      </c>
      <c r="BU12" s="376"/>
      <c r="BV12" s="328">
        <f t="shared" si="21"/>
        <v>0.45862860892388446</v>
      </c>
      <c r="BW12" s="328">
        <f t="shared" si="22"/>
        <v>1</v>
      </c>
      <c r="BX12" s="373">
        <f t="shared" si="39"/>
        <v>0.51687598774528287</v>
      </c>
      <c r="BY12" s="311">
        <f t="shared" si="23"/>
        <v>117453.82440206999</v>
      </c>
      <c r="BZ12" s="311">
        <f t="shared" si="24"/>
        <v>67802.138003052227</v>
      </c>
      <c r="CA12" s="311">
        <f t="shared" si="40"/>
        <v>165172.85963132331</v>
      </c>
      <c r="CB12" s="307">
        <f t="shared" si="41"/>
        <v>165.17285963132332</v>
      </c>
      <c r="CC12" s="309">
        <f t="shared" si="42"/>
        <v>0.47410823049155576</v>
      </c>
      <c r="CD12" s="379">
        <f t="shared" si="25"/>
        <v>1.925156812946633</v>
      </c>
    </row>
    <row r="13" spans="1:82" x14ac:dyDescent="0.25">
      <c r="A13" s="305">
        <v>5</v>
      </c>
      <c r="B13" s="298" t="s">
        <v>672</v>
      </c>
      <c r="C13" s="298" t="s">
        <v>528</v>
      </c>
      <c r="D13" s="298" t="s">
        <v>597</v>
      </c>
      <c r="E13" s="298" t="s">
        <v>668</v>
      </c>
      <c r="F13" s="298" t="s">
        <v>484</v>
      </c>
      <c r="G13" s="311">
        <f t="shared" si="26"/>
        <v>2641.6</v>
      </c>
      <c r="H13" s="311">
        <f t="shared" si="0"/>
        <v>2641.6</v>
      </c>
      <c r="I13" s="311">
        <f t="shared" si="27"/>
        <v>2438.3999999999996</v>
      </c>
      <c r="J13" s="306">
        <f t="shared" si="1"/>
        <v>6441277.4399999985</v>
      </c>
      <c r="K13" s="311">
        <f t="shared" si="28"/>
        <v>142.875</v>
      </c>
      <c r="L13" s="327">
        <f t="shared" si="2"/>
        <v>1950.7199999999998</v>
      </c>
      <c r="M13" s="309">
        <f t="shared" si="3"/>
        <v>1.0833333333333335</v>
      </c>
      <c r="N13" s="309">
        <f t="shared" si="29"/>
        <v>1.0833333333333335</v>
      </c>
      <c r="O13" s="309">
        <f t="shared" si="4"/>
        <v>1.0833333333333335</v>
      </c>
      <c r="P13" s="306">
        <f>(3*390/2*K13)+(I13-3*390/2)*(25.4)*2</f>
        <v>177734.59499999997</v>
      </c>
      <c r="Q13" s="306">
        <f t="shared" si="5"/>
        <v>348386.39999999997</v>
      </c>
      <c r="R13" s="309">
        <f t="shared" si="6"/>
        <v>0.51016513560804899</v>
      </c>
      <c r="S13" s="312">
        <f>(I13-200)/2</f>
        <v>1119.1999999999998</v>
      </c>
      <c r="T13" s="312">
        <f>G13</f>
        <v>2641.6</v>
      </c>
      <c r="U13" s="310">
        <f t="shared" si="43"/>
        <v>14.410048399999999</v>
      </c>
      <c r="V13" s="310">
        <f t="shared" si="44"/>
        <v>19.856908799999999</v>
      </c>
      <c r="W13" s="387">
        <f t="shared" si="30"/>
        <v>19.856908799999999</v>
      </c>
      <c r="X13" s="307">
        <f t="shared" si="45"/>
        <v>31.5090532</v>
      </c>
      <c r="Y13" s="387">
        <f t="shared" si="31"/>
        <v>31.5090532</v>
      </c>
      <c r="Z13" s="418">
        <v>0.46</v>
      </c>
      <c r="AA13" s="366">
        <f t="shared" si="7"/>
        <v>11.972859906439023</v>
      </c>
      <c r="AB13" s="366">
        <v>9.9</v>
      </c>
      <c r="AC13" s="308" t="s">
        <v>413</v>
      </c>
      <c r="AD13" s="309" t="s">
        <v>413</v>
      </c>
      <c r="AE13" s="311" t="s">
        <v>413</v>
      </c>
      <c r="AF13" s="327">
        <v>1</v>
      </c>
      <c r="AG13" s="313">
        <f t="shared" si="8"/>
        <v>11.972859906439023</v>
      </c>
      <c r="AH13" s="313">
        <f t="shared" si="9"/>
        <v>9.9</v>
      </c>
      <c r="AI13" s="308">
        <f t="shared" si="10"/>
        <v>10.231535172043642</v>
      </c>
      <c r="AJ13" s="311" t="s">
        <v>711</v>
      </c>
      <c r="AK13" s="311" t="s">
        <v>713</v>
      </c>
      <c r="AL13" s="298" t="s">
        <v>588</v>
      </c>
      <c r="AM13" s="311">
        <f>2*(5/8*$O$3)^2*PI()/4+(1/2*$O$3)^2*PI()/4</f>
        <v>522.54208781929447</v>
      </c>
      <c r="AN13" s="306">
        <f t="shared" si="11"/>
        <v>1.8748654074157835E-3</v>
      </c>
      <c r="AO13" s="298">
        <f>AP13/AN13</f>
        <v>231.29696969696974</v>
      </c>
      <c r="AP13" s="306">
        <f>(285*2*(5/8*$O$3)^2*PI()/4+302*(1/2*$O$3)^2*PI()/4)/K13/I13</f>
        <v>0.43365068732494527</v>
      </c>
      <c r="AQ13" s="311">
        <f>(I12-200)/2</f>
        <v>1119.1999999999998</v>
      </c>
      <c r="AR13" s="311" t="s">
        <v>713</v>
      </c>
      <c r="AS13" s="311">
        <f>(1/2*$O$3)^2*PI()/4</f>
        <v>126.67686977437442</v>
      </c>
      <c r="AT13" s="311" t="s">
        <v>413</v>
      </c>
      <c r="AU13" s="311">
        <v>0</v>
      </c>
      <c r="AV13" s="307">
        <f>(1/2*$O$3)^2*PI()/4</f>
        <v>126.67686977437442</v>
      </c>
      <c r="AW13" s="312">
        <f t="shared" si="12"/>
        <v>126.67686977437442</v>
      </c>
      <c r="AX13" s="306">
        <f>AV13/BA13/K13</f>
        <v>3.3564024076814029E-4</v>
      </c>
      <c r="AY13" s="298">
        <v>302</v>
      </c>
      <c r="AZ13" s="306">
        <f t="shared" ref="AZ13:AZ20" si="46">AX13*AY13</f>
        <v>0.10136335271197837</v>
      </c>
      <c r="BA13" s="307">
        <f>G13</f>
        <v>2641.6</v>
      </c>
      <c r="BB13" s="313">
        <f t="shared" si="32"/>
        <v>418.28210666666672</v>
      </c>
      <c r="BC13" s="309">
        <f t="shared" si="13"/>
        <v>1.2006269666860325</v>
      </c>
      <c r="BD13" s="327">
        <f t="shared" si="33"/>
        <v>0.1173457302836227</v>
      </c>
      <c r="BE13" s="309">
        <f t="shared" si="14"/>
        <v>2.3534085002791203</v>
      </c>
      <c r="BF13" s="307" t="s">
        <v>413</v>
      </c>
      <c r="BG13" s="311">
        <f>$J$3*56*1000</f>
        <v>386.10656</v>
      </c>
      <c r="BH13" s="311">
        <f t="shared" si="34"/>
        <v>386.10656</v>
      </c>
      <c r="BI13" s="373">
        <v>0.94430000000000003</v>
      </c>
      <c r="BJ13" s="351">
        <f t="shared" si="15"/>
        <v>0.81399999999999995</v>
      </c>
      <c r="BK13" s="360">
        <f t="shared" si="16"/>
        <v>1</v>
      </c>
      <c r="BL13" s="311">
        <f t="shared" si="35"/>
        <v>296.78474563091203</v>
      </c>
      <c r="BM13" s="309">
        <f t="shared" si="17"/>
        <v>0.85188384400456529</v>
      </c>
      <c r="BN13" s="309">
        <f t="shared" si="18"/>
        <v>1.6698197986211525</v>
      </c>
      <c r="BO13" s="376"/>
      <c r="BP13" s="328">
        <f t="shared" si="36"/>
        <v>2.9526250127843907</v>
      </c>
      <c r="BQ13" s="328">
        <f t="shared" si="19"/>
        <v>0.10136335271197837</v>
      </c>
      <c r="BR13" s="328">
        <f t="shared" si="20"/>
        <v>0.16005628937809366</v>
      </c>
      <c r="BS13" s="328">
        <f t="shared" si="37"/>
        <v>0.31172591648677173</v>
      </c>
      <c r="BT13" s="328">
        <f t="shared" si="38"/>
        <v>1.2006269666860325</v>
      </c>
      <c r="BU13" s="376"/>
      <c r="BV13" s="328">
        <f t="shared" si="21"/>
        <v>0.5</v>
      </c>
      <c r="BW13" s="328">
        <f t="shared" si="22"/>
        <v>1</v>
      </c>
      <c r="BX13" s="373">
        <f t="shared" si="39"/>
        <v>0.51178833554929448</v>
      </c>
      <c r="BY13" s="311">
        <f t="shared" si="23"/>
        <v>123605.30164693762</v>
      </c>
      <c r="BZ13" s="311">
        <f t="shared" si="24"/>
        <v>16950.534500763057</v>
      </c>
      <c r="CA13" s="311">
        <f t="shared" si="40"/>
        <v>178300.09578401074</v>
      </c>
      <c r="CB13" s="307">
        <f t="shared" si="41"/>
        <v>140.55583614770066</v>
      </c>
      <c r="CC13" s="309">
        <f t="shared" si="42"/>
        <v>0.40344811435722139</v>
      </c>
      <c r="CD13" s="379">
        <f t="shared" si="25"/>
        <v>2.1115078090321409</v>
      </c>
    </row>
    <row r="14" spans="1:82" x14ac:dyDescent="0.25">
      <c r="A14" s="305">
        <v>6</v>
      </c>
      <c r="B14" s="298" t="s">
        <v>672</v>
      </c>
      <c r="C14" s="298" t="s">
        <v>529</v>
      </c>
      <c r="D14" s="298" t="s">
        <v>597</v>
      </c>
      <c r="E14" s="298" t="s">
        <v>668</v>
      </c>
      <c r="F14" s="298" t="s">
        <v>484</v>
      </c>
      <c r="G14" s="311">
        <f t="shared" si="26"/>
        <v>2641.6</v>
      </c>
      <c r="H14" s="311">
        <f t="shared" si="0"/>
        <v>2641.6</v>
      </c>
      <c r="I14" s="311">
        <f t="shared" si="27"/>
        <v>2438.3999999999996</v>
      </c>
      <c r="J14" s="306">
        <f t="shared" si="1"/>
        <v>6441277.4399999985</v>
      </c>
      <c r="K14" s="311">
        <f t="shared" si="28"/>
        <v>142.875</v>
      </c>
      <c r="L14" s="327">
        <f t="shared" si="2"/>
        <v>1950.7199999999998</v>
      </c>
      <c r="M14" s="309">
        <f t="shared" si="3"/>
        <v>1.0833333333333335</v>
      </c>
      <c r="N14" s="309">
        <f t="shared" si="29"/>
        <v>1.0833333333333335</v>
      </c>
      <c r="O14" s="309">
        <f t="shared" si="4"/>
        <v>1.0833333333333335</v>
      </c>
      <c r="P14" s="306">
        <f>(4*390/2*K14)+(I14-4*390/2)*(25.4)*2</f>
        <v>195689.21999999997</v>
      </c>
      <c r="Q14" s="306">
        <f t="shared" si="5"/>
        <v>348386.39999999997</v>
      </c>
      <c r="R14" s="309">
        <f t="shared" si="6"/>
        <v>0.56170166229221341</v>
      </c>
      <c r="S14" s="312">
        <f>(I14-200)/3</f>
        <v>746.13333333333321</v>
      </c>
      <c r="T14" s="312">
        <f>G14</f>
        <v>2641.6</v>
      </c>
      <c r="U14" s="310">
        <f>2920*$J$3</f>
        <v>20.132699199999998</v>
      </c>
      <c r="V14" s="310">
        <f>3180*$J$3</f>
        <v>21.9253368</v>
      </c>
      <c r="W14" s="387">
        <f t="shared" si="30"/>
        <v>21.9253368</v>
      </c>
      <c r="X14" s="307">
        <f t="shared" si="45"/>
        <v>31.5090532</v>
      </c>
      <c r="Y14" s="387">
        <f t="shared" si="31"/>
        <v>31.5090532</v>
      </c>
      <c r="Z14" s="418">
        <v>0.46</v>
      </c>
      <c r="AA14" s="366">
        <f t="shared" si="7"/>
        <v>13.251038292063562</v>
      </c>
      <c r="AB14" s="366">
        <v>9.9</v>
      </c>
      <c r="AC14" s="308" t="s">
        <v>413</v>
      </c>
      <c r="AD14" s="309" t="s">
        <v>413</v>
      </c>
      <c r="AE14" s="311" t="s">
        <v>413</v>
      </c>
      <c r="AF14" s="327">
        <v>1</v>
      </c>
      <c r="AG14" s="313">
        <f t="shared" si="8"/>
        <v>13.251038292063562</v>
      </c>
      <c r="AH14" s="313">
        <f t="shared" si="9"/>
        <v>9.9</v>
      </c>
      <c r="AI14" s="308">
        <f t="shared" si="10"/>
        <v>10.43596823076804</v>
      </c>
      <c r="AJ14" s="311" t="s">
        <v>711</v>
      </c>
      <c r="AK14" s="311" t="s">
        <v>714</v>
      </c>
      <c r="AL14" s="298" t="s">
        <v>588</v>
      </c>
      <c r="AM14" s="311">
        <f>2*(5/8*$O$3)^2*PI()/4+2*(1/2*$O$3)^2*PI()/4</f>
        <v>649.21895759366896</v>
      </c>
      <c r="AN14" s="306">
        <f t="shared" si="11"/>
        <v>2.3293782334559737E-3</v>
      </c>
      <c r="AO14" s="361">
        <f t="shared" ref="AO14:AO18" si="47">AP14/AN14</f>
        <v>233.30731707317076</v>
      </c>
      <c r="AP14" s="306">
        <f>(285*2*(5/8*$O$3)^2*PI()/4+302*2*(1/2*$O$3)^2*PI()/4)/K14/I14</f>
        <v>0.54346098609625526</v>
      </c>
      <c r="AQ14" s="311">
        <f>(I13-200)/3</f>
        <v>746.13333333333321</v>
      </c>
      <c r="AR14" s="311" t="s">
        <v>413</v>
      </c>
      <c r="AS14" s="311">
        <v>0</v>
      </c>
      <c r="AT14" s="311" t="s">
        <v>413</v>
      </c>
      <c r="AU14" s="311">
        <v>0</v>
      </c>
      <c r="AV14" s="307">
        <v>0</v>
      </c>
      <c r="AW14" s="312">
        <f t="shared" si="12"/>
        <v>0</v>
      </c>
      <c r="AX14" s="306">
        <f>AW14/K14/I14</f>
        <v>0</v>
      </c>
      <c r="AY14" s="298">
        <v>0</v>
      </c>
      <c r="AZ14" s="306">
        <f t="shared" si="46"/>
        <v>0</v>
      </c>
      <c r="BA14" s="311">
        <v>0</v>
      </c>
      <c r="BB14" s="313">
        <f t="shared" si="32"/>
        <v>448.15939999999995</v>
      </c>
      <c r="BC14" s="309">
        <f t="shared" si="13"/>
        <v>1.2863860357350343</v>
      </c>
      <c r="BD14" s="327">
        <f t="shared" si="33"/>
        <v>0.12326465616696901</v>
      </c>
      <c r="BE14" s="309">
        <f t="shared" si="14"/>
        <v>2.2901588549435683</v>
      </c>
      <c r="BF14" s="307" t="s">
        <v>413</v>
      </c>
      <c r="BG14" s="311">
        <f>$J$3*60*1000</f>
        <v>413.68559999999997</v>
      </c>
      <c r="BH14" s="311">
        <f t="shared" si="34"/>
        <v>413.68559999999997</v>
      </c>
      <c r="BI14" s="373">
        <v>0.94430000000000003</v>
      </c>
      <c r="BJ14" s="351">
        <f t="shared" si="15"/>
        <v>0.81399999999999995</v>
      </c>
      <c r="BK14" s="360">
        <f t="shared" si="16"/>
        <v>1</v>
      </c>
      <c r="BL14" s="311">
        <f t="shared" si="35"/>
        <v>317.98365603311998</v>
      </c>
      <c r="BM14" s="309">
        <f t="shared" si="17"/>
        <v>0.91273269000489121</v>
      </c>
      <c r="BN14" s="309">
        <f t="shared" si="18"/>
        <v>1.6249421201286409</v>
      </c>
      <c r="BO14" s="376"/>
      <c r="BP14" s="328">
        <f t="shared" si="36"/>
        <v>2.9819768523766319</v>
      </c>
      <c r="BQ14" s="328">
        <f t="shared" si="19"/>
        <v>0</v>
      </c>
      <c r="BR14" s="328">
        <f t="shared" si="20"/>
        <v>0.1997201435082874</v>
      </c>
      <c r="BS14" s="328">
        <f t="shared" si="37"/>
        <v>0</v>
      </c>
      <c r="BT14" s="328">
        <f t="shared" si="38"/>
        <v>1.2863860357350343</v>
      </c>
      <c r="BU14" s="376"/>
      <c r="BV14" s="328">
        <f t="shared" si="21"/>
        <v>0.5</v>
      </c>
      <c r="BW14" s="328">
        <f t="shared" si="22"/>
        <v>1</v>
      </c>
      <c r="BX14" s="373">
        <f t="shared" si="39"/>
        <v>0.51687598774528287</v>
      </c>
      <c r="BY14" s="311">
        <f t="shared" si="23"/>
        <v>128048.95084680928</v>
      </c>
      <c r="BZ14" s="311">
        <f t="shared" si="24"/>
        <v>0</v>
      </c>
      <c r="CA14" s="311">
        <f t="shared" si="40"/>
        <v>180072.56461702322</v>
      </c>
      <c r="CB14" s="307">
        <f t="shared" si="41"/>
        <v>128.04895084680928</v>
      </c>
      <c r="CC14" s="309">
        <f t="shared" si="42"/>
        <v>0.36754864956499245</v>
      </c>
      <c r="CD14" s="379">
        <f t="shared" si="25"/>
        <v>2.4832976289945408</v>
      </c>
    </row>
    <row r="15" spans="1:82" x14ac:dyDescent="0.25">
      <c r="A15" s="305">
        <v>7</v>
      </c>
      <c r="B15" s="298" t="s">
        <v>672</v>
      </c>
      <c r="C15" s="298" t="s">
        <v>530</v>
      </c>
      <c r="D15" s="298" t="s">
        <v>597</v>
      </c>
      <c r="E15" s="298" t="s">
        <v>668</v>
      </c>
      <c r="F15" s="298" t="s">
        <v>484</v>
      </c>
      <c r="G15" s="311">
        <f t="shared" si="26"/>
        <v>2641.6</v>
      </c>
      <c r="H15" s="311">
        <f t="shared" si="0"/>
        <v>2641.6</v>
      </c>
      <c r="I15" s="311">
        <f t="shared" si="27"/>
        <v>2438.3999999999996</v>
      </c>
      <c r="J15" s="306">
        <f t="shared" si="1"/>
        <v>6441277.4399999985</v>
      </c>
      <c r="K15" s="311">
        <f t="shared" si="28"/>
        <v>142.875</v>
      </c>
      <c r="L15" s="327">
        <f t="shared" si="2"/>
        <v>1950.7199999999998</v>
      </c>
      <c r="M15" s="309">
        <f t="shared" si="3"/>
        <v>1.0833333333333335</v>
      </c>
      <c r="N15" s="309">
        <f t="shared" si="29"/>
        <v>1.0833333333333335</v>
      </c>
      <c r="O15" s="309">
        <f t="shared" si="4"/>
        <v>1.0833333333333335</v>
      </c>
      <c r="P15" s="306">
        <f>(2*390/2*K15)+(I15-2*390/2)*(25.4)*2</f>
        <v>159779.96999999997</v>
      </c>
      <c r="Q15" s="306">
        <f t="shared" si="5"/>
        <v>348386.39999999997</v>
      </c>
      <c r="R15" s="309">
        <f t="shared" si="6"/>
        <v>0.45862860892388446</v>
      </c>
      <c r="S15" s="312">
        <f t="shared" ref="S15" si="48">I15-200</f>
        <v>2238.3999999999996</v>
      </c>
      <c r="T15" s="312">
        <f>G15</f>
        <v>2641.6</v>
      </c>
      <c r="U15" s="310">
        <f t="shared" si="43"/>
        <v>14.410048399999999</v>
      </c>
      <c r="V15" s="310">
        <f t="shared" si="44"/>
        <v>19.856908799999999</v>
      </c>
      <c r="W15" s="387">
        <f t="shared" si="30"/>
        <v>19.856908799999999</v>
      </c>
      <c r="X15" s="307">
        <f>5230*$J$3</f>
        <v>36.059594799999999</v>
      </c>
      <c r="Y15" s="387">
        <f t="shared" si="31"/>
        <v>36.059594799999999</v>
      </c>
      <c r="Z15" s="418">
        <v>0.46</v>
      </c>
      <c r="AA15" s="366">
        <f t="shared" si="7"/>
        <v>12.33108804531893</v>
      </c>
      <c r="AB15" s="366">
        <v>12.4</v>
      </c>
      <c r="AC15" s="308" t="s">
        <v>413</v>
      </c>
      <c r="AD15" s="309" t="s">
        <v>413</v>
      </c>
      <c r="AE15" s="311" t="s">
        <v>413</v>
      </c>
      <c r="AF15" s="327">
        <v>1</v>
      </c>
      <c r="AG15" s="313">
        <f t="shared" si="8"/>
        <v>12.33108804531893</v>
      </c>
      <c r="AH15" s="313">
        <f t="shared" si="9"/>
        <v>12.4</v>
      </c>
      <c r="AI15" s="308">
        <f t="shared" si="10"/>
        <v>12.388978156854652</v>
      </c>
      <c r="AJ15" s="311" t="s">
        <v>712</v>
      </c>
      <c r="AK15" s="311" t="s">
        <v>413</v>
      </c>
      <c r="AL15" s="298" t="s">
        <v>588</v>
      </c>
      <c r="AM15" s="311">
        <f>2*(5/8*$O$3)^2*PI()/4+2*(1/2*$O$3)^2*PI()/4</f>
        <v>649.21895759366896</v>
      </c>
      <c r="AN15" s="306">
        <f t="shared" si="11"/>
        <v>2.3293782334559737E-3</v>
      </c>
      <c r="AO15" s="361">
        <f t="shared" si="47"/>
        <v>235.74634146341464</v>
      </c>
      <c r="AP15" s="306">
        <f>(290*2*(5/8*$O$3)^2*PI()/4+302*2*(1/2*$O$3)^2*PI()/4)/K15/I15</f>
        <v>0.54914239642175755</v>
      </c>
      <c r="AQ15" s="311">
        <f>I14-200</f>
        <v>2238.3999999999996</v>
      </c>
      <c r="AR15" s="311" t="s">
        <v>413</v>
      </c>
      <c r="AS15" s="311">
        <v>0</v>
      </c>
      <c r="AT15" s="311" t="s">
        <v>413</v>
      </c>
      <c r="AU15" s="311">
        <v>0</v>
      </c>
      <c r="AV15" s="307">
        <v>0</v>
      </c>
      <c r="AW15" s="312">
        <f t="shared" si="12"/>
        <v>0</v>
      </c>
      <c r="AX15" s="306">
        <f>AW15/K15/I15</f>
        <v>0</v>
      </c>
      <c r="AY15" s="298">
        <v>0</v>
      </c>
      <c r="AZ15" s="306">
        <f t="shared" si="46"/>
        <v>0</v>
      </c>
      <c r="BA15" s="311">
        <v>0</v>
      </c>
      <c r="BB15" s="313">
        <f t="shared" si="32"/>
        <v>485.50601666666671</v>
      </c>
      <c r="BC15" s="309">
        <f t="shared" si="13"/>
        <v>1.3935848720462876</v>
      </c>
      <c r="BD15" s="327">
        <f t="shared" si="33"/>
        <v>0.11248586077094955</v>
      </c>
      <c r="BE15" s="309">
        <f t="shared" si="14"/>
        <v>3.0385912368531973</v>
      </c>
      <c r="BF15" s="307" t="s">
        <v>413</v>
      </c>
      <c r="BG15" s="311">
        <f>$J$3*65*1000</f>
        <v>448.15940000000001</v>
      </c>
      <c r="BH15" s="311">
        <f t="shared" si="34"/>
        <v>448.15940000000001</v>
      </c>
      <c r="BI15" s="373">
        <v>0.94430000000000003</v>
      </c>
      <c r="BJ15" s="351">
        <f t="shared" si="15"/>
        <v>0.81399999999999995</v>
      </c>
      <c r="BK15" s="360">
        <f t="shared" si="16"/>
        <v>1</v>
      </c>
      <c r="BL15" s="311">
        <f t="shared" si="35"/>
        <v>344.48229403587999</v>
      </c>
      <c r="BM15" s="309">
        <f t="shared" si="17"/>
        <v>0.98879374750529869</v>
      </c>
      <c r="BN15" s="309">
        <f t="shared" si="18"/>
        <v>2.1559792133887625</v>
      </c>
      <c r="BO15" s="376"/>
      <c r="BP15" s="328">
        <f t="shared" si="36"/>
        <v>3.2490443333997243</v>
      </c>
      <c r="BQ15" s="328">
        <f t="shared" si="19"/>
        <v>0</v>
      </c>
      <c r="BR15" s="328">
        <f t="shared" ref="BR15:BR78" si="49">IF(X15="-",G15*SQRT(0*(AP15/AN15)),IF(AN15=0,0,AN15*SQRT(X15*(AP15/AN15))))</f>
        <v>0.2147696527339992</v>
      </c>
      <c r="BS15" s="328">
        <f t="shared" si="37"/>
        <v>0</v>
      </c>
      <c r="BT15" s="328">
        <f t="shared" si="38"/>
        <v>1.3935848720462876</v>
      </c>
      <c r="BU15" s="376"/>
      <c r="BV15" s="328">
        <f t="shared" si="21"/>
        <v>0.45862860892388446</v>
      </c>
      <c r="BW15" s="328">
        <f t="shared" si="22"/>
        <v>1</v>
      </c>
      <c r="BX15" s="373">
        <f t="shared" si="39"/>
        <v>0.56316768445595233</v>
      </c>
      <c r="BY15" s="311">
        <f t="shared" si="23"/>
        <v>127653.06984387561</v>
      </c>
      <c r="BZ15" s="311">
        <f t="shared" si="24"/>
        <v>0</v>
      </c>
      <c r="CA15" s="311">
        <f t="shared" si="40"/>
        <v>179965.83145468301</v>
      </c>
      <c r="CB15" s="307">
        <f t="shared" si="41"/>
        <v>127.65306984387561</v>
      </c>
      <c r="CC15" s="309">
        <f t="shared" si="42"/>
        <v>0.36641232219132447</v>
      </c>
      <c r="CD15" s="379">
        <f t="shared" si="25"/>
        <v>2.6985821371722158</v>
      </c>
    </row>
    <row r="16" spans="1:82" x14ac:dyDescent="0.25">
      <c r="A16" s="305">
        <v>8</v>
      </c>
      <c r="B16" s="298" t="s">
        <v>672</v>
      </c>
      <c r="C16" s="298" t="s">
        <v>531</v>
      </c>
      <c r="D16" s="298" t="s">
        <v>597</v>
      </c>
      <c r="E16" s="298" t="s">
        <v>668</v>
      </c>
      <c r="F16" s="298" t="s">
        <v>484</v>
      </c>
      <c r="G16" s="311">
        <f t="shared" si="26"/>
        <v>2641.6</v>
      </c>
      <c r="H16" s="311">
        <f t="shared" si="0"/>
        <v>2641.6</v>
      </c>
      <c r="I16" s="311">
        <f t="shared" si="27"/>
        <v>2438.3999999999996</v>
      </c>
      <c r="J16" s="306">
        <f t="shared" si="1"/>
        <v>6441277.4399999985</v>
      </c>
      <c r="K16" s="311">
        <f t="shared" si="28"/>
        <v>142.875</v>
      </c>
      <c r="L16" s="327">
        <f t="shared" si="2"/>
        <v>1950.7199999999998</v>
      </c>
      <c r="M16" s="309">
        <f t="shared" si="3"/>
        <v>1.0833333333333335</v>
      </c>
      <c r="N16" s="309">
        <f t="shared" si="29"/>
        <v>1.0833333333333335</v>
      </c>
      <c r="O16" s="309">
        <f t="shared" si="4"/>
        <v>1.0833333333333335</v>
      </c>
      <c r="P16" s="306">
        <f>(5*390/2*K16)+(I16-5*390/2)*(25.4)*2</f>
        <v>213643.84499999997</v>
      </c>
      <c r="Q16" s="306">
        <f t="shared" si="5"/>
        <v>348386.39999999997</v>
      </c>
      <c r="R16" s="309">
        <f t="shared" si="6"/>
        <v>0.61323818897637794</v>
      </c>
      <c r="S16" s="312">
        <f>(I16-200)/4</f>
        <v>559.59999999999991</v>
      </c>
      <c r="T16" s="312">
        <f>G16</f>
        <v>2641.6</v>
      </c>
      <c r="U16" s="310">
        <f>2920*$J$3</f>
        <v>20.132699199999998</v>
      </c>
      <c r="V16" s="310">
        <f>3180*$J$3</f>
        <v>21.9253368</v>
      </c>
      <c r="W16" s="387">
        <f t="shared" si="30"/>
        <v>21.9253368</v>
      </c>
      <c r="X16" s="307">
        <f t="shared" si="45"/>
        <v>31.5090532</v>
      </c>
      <c r="Y16" s="387">
        <f t="shared" si="31"/>
        <v>31.5090532</v>
      </c>
      <c r="Z16" s="418">
        <v>0.46</v>
      </c>
      <c r="AA16" s="366">
        <f t="shared" si="7"/>
        <v>13.251038292063562</v>
      </c>
      <c r="AB16" s="366">
        <v>9.9</v>
      </c>
      <c r="AC16" s="308" t="s">
        <v>413</v>
      </c>
      <c r="AD16" s="309" t="s">
        <v>413</v>
      </c>
      <c r="AE16" s="311" t="s">
        <v>413</v>
      </c>
      <c r="AF16" s="327">
        <v>1</v>
      </c>
      <c r="AG16" s="313">
        <f t="shared" si="8"/>
        <v>13.251038292063562</v>
      </c>
      <c r="AH16" s="313">
        <f t="shared" si="9"/>
        <v>9.9</v>
      </c>
      <c r="AI16" s="308">
        <f t="shared" si="10"/>
        <v>10.43596823076804</v>
      </c>
      <c r="AJ16" s="311" t="s">
        <v>711</v>
      </c>
      <c r="AK16" s="311" t="s">
        <v>715</v>
      </c>
      <c r="AL16" s="298" t="s">
        <v>588</v>
      </c>
      <c r="AM16" s="311">
        <f>2*(5/8*$O$3)^2*PI()/4+3*(1/2*$O$3)^2*PI()/4</f>
        <v>775.89582736804346</v>
      </c>
      <c r="AN16" s="306">
        <f t="shared" si="11"/>
        <v>2.7838910594961642E-3</v>
      </c>
      <c r="AO16" s="361">
        <f t="shared" si="47"/>
        <v>234.6612244897959</v>
      </c>
      <c r="AP16" s="306">
        <f>(285*2*(5/8*$O$3)^2*PI()/4+302*3*(1/2*$O$3)^2*PI()/4)/K16/I16</f>
        <v>0.65327128486756514</v>
      </c>
      <c r="AQ16" s="311">
        <f>(I15-200)/4</f>
        <v>559.59999999999991</v>
      </c>
      <c r="AR16" s="311" t="s">
        <v>413</v>
      </c>
      <c r="AS16" s="311">
        <v>0</v>
      </c>
      <c r="AT16" s="311" t="s">
        <v>413</v>
      </c>
      <c r="AU16" s="311">
        <v>0</v>
      </c>
      <c r="AV16" s="307">
        <v>0</v>
      </c>
      <c r="AW16" s="312">
        <f t="shared" si="12"/>
        <v>0</v>
      </c>
      <c r="AX16" s="306">
        <f>AW16/K16/I16</f>
        <v>0</v>
      </c>
      <c r="AY16" s="298">
        <v>0</v>
      </c>
      <c r="AZ16" s="306">
        <f t="shared" si="46"/>
        <v>0</v>
      </c>
      <c r="BA16" s="311">
        <v>0</v>
      </c>
      <c r="BB16" s="313">
        <f t="shared" si="32"/>
        <v>522.8526333333333</v>
      </c>
      <c r="BC16" s="309">
        <f t="shared" si="13"/>
        <v>1.5007837083575402</v>
      </c>
      <c r="BD16" s="327">
        <f t="shared" si="33"/>
        <v>0.14380876552813052</v>
      </c>
      <c r="BE16" s="309">
        <f t="shared" si="14"/>
        <v>2.4473096022650846</v>
      </c>
      <c r="BF16" s="307" t="s">
        <v>413</v>
      </c>
      <c r="BG16" s="311">
        <f>$J$3*70*1000</f>
        <v>482.63319999999999</v>
      </c>
      <c r="BH16" s="311">
        <f t="shared" si="34"/>
        <v>482.63319999999999</v>
      </c>
      <c r="BI16" s="373">
        <v>0.94430000000000003</v>
      </c>
      <c r="BJ16" s="351">
        <f t="shared" si="15"/>
        <v>0.81399999999999995</v>
      </c>
      <c r="BK16" s="360">
        <f t="shared" si="16"/>
        <v>1</v>
      </c>
      <c r="BL16" s="311">
        <f t="shared" si="35"/>
        <v>370.98093203863999</v>
      </c>
      <c r="BM16" s="309">
        <f t="shared" si="17"/>
        <v>1.0648548050057065</v>
      </c>
      <c r="BN16" s="309">
        <f t="shared" si="18"/>
        <v>1.7364456815436926</v>
      </c>
      <c r="BO16" s="376"/>
      <c r="BP16" s="328">
        <f t="shared" si="36"/>
        <v>2.9819768523766319</v>
      </c>
      <c r="BQ16" s="328">
        <f t="shared" si="19"/>
        <v>0</v>
      </c>
      <c r="BR16" s="328">
        <f t="shared" si="49"/>
        <v>0.23938149738722173</v>
      </c>
      <c r="BS16" s="328">
        <f t="shared" si="37"/>
        <v>0</v>
      </c>
      <c r="BT16" s="328">
        <f t="shared" si="38"/>
        <v>1.5007837083575402</v>
      </c>
      <c r="BU16" s="376"/>
      <c r="BV16" s="328">
        <f t="shared" si="21"/>
        <v>0.5</v>
      </c>
      <c r="BW16" s="328">
        <f t="shared" si="22"/>
        <v>1</v>
      </c>
      <c r="BX16" s="373">
        <f t="shared" si="39"/>
        <v>0.51687598774528287</v>
      </c>
      <c r="BY16" s="311">
        <f t="shared" si="23"/>
        <v>137385.60501347593</v>
      </c>
      <c r="BZ16" s="311">
        <f t="shared" si="24"/>
        <v>0</v>
      </c>
      <c r="CA16" s="311">
        <f t="shared" si="40"/>
        <v>180072.56461702322</v>
      </c>
      <c r="CB16" s="307">
        <f t="shared" si="41"/>
        <v>137.38560501347592</v>
      </c>
      <c r="CC16" s="309">
        <f t="shared" si="42"/>
        <v>0.39434835864280565</v>
      </c>
      <c r="CD16" s="379">
        <f t="shared" si="25"/>
        <v>2.7002896846598383</v>
      </c>
    </row>
    <row r="17" spans="1:82" x14ac:dyDescent="0.25">
      <c r="A17" s="305">
        <v>9</v>
      </c>
      <c r="B17" s="298" t="s">
        <v>672</v>
      </c>
      <c r="C17" s="298" t="s">
        <v>474</v>
      </c>
      <c r="D17" s="298" t="s">
        <v>597</v>
      </c>
      <c r="E17" s="298" t="s">
        <v>668</v>
      </c>
      <c r="F17" s="298" t="s">
        <v>484</v>
      </c>
      <c r="G17" s="311">
        <f t="shared" si="26"/>
        <v>2641.6</v>
      </c>
      <c r="H17" s="311">
        <f t="shared" si="0"/>
        <v>2641.6</v>
      </c>
      <c r="I17" s="311">
        <f t="shared" si="27"/>
        <v>2438.3999999999996</v>
      </c>
      <c r="J17" s="306">
        <f t="shared" si="1"/>
        <v>6441277.4399999985</v>
      </c>
      <c r="K17" s="311">
        <f t="shared" si="28"/>
        <v>142.875</v>
      </c>
      <c r="L17" s="327">
        <f t="shared" si="2"/>
        <v>1950.7199999999998</v>
      </c>
      <c r="M17" s="309">
        <f t="shared" si="3"/>
        <v>1.0833333333333335</v>
      </c>
      <c r="N17" s="309">
        <f t="shared" si="29"/>
        <v>1.0833333333333335</v>
      </c>
      <c r="O17" s="309">
        <f t="shared" si="4"/>
        <v>1.0833333333333335</v>
      </c>
      <c r="P17" s="306">
        <f>(5*390/2*K17)+(I17-5*390/2)*(25.4)*2</f>
        <v>213643.84499999997</v>
      </c>
      <c r="Q17" s="306">
        <f t="shared" si="5"/>
        <v>348386.39999999997</v>
      </c>
      <c r="R17" s="309">
        <f t="shared" si="6"/>
        <v>0.61323818897637794</v>
      </c>
      <c r="S17" s="312">
        <f t="shared" ref="S17:S20" si="50">(I17-200)/4</f>
        <v>559.59999999999991</v>
      </c>
      <c r="T17" s="312">
        <f>G17/2</f>
        <v>1320.8</v>
      </c>
      <c r="U17" s="310">
        <f t="shared" si="43"/>
        <v>14.410048399999999</v>
      </c>
      <c r="V17" s="310">
        <f t="shared" si="44"/>
        <v>19.856908799999999</v>
      </c>
      <c r="W17" s="387">
        <f t="shared" si="30"/>
        <v>19.856908799999999</v>
      </c>
      <c r="X17" s="307">
        <f>5230*$J$3</f>
        <v>36.059594799999999</v>
      </c>
      <c r="Y17" s="387">
        <f t="shared" si="31"/>
        <v>36.059594799999999</v>
      </c>
      <c r="Z17" s="418">
        <v>0.46</v>
      </c>
      <c r="AA17" s="366">
        <f t="shared" si="7"/>
        <v>12.33108804531893</v>
      </c>
      <c r="AB17" s="366">
        <v>12.4</v>
      </c>
      <c r="AC17" s="308" t="s">
        <v>413</v>
      </c>
      <c r="AD17" s="309" t="s">
        <v>413</v>
      </c>
      <c r="AE17" s="311" t="s">
        <v>413</v>
      </c>
      <c r="AF17" s="327">
        <v>1</v>
      </c>
      <c r="AG17" s="313">
        <f t="shared" si="8"/>
        <v>12.33108804531893</v>
      </c>
      <c r="AH17" s="313">
        <f t="shared" si="9"/>
        <v>12.4</v>
      </c>
      <c r="AI17" s="308">
        <f t="shared" si="10"/>
        <v>12.388978156854652</v>
      </c>
      <c r="AJ17" s="311" t="s">
        <v>711</v>
      </c>
      <c r="AK17" s="311" t="s">
        <v>715</v>
      </c>
      <c r="AL17" s="298" t="s">
        <v>588</v>
      </c>
      <c r="AM17" s="311">
        <f>2*(5/8*$O$3)^2*PI()/4+3*(1/2*$O$3)^2*PI()/4</f>
        <v>775.89582736804346</v>
      </c>
      <c r="AN17" s="306">
        <f t="shared" si="11"/>
        <v>2.7838910594961642E-3</v>
      </c>
      <c r="AO17" s="361">
        <f t="shared" si="47"/>
        <v>236.70204081632653</v>
      </c>
      <c r="AP17" s="306">
        <f>(290*2*(5/8*$O$3)^2*PI()/4+302*3*(1/2*$O$3)^2*PI()/4)/K17/I17</f>
        <v>0.65895269519306754</v>
      </c>
      <c r="AQ17" s="311">
        <f>(I16-200)/4</f>
        <v>559.59999999999991</v>
      </c>
      <c r="AR17" s="311" t="s">
        <v>714</v>
      </c>
      <c r="AS17" s="311">
        <f>2*(1/2*$O$3)^2*PI()/4</f>
        <v>253.35373954874885</v>
      </c>
      <c r="AT17" s="311" t="s">
        <v>413</v>
      </c>
      <c r="AU17" s="311">
        <v>0</v>
      </c>
      <c r="AV17" s="307">
        <f>(1/2*$O$3)^2*PI()/4</f>
        <v>126.67686977437442</v>
      </c>
      <c r="AW17" s="312">
        <f t="shared" si="12"/>
        <v>253.35373954874885</v>
      </c>
      <c r="AX17" s="306">
        <f t="shared" ref="AX17:AX25" si="51">AV17/BA17/K17</f>
        <v>6.7128048153628059E-4</v>
      </c>
      <c r="AY17" s="298">
        <v>302</v>
      </c>
      <c r="AZ17" s="306">
        <f t="shared" si="46"/>
        <v>0.20272670542395674</v>
      </c>
      <c r="BA17" s="307">
        <f>G17/2</f>
        <v>1320.8</v>
      </c>
      <c r="BB17" s="313">
        <f t="shared" si="32"/>
        <v>776.80962666666665</v>
      </c>
      <c r="BC17" s="309">
        <f t="shared" si="13"/>
        <v>2.2297357952740597</v>
      </c>
      <c r="BD17" s="327">
        <f t="shared" si="33"/>
        <v>0.17997737723351925</v>
      </c>
      <c r="BE17" s="309">
        <f t="shared" si="14"/>
        <v>3.6360028376509832</v>
      </c>
      <c r="BF17" s="307" t="s">
        <v>413</v>
      </c>
      <c r="BG17" s="311">
        <f>$J$3*104*1000</f>
        <v>717.05503999999996</v>
      </c>
      <c r="BH17" s="311">
        <f t="shared" si="34"/>
        <v>717.05503999999996</v>
      </c>
      <c r="BI17" s="373">
        <v>0.94430000000000003</v>
      </c>
      <c r="BJ17" s="351">
        <f t="shared" si="15"/>
        <v>0.81399999999999995</v>
      </c>
      <c r="BK17" s="360">
        <f t="shared" si="16"/>
        <v>1</v>
      </c>
      <c r="BL17" s="311">
        <f t="shared" si="35"/>
        <v>551.17167045740803</v>
      </c>
      <c r="BM17" s="309">
        <f t="shared" si="17"/>
        <v>1.5820699960084781</v>
      </c>
      <c r="BN17" s="309">
        <f t="shared" si="18"/>
        <v>2.5798621554363437</v>
      </c>
      <c r="BO17" s="376"/>
      <c r="BP17" s="328">
        <f t="shared" si="36"/>
        <v>3.2490443333997243</v>
      </c>
      <c r="BQ17" s="328">
        <f t="shared" si="19"/>
        <v>0.20272670542395674</v>
      </c>
      <c r="BR17" s="328">
        <f t="shared" si="49"/>
        <v>0.25719567343733968</v>
      </c>
      <c r="BS17" s="328">
        <f t="shared" si="37"/>
        <v>0.58311426741099204</v>
      </c>
      <c r="BT17" s="328">
        <f t="shared" si="38"/>
        <v>2.2297357952740597</v>
      </c>
      <c r="BU17" s="376"/>
      <c r="BV17" s="328">
        <f t="shared" si="21"/>
        <v>0.5</v>
      </c>
      <c r="BW17" s="328">
        <f t="shared" si="22"/>
        <v>1</v>
      </c>
      <c r="BX17" s="373">
        <f t="shared" si="39"/>
        <v>0.56316768445595233</v>
      </c>
      <c r="BY17" s="311">
        <f t="shared" si="23"/>
        <v>175581.18820691138</v>
      </c>
      <c r="BZ17" s="311">
        <f t="shared" si="24"/>
        <v>67802.138003052227</v>
      </c>
      <c r="CA17" s="311">
        <f t="shared" si="40"/>
        <v>196199.96218394517</v>
      </c>
      <c r="CB17" s="307">
        <f t="shared" si="41"/>
        <v>196.19996218394516</v>
      </c>
      <c r="CC17" s="309">
        <f t="shared" si="42"/>
        <v>0.56316768445595222</v>
      </c>
      <c r="CD17" s="379">
        <f t="shared" si="25"/>
        <v>2.8092343358387755</v>
      </c>
    </row>
    <row r="18" spans="1:82" x14ac:dyDescent="0.25">
      <c r="A18" s="305">
        <v>10</v>
      </c>
      <c r="B18" s="298" t="s">
        <v>672</v>
      </c>
      <c r="C18" s="298" t="s">
        <v>532</v>
      </c>
      <c r="D18" s="298" t="s">
        <v>597</v>
      </c>
      <c r="E18" s="298" t="s">
        <v>668</v>
      </c>
      <c r="F18" s="298" t="s">
        <v>484</v>
      </c>
      <c r="G18" s="311">
        <f t="shared" si="26"/>
        <v>2641.6</v>
      </c>
      <c r="H18" s="311">
        <f t="shared" si="0"/>
        <v>2641.6</v>
      </c>
      <c r="I18" s="311">
        <f t="shared" si="27"/>
        <v>2438.3999999999996</v>
      </c>
      <c r="J18" s="306">
        <f t="shared" si="1"/>
        <v>6441277.4399999985</v>
      </c>
      <c r="K18" s="311">
        <f t="shared" si="28"/>
        <v>142.875</v>
      </c>
      <c r="L18" s="327">
        <f t="shared" si="2"/>
        <v>1950.7199999999998</v>
      </c>
      <c r="M18" s="309">
        <f t="shared" si="3"/>
        <v>1.0833333333333335</v>
      </c>
      <c r="N18" s="309">
        <f t="shared" si="29"/>
        <v>1.0833333333333335</v>
      </c>
      <c r="O18" s="309">
        <f t="shared" si="4"/>
        <v>1.0833333333333335</v>
      </c>
      <c r="P18" s="306">
        <f>(5*390/2*K18)+(I18-5*390/2)*(25.4)*2</f>
        <v>213643.84499999997</v>
      </c>
      <c r="Q18" s="306">
        <f t="shared" si="5"/>
        <v>348386.39999999997</v>
      </c>
      <c r="R18" s="309">
        <f t="shared" si="6"/>
        <v>0.61323818897637794</v>
      </c>
      <c r="S18" s="312">
        <f t="shared" si="50"/>
        <v>559.59999999999991</v>
      </c>
      <c r="T18" s="312">
        <f>G18/4</f>
        <v>660.4</v>
      </c>
      <c r="U18" s="310">
        <f>2920*$J$3</f>
        <v>20.132699199999998</v>
      </c>
      <c r="V18" s="310">
        <f>3180*$J$3</f>
        <v>21.9253368</v>
      </c>
      <c r="W18" s="387">
        <f t="shared" si="30"/>
        <v>21.9253368</v>
      </c>
      <c r="X18" s="307">
        <f>5230*$J$3</f>
        <v>36.059594799999999</v>
      </c>
      <c r="Y18" s="387">
        <f t="shared" si="31"/>
        <v>36.059594799999999</v>
      </c>
      <c r="Z18" s="418">
        <v>0.46</v>
      </c>
      <c r="AA18" s="366">
        <f t="shared" si="7"/>
        <v>13.604818609361216</v>
      </c>
      <c r="AB18" s="366">
        <v>12.4</v>
      </c>
      <c r="AC18" s="308" t="s">
        <v>413</v>
      </c>
      <c r="AD18" s="309" t="s">
        <v>413</v>
      </c>
      <c r="AE18" s="311" t="s">
        <v>413</v>
      </c>
      <c r="AF18" s="327">
        <v>1</v>
      </c>
      <c r="AG18" s="313">
        <f t="shared" si="8"/>
        <v>13.604818609361216</v>
      </c>
      <c r="AH18" s="313">
        <f t="shared" si="9"/>
        <v>12.4</v>
      </c>
      <c r="AI18" s="308">
        <f t="shared" si="10"/>
        <v>12.592699826792519</v>
      </c>
      <c r="AJ18" s="311" t="s">
        <v>711</v>
      </c>
      <c r="AK18" s="311" t="s">
        <v>715</v>
      </c>
      <c r="AL18" s="298" t="s">
        <v>588</v>
      </c>
      <c r="AM18" s="311">
        <f>2*(5/8*$O$3)^2*PI()/4+3*(1/2*$O$3)^2*PI()/4</f>
        <v>775.89582736804346</v>
      </c>
      <c r="AN18" s="306">
        <f t="shared" si="11"/>
        <v>2.7838910594961642E-3</v>
      </c>
      <c r="AO18" s="361">
        <f t="shared" si="47"/>
        <v>236.70204081632653</v>
      </c>
      <c r="AP18" s="306">
        <f>(290*2*(5/8*$O$3)^2*PI()/4+302*3*(1/2*$O$3)^2*PI()/4)/K18/I18</f>
        <v>0.65895269519306754</v>
      </c>
      <c r="AQ18" s="311">
        <f>(I17-200)/4</f>
        <v>559.59999999999991</v>
      </c>
      <c r="AR18" s="311" t="s">
        <v>717</v>
      </c>
      <c r="AS18" s="311">
        <f>4*(1/2*$O$3)^2*PI()/4</f>
        <v>506.7074790974977</v>
      </c>
      <c r="AT18" s="311" t="s">
        <v>413</v>
      </c>
      <c r="AU18" s="311">
        <v>0</v>
      </c>
      <c r="AV18" s="307">
        <f>(1/2*$O$3)^2*PI()/4</f>
        <v>126.67686977437442</v>
      </c>
      <c r="AW18" s="312">
        <f t="shared" si="12"/>
        <v>506.7074790974977</v>
      </c>
      <c r="AX18" s="306">
        <f t="shared" si="51"/>
        <v>1.3425609630725612E-3</v>
      </c>
      <c r="AY18" s="298">
        <v>302</v>
      </c>
      <c r="AZ18" s="306">
        <f t="shared" si="46"/>
        <v>0.40545341084791348</v>
      </c>
      <c r="BA18" s="307">
        <f>G18/4</f>
        <v>660.4</v>
      </c>
      <c r="BB18" s="313">
        <f t="shared" si="32"/>
        <v>836.56421333333344</v>
      </c>
      <c r="BC18" s="309">
        <f t="shared" si="13"/>
        <v>2.4012539333720651</v>
      </c>
      <c r="BD18" s="327">
        <f t="shared" si="33"/>
        <v>0.19068618853783062</v>
      </c>
      <c r="BE18" s="309">
        <f t="shared" si="14"/>
        <v>3.9156953636241365</v>
      </c>
      <c r="BF18" s="307" t="s">
        <v>413</v>
      </c>
      <c r="BG18" s="311">
        <f>$J$3*112*1000</f>
        <v>772.21312</v>
      </c>
      <c r="BH18" s="311">
        <f t="shared" si="34"/>
        <v>772.21312</v>
      </c>
      <c r="BI18" s="373">
        <v>0.94430000000000003</v>
      </c>
      <c r="BJ18" s="351">
        <f t="shared" si="15"/>
        <v>0.81399999999999995</v>
      </c>
      <c r="BK18" s="360">
        <f t="shared" si="16"/>
        <v>1</v>
      </c>
      <c r="BL18" s="311">
        <f t="shared" si="35"/>
        <v>593.56949126182406</v>
      </c>
      <c r="BM18" s="309">
        <f t="shared" si="17"/>
        <v>1.7037676880091306</v>
      </c>
      <c r="BN18" s="309">
        <f t="shared" si="18"/>
        <v>2.7783130904699087</v>
      </c>
      <c r="BO18" s="376"/>
      <c r="BP18" s="328">
        <f t="shared" si="36"/>
        <v>3.2756487004298767</v>
      </c>
      <c r="BQ18" s="328">
        <f t="shared" si="19"/>
        <v>0.40545341084791348</v>
      </c>
      <c r="BR18" s="328">
        <f t="shared" si="49"/>
        <v>0.25719567343733968</v>
      </c>
      <c r="BS18" s="328">
        <f t="shared" si="37"/>
        <v>0.83140062662446768</v>
      </c>
      <c r="BT18" s="328">
        <f t="shared" si="38"/>
        <v>2.4012539333720651</v>
      </c>
      <c r="BU18" s="376"/>
      <c r="BV18" s="328">
        <f t="shared" si="21"/>
        <v>0.5</v>
      </c>
      <c r="BW18" s="328">
        <f t="shared" si="22"/>
        <v>1</v>
      </c>
      <c r="BX18" s="373">
        <f t="shared" si="39"/>
        <v>0.56777910807451204</v>
      </c>
      <c r="BY18" s="311">
        <f t="shared" si="23"/>
        <v>183693.13444958275</v>
      </c>
      <c r="BZ18" s="311">
        <f t="shared" si="24"/>
        <v>271208.55201220891</v>
      </c>
      <c r="CA18" s="311">
        <f t="shared" si="40"/>
        <v>197806.51945729018</v>
      </c>
      <c r="CB18" s="307">
        <f t="shared" si="41"/>
        <v>197.80651945729019</v>
      </c>
      <c r="CC18" s="309">
        <f t="shared" si="42"/>
        <v>0.56777910807451215</v>
      </c>
      <c r="CD18" s="379">
        <f t="shared" si="25"/>
        <v>3.0007579774941942</v>
      </c>
    </row>
    <row r="19" spans="1:82" x14ac:dyDescent="0.25">
      <c r="A19" s="305">
        <v>11</v>
      </c>
      <c r="B19" s="298" t="s">
        <v>672</v>
      </c>
      <c r="C19" s="298" t="s">
        <v>475</v>
      </c>
      <c r="D19" s="298" t="s">
        <v>597</v>
      </c>
      <c r="E19" s="298" t="s">
        <v>668</v>
      </c>
      <c r="F19" s="298" t="s">
        <v>484</v>
      </c>
      <c r="G19" s="311">
        <f t="shared" si="26"/>
        <v>2641.6</v>
      </c>
      <c r="H19" s="311">
        <f t="shared" si="0"/>
        <v>2641.6</v>
      </c>
      <c r="I19" s="311">
        <f t="shared" si="27"/>
        <v>2438.3999999999996</v>
      </c>
      <c r="J19" s="306">
        <f t="shared" si="1"/>
        <v>6441277.4399999985</v>
      </c>
      <c r="K19" s="311">
        <f t="shared" si="28"/>
        <v>142.875</v>
      </c>
      <c r="L19" s="327">
        <f t="shared" si="2"/>
        <v>1950.7199999999998</v>
      </c>
      <c r="M19" s="309">
        <f t="shared" si="3"/>
        <v>1.0833333333333335</v>
      </c>
      <c r="N19" s="309">
        <f t="shared" si="29"/>
        <v>1.0833333333333335</v>
      </c>
      <c r="O19" s="309">
        <f t="shared" si="4"/>
        <v>1.0833333333333335</v>
      </c>
      <c r="P19" s="306">
        <f>(5*390/2*K19)+(I19-5*390/2)*(25.4)*2</f>
        <v>213643.84499999997</v>
      </c>
      <c r="Q19" s="306">
        <f t="shared" si="5"/>
        <v>348386.39999999997</v>
      </c>
      <c r="R19" s="309">
        <f t="shared" si="6"/>
        <v>0.61323818897637794</v>
      </c>
      <c r="S19" s="312">
        <f t="shared" si="50"/>
        <v>559.59999999999991</v>
      </c>
      <c r="T19" s="312">
        <f>G19/3</f>
        <v>880.5333333333333</v>
      </c>
      <c r="U19" s="310">
        <f t="shared" si="43"/>
        <v>14.410048399999999</v>
      </c>
      <c r="V19" s="310">
        <f t="shared" si="44"/>
        <v>19.856908799999999</v>
      </c>
      <c r="W19" s="387">
        <f t="shared" si="30"/>
        <v>19.856908799999999</v>
      </c>
      <c r="X19" s="307">
        <f>5230*$J$3</f>
        <v>36.059594799999999</v>
      </c>
      <c r="Y19" s="387">
        <f t="shared" si="31"/>
        <v>36.059594799999999</v>
      </c>
      <c r="Z19" s="418">
        <v>0.46</v>
      </c>
      <c r="AA19" s="366">
        <f t="shared" si="7"/>
        <v>12.33108804531893</v>
      </c>
      <c r="AB19" s="366">
        <v>12.4</v>
      </c>
      <c r="AC19" s="308" t="s">
        <v>413</v>
      </c>
      <c r="AD19" s="309" t="s">
        <v>413</v>
      </c>
      <c r="AE19" s="311" t="s">
        <v>413</v>
      </c>
      <c r="AF19" s="327">
        <v>1</v>
      </c>
      <c r="AG19" s="313">
        <f t="shared" si="8"/>
        <v>12.33108804531893</v>
      </c>
      <c r="AH19" s="313">
        <f t="shared" si="9"/>
        <v>12.4</v>
      </c>
      <c r="AI19" s="308">
        <f t="shared" si="10"/>
        <v>12.388978156854652</v>
      </c>
      <c r="AJ19" s="311" t="s">
        <v>711</v>
      </c>
      <c r="AK19" s="311" t="s">
        <v>716</v>
      </c>
      <c r="AL19" s="311">
        <f>(5/8*$O$3)^2*PI()/4</f>
        <v>197.93260902246004</v>
      </c>
      <c r="AM19" s="311">
        <f>2*(5/8*$O$3)^2*PI()/4+3*(5/8*$O$3)^2*PI()/4</f>
        <v>989.66304511230021</v>
      </c>
      <c r="AN19" s="306">
        <f t="shared" si="11"/>
        <v>3.5508814534389844E-3</v>
      </c>
      <c r="AO19" s="314">
        <v>302</v>
      </c>
      <c r="AP19" s="306">
        <f>AN19*AO19</f>
        <v>1.0723661989385733</v>
      </c>
      <c r="AQ19" s="311">
        <f>(I18-200)/4</f>
        <v>559.59999999999991</v>
      </c>
      <c r="AR19" s="311" t="s">
        <v>716</v>
      </c>
      <c r="AS19" s="311">
        <f>3*(5/8*$O$3)^2*PI()/4</f>
        <v>593.79782706738013</v>
      </c>
      <c r="AT19" s="311" t="s">
        <v>413</v>
      </c>
      <c r="AU19" s="311">
        <v>0</v>
      </c>
      <c r="AV19" s="307">
        <f>(5/8*$O$3)^2*PI()/4</f>
        <v>197.93260902246004</v>
      </c>
      <c r="AW19" s="312">
        <f t="shared" si="12"/>
        <v>593.79782706738013</v>
      </c>
      <c r="AX19" s="306">
        <f t="shared" si="51"/>
        <v>1.5733136286006576E-3</v>
      </c>
      <c r="AY19" s="298">
        <v>290</v>
      </c>
      <c r="AZ19" s="306">
        <f t="shared" si="46"/>
        <v>0.45626095229419072</v>
      </c>
      <c r="BA19" s="307">
        <f>G19/3</f>
        <v>880.5333333333333</v>
      </c>
      <c r="BB19" s="313">
        <f t="shared" si="32"/>
        <v>717.05504000000008</v>
      </c>
      <c r="BC19" s="309">
        <f t="shared" si="13"/>
        <v>2.0582176571760553</v>
      </c>
      <c r="BD19" s="327">
        <f t="shared" si="33"/>
        <v>0.16613296360017163</v>
      </c>
      <c r="BE19" s="309">
        <f t="shared" si="14"/>
        <v>3.3563103116778308</v>
      </c>
      <c r="BF19" s="307" t="s">
        <v>413</v>
      </c>
      <c r="BG19" s="311">
        <f>$J$3*96*1000</f>
        <v>661.89696000000004</v>
      </c>
      <c r="BH19" s="311">
        <f t="shared" si="34"/>
        <v>661.89696000000004</v>
      </c>
      <c r="BI19" s="373">
        <v>0.94430000000000003</v>
      </c>
      <c r="BJ19" s="351">
        <f t="shared" si="15"/>
        <v>0.81399999999999995</v>
      </c>
      <c r="BK19" s="360">
        <f t="shared" si="16"/>
        <v>1</v>
      </c>
      <c r="BL19" s="311">
        <f t="shared" si="35"/>
        <v>508.77384965299206</v>
      </c>
      <c r="BM19" s="309">
        <f t="shared" si="17"/>
        <v>1.460372304007826</v>
      </c>
      <c r="BN19" s="309">
        <f t="shared" si="18"/>
        <v>2.3814112204027791</v>
      </c>
      <c r="BO19" s="376"/>
      <c r="BP19" s="328">
        <f t="shared" si="36"/>
        <v>3.2490443333997243</v>
      </c>
      <c r="BQ19" s="328">
        <f t="shared" si="19"/>
        <v>0.45626095229419072</v>
      </c>
      <c r="BR19" s="328">
        <f t="shared" si="49"/>
        <v>0.37055277177716867</v>
      </c>
      <c r="BS19" s="328">
        <f t="shared" si="37"/>
        <v>0.87479207041431217</v>
      </c>
      <c r="BT19" s="328">
        <f t="shared" si="38"/>
        <v>2.0582176571760553</v>
      </c>
      <c r="BU19" s="376"/>
      <c r="BV19" s="328">
        <f t="shared" si="21"/>
        <v>0.5</v>
      </c>
      <c r="BW19" s="328">
        <f t="shared" si="22"/>
        <v>1</v>
      </c>
      <c r="BX19" s="373">
        <f t="shared" si="39"/>
        <v>0.56316768445595233</v>
      </c>
      <c r="BY19" s="311">
        <f t="shared" si="23"/>
        <v>168111.86487357807</v>
      </c>
      <c r="BZ19" s="311">
        <f t="shared" si="24"/>
        <v>228895.35930769652</v>
      </c>
      <c r="CA19" s="311">
        <f t="shared" si="40"/>
        <v>196199.96218394517</v>
      </c>
      <c r="CB19" s="307">
        <f t="shared" si="41"/>
        <v>196.19996218394516</v>
      </c>
      <c r="CC19" s="309">
        <f t="shared" si="42"/>
        <v>0.56316768445595222</v>
      </c>
      <c r="CD19" s="379">
        <f t="shared" si="25"/>
        <v>2.5931393869281005</v>
      </c>
    </row>
    <row r="20" spans="1:82" x14ac:dyDescent="0.25">
      <c r="A20" s="315">
        <v>12</v>
      </c>
      <c r="B20" s="315" t="s">
        <v>672</v>
      </c>
      <c r="C20" s="315" t="s">
        <v>476</v>
      </c>
      <c r="D20" s="315" t="s">
        <v>597</v>
      </c>
      <c r="E20" s="315" t="s">
        <v>668</v>
      </c>
      <c r="F20" s="315" t="s">
        <v>484</v>
      </c>
      <c r="G20" s="321">
        <f t="shared" si="26"/>
        <v>2641.6</v>
      </c>
      <c r="H20" s="321">
        <f t="shared" si="0"/>
        <v>2641.6</v>
      </c>
      <c r="I20" s="321">
        <f t="shared" si="27"/>
        <v>2438.3999999999996</v>
      </c>
      <c r="J20" s="316">
        <f t="shared" si="1"/>
        <v>6441277.4399999985</v>
      </c>
      <c r="K20" s="321">
        <f t="shared" si="28"/>
        <v>142.875</v>
      </c>
      <c r="L20" s="329">
        <f t="shared" si="2"/>
        <v>1950.7199999999998</v>
      </c>
      <c r="M20" s="319">
        <f t="shared" si="3"/>
        <v>1.0833333333333335</v>
      </c>
      <c r="N20" s="319">
        <f t="shared" si="29"/>
        <v>1.0833333333333335</v>
      </c>
      <c r="O20" s="319">
        <f t="shared" si="4"/>
        <v>1.0833333333333335</v>
      </c>
      <c r="P20" s="316">
        <f>(5*390/2*K20)+(I20-5*390/2)*(25.4)*2</f>
        <v>213643.84499999997</v>
      </c>
      <c r="Q20" s="316">
        <f t="shared" si="5"/>
        <v>348386.39999999997</v>
      </c>
      <c r="R20" s="319">
        <f t="shared" si="6"/>
        <v>0.61323818897637794</v>
      </c>
      <c r="S20" s="322">
        <f t="shared" si="50"/>
        <v>559.59999999999991</v>
      </c>
      <c r="T20" s="322">
        <f>G20/4</f>
        <v>660.4</v>
      </c>
      <c r="U20" s="320">
        <f>2920*$J$3</f>
        <v>20.132699199999998</v>
      </c>
      <c r="V20" s="320">
        <f>3180*$J$3</f>
        <v>21.9253368</v>
      </c>
      <c r="W20" s="387">
        <f t="shared" si="30"/>
        <v>21.9253368</v>
      </c>
      <c r="X20" s="317">
        <f>5230*$J$3</f>
        <v>36.059594799999999</v>
      </c>
      <c r="Y20" s="387">
        <f t="shared" si="31"/>
        <v>36.059594799999999</v>
      </c>
      <c r="Z20" s="419">
        <v>0.46</v>
      </c>
      <c r="AA20" s="366">
        <f t="shared" si="7"/>
        <v>13.604818609361216</v>
      </c>
      <c r="AB20" s="367">
        <v>12.4</v>
      </c>
      <c r="AC20" s="318" t="s">
        <v>413</v>
      </c>
      <c r="AD20" s="319" t="s">
        <v>413</v>
      </c>
      <c r="AE20" s="321" t="s">
        <v>413</v>
      </c>
      <c r="AF20" s="329">
        <v>1</v>
      </c>
      <c r="AG20" s="324">
        <f t="shared" si="8"/>
        <v>13.604818609361216</v>
      </c>
      <c r="AH20" s="324">
        <f t="shared" si="9"/>
        <v>12.4</v>
      </c>
      <c r="AI20" s="318">
        <f t="shared" si="10"/>
        <v>12.592699826792519</v>
      </c>
      <c r="AJ20" s="321" t="s">
        <v>711</v>
      </c>
      <c r="AK20" s="321" t="s">
        <v>716</v>
      </c>
      <c r="AL20" s="321">
        <f>(5/8*$O$3)^2*PI()/4</f>
        <v>197.93260902246004</v>
      </c>
      <c r="AM20" s="321">
        <f>2*(5/8*$O$3)^2*PI()/4+3*(5/8*$O$3)^2*PI()/4</f>
        <v>989.66304511230021</v>
      </c>
      <c r="AN20" s="316">
        <f t="shared" si="11"/>
        <v>3.5508814534389844E-3</v>
      </c>
      <c r="AO20" s="323">
        <v>302</v>
      </c>
      <c r="AP20" s="316">
        <f>AN20*AO20</f>
        <v>1.0723661989385733</v>
      </c>
      <c r="AQ20" s="321">
        <f>(I19-200)/4</f>
        <v>559.59999999999991</v>
      </c>
      <c r="AR20" s="321" t="s">
        <v>718</v>
      </c>
      <c r="AS20" s="321">
        <f>4*(5/8*$O$3)^2*PI()/4</f>
        <v>791.73043608984017</v>
      </c>
      <c r="AT20" s="321" t="s">
        <v>413</v>
      </c>
      <c r="AU20" s="321">
        <v>0</v>
      </c>
      <c r="AV20" s="317">
        <f>(5/8*$O$3)^2*PI()/4</f>
        <v>197.93260902246004</v>
      </c>
      <c r="AW20" s="322">
        <f t="shared" si="12"/>
        <v>791.73043608984017</v>
      </c>
      <c r="AX20" s="316">
        <f t="shared" si="51"/>
        <v>2.0977515048008766E-3</v>
      </c>
      <c r="AY20" s="315">
        <v>290</v>
      </c>
      <c r="AZ20" s="316">
        <f t="shared" si="46"/>
        <v>0.60834793639225415</v>
      </c>
      <c r="BA20" s="317">
        <f>G20/4</f>
        <v>660.4</v>
      </c>
      <c r="BB20" s="324">
        <f t="shared" si="32"/>
        <v>836.56421333333344</v>
      </c>
      <c r="BC20" s="319">
        <f t="shared" si="13"/>
        <v>2.4012539333720651</v>
      </c>
      <c r="BD20" s="329">
        <f t="shared" si="33"/>
        <v>0.19068618853783062</v>
      </c>
      <c r="BE20" s="319">
        <f t="shared" si="14"/>
        <v>3.9156953636241365</v>
      </c>
      <c r="BF20" s="317" t="s">
        <v>413</v>
      </c>
      <c r="BG20" s="321">
        <f>$J$3*112*1000</f>
        <v>772.21312</v>
      </c>
      <c r="BH20" s="321">
        <f t="shared" si="34"/>
        <v>772.21312</v>
      </c>
      <c r="BI20" s="315">
        <v>0.94430000000000003</v>
      </c>
      <c r="BJ20" s="353">
        <f t="shared" si="15"/>
        <v>0.81399999999999995</v>
      </c>
      <c r="BK20" s="315">
        <f t="shared" si="16"/>
        <v>1</v>
      </c>
      <c r="BL20" s="321">
        <f t="shared" si="35"/>
        <v>593.56949126182406</v>
      </c>
      <c r="BM20" s="319">
        <f t="shared" si="17"/>
        <v>1.7037676880091306</v>
      </c>
      <c r="BN20" s="319">
        <f t="shared" si="18"/>
        <v>2.7783130904699087</v>
      </c>
      <c r="BO20" s="376"/>
      <c r="BP20" s="330">
        <f t="shared" si="36"/>
        <v>3.2756487004298767</v>
      </c>
      <c r="BQ20" s="330">
        <f t="shared" si="19"/>
        <v>0.60834793639225415</v>
      </c>
      <c r="BR20" s="330">
        <f t="shared" si="49"/>
        <v>0.37055277177716867</v>
      </c>
      <c r="BS20" s="330">
        <f t="shared" si="37"/>
        <v>1.0183941313749172</v>
      </c>
      <c r="BT20" s="330">
        <f t="shared" si="38"/>
        <v>2.4012539333720651</v>
      </c>
      <c r="BU20" s="376"/>
      <c r="BV20" s="328">
        <f t="shared" si="21"/>
        <v>0.5</v>
      </c>
      <c r="BW20" s="328">
        <f t="shared" si="22"/>
        <v>1</v>
      </c>
      <c r="BX20" s="373">
        <f t="shared" si="39"/>
        <v>0.56777910807451204</v>
      </c>
      <c r="BY20" s="311">
        <f t="shared" si="23"/>
        <v>183693.13444958275</v>
      </c>
      <c r="BZ20" s="311">
        <f t="shared" si="24"/>
        <v>406925.08321368275</v>
      </c>
      <c r="CA20" s="311">
        <f t="shared" si="40"/>
        <v>197806.51945729018</v>
      </c>
      <c r="CB20" s="307">
        <f t="shared" si="41"/>
        <v>197.80651945729019</v>
      </c>
      <c r="CC20" s="309">
        <f t="shared" si="42"/>
        <v>0.56777910807451215</v>
      </c>
      <c r="CD20" s="379">
        <f t="shared" si="25"/>
        <v>3.0007579774941942</v>
      </c>
    </row>
    <row r="21" spans="1:82" x14ac:dyDescent="0.25">
      <c r="A21" s="305">
        <v>13</v>
      </c>
      <c r="B21" s="298" t="s">
        <v>611</v>
      </c>
      <c r="C21" s="298" t="s">
        <v>678</v>
      </c>
      <c r="D21" s="298" t="s">
        <v>598</v>
      </c>
      <c r="E21" s="343" t="s">
        <v>668</v>
      </c>
      <c r="F21" s="298" t="s">
        <v>484</v>
      </c>
      <c r="G21" s="311">
        <v>2650</v>
      </c>
      <c r="H21" s="311">
        <f t="shared" si="0"/>
        <v>2650</v>
      </c>
      <c r="I21" s="311">
        <v>3200</v>
      </c>
      <c r="J21" s="306">
        <f t="shared" ref="J21:J31" si="52">I21*G21</f>
        <v>8480000</v>
      </c>
      <c r="K21" s="311">
        <v>150</v>
      </c>
      <c r="L21" s="327">
        <f t="shared" ref="L21:L31" si="53">0.8*I21</f>
        <v>2560</v>
      </c>
      <c r="M21" s="309">
        <f t="shared" ref="M21:M31" si="54">G21/I21</f>
        <v>0.828125</v>
      </c>
      <c r="N21" s="309">
        <f t="shared" si="29"/>
        <v>0.828125</v>
      </c>
      <c r="O21" s="309">
        <f t="shared" si="4"/>
        <v>0.828125</v>
      </c>
      <c r="P21" s="306">
        <f>(8*390/2*K21)+(I21-7*390/2)*(25.4)*2</f>
        <v>327218</v>
      </c>
      <c r="Q21" s="306">
        <f t="shared" si="5"/>
        <v>480000</v>
      </c>
      <c r="R21" s="309">
        <f t="shared" si="6"/>
        <v>0.68170416666666667</v>
      </c>
      <c r="S21" s="295">
        <v>800</v>
      </c>
      <c r="T21" s="312">
        <f>G21</f>
        <v>2650</v>
      </c>
      <c r="U21" s="307" t="s">
        <v>413</v>
      </c>
      <c r="V21" s="307">
        <f>263*9.81/100</f>
        <v>25.800300000000004</v>
      </c>
      <c r="W21" s="387">
        <f t="shared" si="30"/>
        <v>25.800300000000004</v>
      </c>
      <c r="X21" s="307">
        <f>224*9.81/100</f>
        <v>21.974399999999999</v>
      </c>
      <c r="Y21" s="387">
        <f t="shared" si="31"/>
        <v>21.974399999999999</v>
      </c>
      <c r="Z21" s="307" t="s">
        <v>413</v>
      </c>
      <c r="AA21" s="431" t="s">
        <v>1020</v>
      </c>
      <c r="AB21" s="307">
        <f>105*9.81/100</f>
        <v>10.3005</v>
      </c>
      <c r="AC21" s="336">
        <v>3</v>
      </c>
      <c r="AD21" s="354">
        <f>(190+10+190+10+190)/150</f>
        <v>3.9333333333333331</v>
      </c>
      <c r="AE21" s="298" t="s">
        <v>413</v>
      </c>
      <c r="AF21" s="313">
        <f>1-0.058*(5-AD21)^1.07</f>
        <v>0.93785320622293622</v>
      </c>
      <c r="AG21" s="429" t="s">
        <v>1020</v>
      </c>
      <c r="AH21" s="313">
        <f t="shared" ref="AH21:AH41" si="55">AF21*AB21</f>
        <v>9.6603569506993541</v>
      </c>
      <c r="AI21" s="429" t="s">
        <v>1020</v>
      </c>
      <c r="AJ21" s="298" t="s">
        <v>699</v>
      </c>
      <c r="AK21" s="298" t="s">
        <v>702</v>
      </c>
      <c r="AL21" s="298" t="s">
        <v>705</v>
      </c>
      <c r="AM21" s="298">
        <f>3*71+2*4*129</f>
        <v>1245</v>
      </c>
      <c r="AN21" s="306">
        <f t="shared" si="11"/>
        <v>3.2421875000000003E-3</v>
      </c>
      <c r="AO21" s="311">
        <f>2500*9.81/100</f>
        <v>245.25</v>
      </c>
      <c r="AP21" s="306">
        <f t="shared" ref="AP21:AP41" si="56">AN21*AO21</f>
        <v>0.79514648437500002</v>
      </c>
      <c r="AQ21" s="298">
        <v>800</v>
      </c>
      <c r="AR21" s="298" t="s">
        <v>413</v>
      </c>
      <c r="AS21" s="298">
        <v>0</v>
      </c>
      <c r="AT21" s="298" t="s">
        <v>710</v>
      </c>
      <c r="AU21" s="328">
        <f>2*PI()*2.5^2/4</f>
        <v>9.8174770424681039</v>
      </c>
      <c r="AV21" s="328">
        <f t="shared" ref="AV21:AV30" si="57">AU21</f>
        <v>9.8174770424681039</v>
      </c>
      <c r="AW21" s="312">
        <f t="shared" ref="AW21:AW41" si="58">AU21+AS21</f>
        <v>9.8174770424681039</v>
      </c>
      <c r="AX21" s="306">
        <f t="shared" si="51"/>
        <v>3.2724923474893676E-4</v>
      </c>
      <c r="AY21" s="311">
        <f>2500*9.81/100</f>
        <v>245.25</v>
      </c>
      <c r="AZ21" s="306">
        <f t="shared" ref="AZ21:AZ30" si="59">AX21*AY21</f>
        <v>8.0257874822176736E-2</v>
      </c>
      <c r="BA21" s="298">
        <v>200</v>
      </c>
      <c r="BB21" s="356">
        <v>0</v>
      </c>
      <c r="BC21" s="327">
        <f t="shared" si="13"/>
        <v>0</v>
      </c>
      <c r="BD21" s="313" t="e">
        <f t="shared" si="33"/>
        <v>#VALUE!</v>
      </c>
      <c r="BE21" s="327">
        <f t="shared" si="14"/>
        <v>0</v>
      </c>
      <c r="BF21" s="298" t="s">
        <v>413</v>
      </c>
      <c r="BG21" s="356">
        <f>20.4*9.81</f>
        <v>200.124</v>
      </c>
      <c r="BH21" s="311">
        <f>BG21</f>
        <v>200.124</v>
      </c>
      <c r="BI21" s="370">
        <v>0.94430000000000003</v>
      </c>
      <c r="BJ21" s="298">
        <f t="shared" si="15"/>
        <v>1</v>
      </c>
      <c r="BK21" s="360">
        <f t="shared" si="16"/>
        <v>1</v>
      </c>
      <c r="BL21" s="311">
        <f t="shared" si="35"/>
        <v>188.97709320000001</v>
      </c>
      <c r="BM21" s="309">
        <f t="shared" si="17"/>
        <v>0.39370227750000003</v>
      </c>
      <c r="BN21" s="309">
        <f t="shared" si="18"/>
        <v>0.57752658227848108</v>
      </c>
      <c r="BO21" s="376"/>
      <c r="BP21" s="328" t="e">
        <f t="shared" si="36"/>
        <v>#VALUE!</v>
      </c>
      <c r="BQ21" s="328">
        <f t="shared" si="19"/>
        <v>8.0257874822176736E-2</v>
      </c>
      <c r="BR21" s="328">
        <f t="shared" si="49"/>
        <v>0.23801325734632395</v>
      </c>
      <c r="BS21" s="328" t="e">
        <f t="shared" si="37"/>
        <v>#VALUE!</v>
      </c>
      <c r="BT21" s="328">
        <f t="shared" si="38"/>
        <v>0</v>
      </c>
      <c r="BU21" s="376"/>
      <c r="BV21" s="328">
        <f t="shared" si="21"/>
        <v>0.5</v>
      </c>
      <c r="BW21" s="328">
        <f t="shared" si="22"/>
        <v>1</v>
      </c>
      <c r="BX21" s="373" t="e">
        <f t="shared" si="39"/>
        <v>#VALUE!</v>
      </c>
      <c r="BY21" s="311" t="e">
        <f t="shared" si="23"/>
        <v>#VALUE!</v>
      </c>
      <c r="BZ21" s="311">
        <f t="shared" si="24"/>
        <v>18491.414359029524</v>
      </c>
      <c r="CA21" s="311" t="e">
        <f t="shared" si="40"/>
        <v>#VALUE!</v>
      </c>
      <c r="CB21" s="307" t="e">
        <f t="shared" si="41"/>
        <v>#VALUE!</v>
      </c>
      <c r="CC21" s="309"/>
      <c r="CD21" s="379"/>
    </row>
    <row r="22" spans="1:82" x14ac:dyDescent="0.25">
      <c r="A22" s="305">
        <v>14</v>
      </c>
      <c r="B22" s="298" t="s">
        <v>611</v>
      </c>
      <c r="C22" s="298" t="s">
        <v>679</v>
      </c>
      <c r="D22" s="298" t="s">
        <v>598</v>
      </c>
      <c r="E22" s="343" t="s">
        <v>668</v>
      </c>
      <c r="F22" s="298" t="s">
        <v>484</v>
      </c>
      <c r="G22" s="311">
        <v>2650</v>
      </c>
      <c r="H22" s="311">
        <f t="shared" si="0"/>
        <v>2650</v>
      </c>
      <c r="I22" s="311">
        <v>3200</v>
      </c>
      <c r="J22" s="306">
        <f t="shared" si="52"/>
        <v>8480000</v>
      </c>
      <c r="K22" s="311">
        <v>150</v>
      </c>
      <c r="L22" s="327">
        <f t="shared" si="53"/>
        <v>2560</v>
      </c>
      <c r="M22" s="309">
        <f t="shared" si="54"/>
        <v>0.828125</v>
      </c>
      <c r="N22" s="309">
        <f t="shared" si="29"/>
        <v>0.828125</v>
      </c>
      <c r="O22" s="309">
        <f t="shared" si="4"/>
        <v>0.828125</v>
      </c>
      <c r="P22" s="306">
        <f>(8*390/2*K22)+(I22-7*390/2)*(25.4)*2</f>
        <v>327218</v>
      </c>
      <c r="Q22" s="306">
        <f t="shared" si="5"/>
        <v>480000</v>
      </c>
      <c r="R22" s="309">
        <f t="shared" si="6"/>
        <v>0.68170416666666667</v>
      </c>
      <c r="S22" s="295">
        <v>800</v>
      </c>
      <c r="T22" s="312">
        <f t="shared" ref="T22:T41" si="60">G22</f>
        <v>2650</v>
      </c>
      <c r="U22" s="298" t="s">
        <v>413</v>
      </c>
      <c r="V22" s="307">
        <f>243*9.81/100</f>
        <v>23.8383</v>
      </c>
      <c r="W22" s="387">
        <f t="shared" si="30"/>
        <v>23.8383</v>
      </c>
      <c r="X22" s="307">
        <f>214*9.81/100</f>
        <v>20.993400000000001</v>
      </c>
      <c r="Y22" s="387">
        <f t="shared" si="31"/>
        <v>20.993400000000001</v>
      </c>
      <c r="Z22" s="373" t="s">
        <v>413</v>
      </c>
      <c r="AA22" s="429" t="s">
        <v>1020</v>
      </c>
      <c r="AB22" s="307">
        <f t="shared" ref="AB22:AB32" si="61">105*9.81/100</f>
        <v>10.3005</v>
      </c>
      <c r="AC22" s="336">
        <v>3</v>
      </c>
      <c r="AD22" s="354">
        <f t="shared" ref="AD22:AD41" si="62">(190+10+190+10+190)/150</f>
        <v>3.9333333333333331</v>
      </c>
      <c r="AE22" s="298" t="s">
        <v>413</v>
      </c>
      <c r="AF22" s="313">
        <f t="shared" ref="AF22:AF48" si="63">1-0.058*(5-AD22)^1.07</f>
        <v>0.93785320622293622</v>
      </c>
      <c r="AG22" s="429" t="s">
        <v>1020</v>
      </c>
      <c r="AH22" s="313">
        <f t="shared" si="55"/>
        <v>9.6603569506993541</v>
      </c>
      <c r="AI22" s="429" t="s">
        <v>1020</v>
      </c>
      <c r="AJ22" s="298" t="s">
        <v>699</v>
      </c>
      <c r="AK22" s="298" t="s">
        <v>702</v>
      </c>
      <c r="AL22" s="298" t="s">
        <v>705</v>
      </c>
      <c r="AM22" s="298">
        <f>3*71+2*4*129</f>
        <v>1245</v>
      </c>
      <c r="AN22" s="306">
        <f t="shared" si="11"/>
        <v>3.2421875000000003E-3</v>
      </c>
      <c r="AO22" s="311">
        <f t="shared" ref="AO22:AO30" si="64">2500*9.81/100</f>
        <v>245.25</v>
      </c>
      <c r="AP22" s="306">
        <f t="shared" si="56"/>
        <v>0.79514648437500002</v>
      </c>
      <c r="AQ22" s="298">
        <v>800</v>
      </c>
      <c r="AR22" s="298" t="s">
        <v>413</v>
      </c>
      <c r="AS22" s="298">
        <v>0</v>
      </c>
      <c r="AT22" s="298" t="s">
        <v>710</v>
      </c>
      <c r="AU22" s="328">
        <f t="shared" ref="AU22:AU30" si="65">2*PI()*2.5^2/4</f>
        <v>9.8174770424681039</v>
      </c>
      <c r="AV22" s="328">
        <f t="shared" si="57"/>
        <v>9.8174770424681039</v>
      </c>
      <c r="AW22" s="312">
        <f t="shared" si="58"/>
        <v>9.8174770424681039</v>
      </c>
      <c r="AX22" s="306">
        <f t="shared" si="51"/>
        <v>3.2724923474893676E-4</v>
      </c>
      <c r="AY22" s="311">
        <f t="shared" ref="AY22:AY30" si="66">2500*9.81/100</f>
        <v>245.25</v>
      </c>
      <c r="AZ22" s="306">
        <f t="shared" si="59"/>
        <v>8.0257874822176736E-2</v>
      </c>
      <c r="BA22" s="298">
        <v>200</v>
      </c>
      <c r="BB22" s="356">
        <v>196</v>
      </c>
      <c r="BC22" s="309">
        <f t="shared" si="13"/>
        <v>0.40833333333333338</v>
      </c>
      <c r="BD22" s="313" t="e">
        <f t="shared" si="33"/>
        <v>#VALUE!</v>
      </c>
      <c r="BE22" s="309">
        <f t="shared" si="14"/>
        <v>0.59898905316944673</v>
      </c>
      <c r="BF22" s="298" t="s">
        <v>413</v>
      </c>
      <c r="BG22" s="356">
        <f>26*9.81</f>
        <v>255.06</v>
      </c>
      <c r="BH22" s="311">
        <f t="shared" ref="BH22:BH28" si="67">BG22</f>
        <v>255.06</v>
      </c>
      <c r="BI22" s="373">
        <v>0.94430000000000003</v>
      </c>
      <c r="BJ22" s="298">
        <f t="shared" si="15"/>
        <v>1</v>
      </c>
      <c r="BK22" s="360">
        <f t="shared" si="16"/>
        <v>1</v>
      </c>
      <c r="BL22" s="311">
        <f t="shared" si="35"/>
        <v>240.85315800000001</v>
      </c>
      <c r="BM22" s="309">
        <f t="shared" si="17"/>
        <v>0.50177741249999996</v>
      </c>
      <c r="BN22" s="309">
        <f t="shared" si="18"/>
        <v>0.73606329113924052</v>
      </c>
      <c r="BO22" s="376"/>
      <c r="BP22" s="328" t="e">
        <f t="shared" si="36"/>
        <v>#VALUE!</v>
      </c>
      <c r="BQ22" s="328">
        <f t="shared" si="19"/>
        <v>8.0257874822176736E-2</v>
      </c>
      <c r="BR22" s="328">
        <f t="shared" si="49"/>
        <v>0.23263980516272736</v>
      </c>
      <c r="BS22" s="328" t="e">
        <f t="shared" si="37"/>
        <v>#VALUE!</v>
      </c>
      <c r="BT22" s="328">
        <f t="shared" si="38"/>
        <v>0.40833333333333338</v>
      </c>
      <c r="BU22" s="376"/>
      <c r="BV22" s="328">
        <f t="shared" si="21"/>
        <v>0.5</v>
      </c>
      <c r="BW22" s="328">
        <f t="shared" si="22"/>
        <v>1</v>
      </c>
      <c r="BX22" s="373" t="e">
        <f t="shared" si="39"/>
        <v>#VALUE!</v>
      </c>
      <c r="BY22" s="311" t="e">
        <f t="shared" si="23"/>
        <v>#VALUE!</v>
      </c>
      <c r="BZ22" s="311">
        <f t="shared" si="24"/>
        <v>18491.414359029524</v>
      </c>
      <c r="CA22" s="311" t="e">
        <f t="shared" si="40"/>
        <v>#VALUE!</v>
      </c>
      <c r="CB22" s="307" t="e">
        <f t="shared" si="41"/>
        <v>#VALUE!</v>
      </c>
      <c r="CC22" s="309"/>
      <c r="CD22" s="379"/>
    </row>
    <row r="23" spans="1:82" x14ac:dyDescent="0.25">
      <c r="A23" s="305">
        <v>15</v>
      </c>
      <c r="B23" s="298" t="s">
        <v>611</v>
      </c>
      <c r="C23" s="298" t="s">
        <v>680</v>
      </c>
      <c r="D23" s="298" t="s">
        <v>598</v>
      </c>
      <c r="E23" s="343" t="s">
        <v>668</v>
      </c>
      <c r="F23" s="298" t="s">
        <v>484</v>
      </c>
      <c r="G23" s="311">
        <v>2650</v>
      </c>
      <c r="H23" s="311">
        <f t="shared" si="0"/>
        <v>2650</v>
      </c>
      <c r="I23" s="311">
        <v>3200</v>
      </c>
      <c r="J23" s="306">
        <f t="shared" si="52"/>
        <v>8480000</v>
      </c>
      <c r="K23" s="311">
        <v>150</v>
      </c>
      <c r="L23" s="327">
        <f t="shared" si="53"/>
        <v>2560</v>
      </c>
      <c r="M23" s="309">
        <f t="shared" si="54"/>
        <v>0.828125</v>
      </c>
      <c r="N23" s="309">
        <f t="shared" si="29"/>
        <v>0.828125</v>
      </c>
      <c r="O23" s="309">
        <f t="shared" si="4"/>
        <v>0.828125</v>
      </c>
      <c r="P23" s="306">
        <f>(8*390/2*K23)+(I23-7*390/2)*(25.4)*2</f>
        <v>327218</v>
      </c>
      <c r="Q23" s="306">
        <f t="shared" si="5"/>
        <v>480000</v>
      </c>
      <c r="R23" s="309">
        <f t="shared" si="6"/>
        <v>0.68170416666666667</v>
      </c>
      <c r="S23" s="295">
        <v>800</v>
      </c>
      <c r="T23" s="312">
        <f t="shared" si="60"/>
        <v>2650</v>
      </c>
      <c r="U23" s="298" t="s">
        <v>413</v>
      </c>
      <c r="V23" s="307">
        <f>213*9.81/100</f>
        <v>20.895300000000002</v>
      </c>
      <c r="W23" s="387">
        <f t="shared" si="30"/>
        <v>20.895300000000002</v>
      </c>
      <c r="X23" s="307">
        <f>300*9.81/100</f>
        <v>29.43</v>
      </c>
      <c r="Y23" s="387">
        <f t="shared" si="31"/>
        <v>29.43</v>
      </c>
      <c r="Z23" s="373" t="s">
        <v>413</v>
      </c>
      <c r="AA23" s="429" t="s">
        <v>1020</v>
      </c>
      <c r="AB23" s="307">
        <f t="shared" si="61"/>
        <v>10.3005</v>
      </c>
      <c r="AC23" s="336">
        <v>3</v>
      </c>
      <c r="AD23" s="354">
        <f t="shared" si="62"/>
        <v>3.9333333333333331</v>
      </c>
      <c r="AE23" s="298" t="s">
        <v>413</v>
      </c>
      <c r="AF23" s="313">
        <f t="shared" si="63"/>
        <v>0.93785320622293622</v>
      </c>
      <c r="AG23" s="429" t="s">
        <v>1020</v>
      </c>
      <c r="AH23" s="313">
        <f t="shared" si="55"/>
        <v>9.6603569506993541</v>
      </c>
      <c r="AI23" s="429" t="s">
        <v>1020</v>
      </c>
      <c r="AJ23" s="298" t="s">
        <v>699</v>
      </c>
      <c r="AK23" s="298" t="s">
        <v>702</v>
      </c>
      <c r="AL23" s="298" t="s">
        <v>705</v>
      </c>
      <c r="AM23" s="298">
        <f>3*71+2*4*129</f>
        <v>1245</v>
      </c>
      <c r="AN23" s="306">
        <f t="shared" si="11"/>
        <v>3.2421875000000003E-3</v>
      </c>
      <c r="AO23" s="311">
        <f t="shared" si="64"/>
        <v>245.25</v>
      </c>
      <c r="AP23" s="306">
        <f t="shared" si="56"/>
        <v>0.79514648437500002</v>
      </c>
      <c r="AQ23" s="298">
        <v>800</v>
      </c>
      <c r="AR23" s="298" t="s">
        <v>413</v>
      </c>
      <c r="AS23" s="298">
        <v>0</v>
      </c>
      <c r="AT23" s="298" t="s">
        <v>710</v>
      </c>
      <c r="AU23" s="328">
        <f t="shared" si="65"/>
        <v>9.8174770424681039</v>
      </c>
      <c r="AV23" s="328">
        <f t="shared" si="57"/>
        <v>9.8174770424681039</v>
      </c>
      <c r="AW23" s="312">
        <f t="shared" si="58"/>
        <v>9.8174770424681039</v>
      </c>
      <c r="AX23" s="306">
        <f t="shared" si="51"/>
        <v>3.2724923474893676E-4</v>
      </c>
      <c r="AY23" s="311">
        <f t="shared" si="66"/>
        <v>245.25</v>
      </c>
      <c r="AZ23" s="306">
        <f t="shared" si="59"/>
        <v>8.0257874822176736E-2</v>
      </c>
      <c r="BA23" s="298">
        <v>200</v>
      </c>
      <c r="BB23" s="357">
        <v>98.1</v>
      </c>
      <c r="BC23" s="309">
        <f t="shared" si="13"/>
        <v>0.204375</v>
      </c>
      <c r="BD23" s="313" t="e">
        <f t="shared" si="33"/>
        <v>#VALUE!</v>
      </c>
      <c r="BE23" s="309">
        <f t="shared" si="14"/>
        <v>0.29980013324450366</v>
      </c>
      <c r="BF23" s="298" t="s">
        <v>413</v>
      </c>
      <c r="BG23" s="356">
        <f>34.2*9.81</f>
        <v>335.50200000000007</v>
      </c>
      <c r="BH23" s="311">
        <f t="shared" si="67"/>
        <v>335.50200000000007</v>
      </c>
      <c r="BI23" s="373">
        <v>0.94430000000000003</v>
      </c>
      <c r="BJ23" s="298">
        <f t="shared" si="15"/>
        <v>1</v>
      </c>
      <c r="BK23" s="360">
        <f t="shared" si="16"/>
        <v>1</v>
      </c>
      <c r="BL23" s="311">
        <f t="shared" si="35"/>
        <v>316.81453860000005</v>
      </c>
      <c r="BM23" s="309">
        <f t="shared" si="17"/>
        <v>0.66003028875000003</v>
      </c>
      <c r="BN23" s="309">
        <f t="shared" si="18"/>
        <v>0.96820632911392412</v>
      </c>
      <c r="BO23" s="376"/>
      <c r="BP23" s="328" t="e">
        <f t="shared" si="36"/>
        <v>#VALUE!</v>
      </c>
      <c r="BQ23" s="328">
        <f t="shared" si="19"/>
        <v>8.0257874822176736E-2</v>
      </c>
      <c r="BR23" s="328">
        <f t="shared" si="49"/>
        <v>0.27544682207945448</v>
      </c>
      <c r="BS23" s="328" t="e">
        <f t="shared" si="37"/>
        <v>#VALUE!</v>
      </c>
      <c r="BT23" s="328">
        <f t="shared" si="38"/>
        <v>0.204375</v>
      </c>
      <c r="BU23" s="376"/>
      <c r="BV23" s="328">
        <f t="shared" si="21"/>
        <v>0.5</v>
      </c>
      <c r="BW23" s="328">
        <f t="shared" si="22"/>
        <v>1</v>
      </c>
      <c r="BX23" s="373" t="e">
        <f t="shared" si="39"/>
        <v>#VALUE!</v>
      </c>
      <c r="BY23" s="311" t="e">
        <f t="shared" si="23"/>
        <v>#VALUE!</v>
      </c>
      <c r="BZ23" s="311">
        <f t="shared" si="24"/>
        <v>18491.414359029524</v>
      </c>
      <c r="CA23" s="311" t="e">
        <f t="shared" si="40"/>
        <v>#VALUE!</v>
      </c>
      <c r="CB23" s="307" t="e">
        <f t="shared" si="41"/>
        <v>#VALUE!</v>
      </c>
      <c r="CC23" s="309"/>
      <c r="CD23" s="379"/>
    </row>
    <row r="24" spans="1:82" x14ac:dyDescent="0.25">
      <c r="A24" s="305">
        <v>16</v>
      </c>
      <c r="B24" s="298" t="s">
        <v>611</v>
      </c>
      <c r="C24" s="298" t="s">
        <v>681</v>
      </c>
      <c r="D24" s="298" t="s">
        <v>598</v>
      </c>
      <c r="E24" s="343" t="s">
        <v>668</v>
      </c>
      <c r="F24" s="298" t="s">
        <v>484</v>
      </c>
      <c r="G24" s="311">
        <v>2650</v>
      </c>
      <c r="H24" s="311">
        <f t="shared" si="0"/>
        <v>2650</v>
      </c>
      <c r="I24" s="311">
        <v>3200</v>
      </c>
      <c r="J24" s="306">
        <f t="shared" si="52"/>
        <v>8480000</v>
      </c>
      <c r="K24" s="311">
        <v>150</v>
      </c>
      <c r="L24" s="327">
        <f t="shared" si="53"/>
        <v>2560</v>
      </c>
      <c r="M24" s="309">
        <f t="shared" si="54"/>
        <v>0.828125</v>
      </c>
      <c r="N24" s="309">
        <f t="shared" si="29"/>
        <v>0.828125</v>
      </c>
      <c r="O24" s="309">
        <f t="shared" si="4"/>
        <v>0.828125</v>
      </c>
      <c r="P24" s="306">
        <f>(8*390/2*K24)+(I24-5*390/2)*(25.4)*2</f>
        <v>347030</v>
      </c>
      <c r="Q24" s="306">
        <f t="shared" si="5"/>
        <v>480000</v>
      </c>
      <c r="R24" s="309">
        <f t="shared" si="6"/>
        <v>0.72297916666666662</v>
      </c>
      <c r="S24" s="295">
        <v>1400</v>
      </c>
      <c r="T24" s="312">
        <f t="shared" si="60"/>
        <v>2650</v>
      </c>
      <c r="U24" s="298" t="s">
        <v>413</v>
      </c>
      <c r="V24" s="307">
        <f>160*9.81/100</f>
        <v>15.696000000000002</v>
      </c>
      <c r="W24" s="387">
        <f t="shared" si="30"/>
        <v>15.696000000000002</v>
      </c>
      <c r="X24" s="307">
        <f>151*9.81/100</f>
        <v>14.813100000000002</v>
      </c>
      <c r="Y24" s="387">
        <f t="shared" si="31"/>
        <v>14.813100000000002</v>
      </c>
      <c r="Z24" s="373" t="s">
        <v>413</v>
      </c>
      <c r="AA24" s="429" t="s">
        <v>1020</v>
      </c>
      <c r="AB24" s="307">
        <f t="shared" si="61"/>
        <v>10.3005</v>
      </c>
      <c r="AC24" s="336">
        <v>3</v>
      </c>
      <c r="AD24" s="354">
        <f t="shared" si="62"/>
        <v>3.9333333333333331</v>
      </c>
      <c r="AE24" s="298" t="s">
        <v>413</v>
      </c>
      <c r="AF24" s="313">
        <f t="shared" si="63"/>
        <v>0.93785320622293622</v>
      </c>
      <c r="AG24" s="429" t="s">
        <v>1020</v>
      </c>
      <c r="AH24" s="313">
        <f t="shared" si="55"/>
        <v>9.6603569506993541</v>
      </c>
      <c r="AI24" s="429" t="s">
        <v>1020</v>
      </c>
      <c r="AJ24" s="298" t="s">
        <v>700</v>
      </c>
      <c r="AK24" s="298" t="s">
        <v>703</v>
      </c>
      <c r="AL24" s="298" t="s">
        <v>705</v>
      </c>
      <c r="AM24" s="298">
        <f>3*71+2*2*129</f>
        <v>729</v>
      </c>
      <c r="AN24" s="306">
        <f t="shared" si="11"/>
        <v>1.8984375000000002E-3</v>
      </c>
      <c r="AO24" s="311">
        <f t="shared" si="64"/>
        <v>245.25</v>
      </c>
      <c r="AP24" s="306">
        <f t="shared" si="56"/>
        <v>0.46559179687500002</v>
      </c>
      <c r="AQ24" s="298">
        <v>1400</v>
      </c>
      <c r="AR24" s="298" t="s">
        <v>413</v>
      </c>
      <c r="AS24" s="298">
        <v>0</v>
      </c>
      <c r="AT24" s="298" t="s">
        <v>710</v>
      </c>
      <c r="AU24" s="328">
        <f t="shared" si="65"/>
        <v>9.8174770424681039</v>
      </c>
      <c r="AV24" s="328">
        <f t="shared" si="57"/>
        <v>9.8174770424681039</v>
      </c>
      <c r="AW24" s="312">
        <f t="shared" si="58"/>
        <v>9.8174770424681039</v>
      </c>
      <c r="AX24" s="306">
        <f t="shared" si="51"/>
        <v>3.2724923474893676E-4</v>
      </c>
      <c r="AY24" s="311">
        <f t="shared" si="66"/>
        <v>245.25</v>
      </c>
      <c r="AZ24" s="306">
        <f t="shared" si="59"/>
        <v>8.0257874822176736E-2</v>
      </c>
      <c r="BA24" s="298">
        <v>200</v>
      </c>
      <c r="BB24" s="356">
        <v>0</v>
      </c>
      <c r="BC24" s="327">
        <f t="shared" si="13"/>
        <v>0</v>
      </c>
      <c r="BD24" s="313" t="e">
        <f t="shared" si="33"/>
        <v>#VALUE!</v>
      </c>
      <c r="BE24" s="327">
        <f t="shared" si="14"/>
        <v>0</v>
      </c>
      <c r="BF24" s="298" t="s">
        <v>413</v>
      </c>
      <c r="BG24" s="356">
        <f>11*9.81</f>
        <v>107.91000000000001</v>
      </c>
      <c r="BH24" s="311">
        <f t="shared" si="67"/>
        <v>107.91000000000001</v>
      </c>
      <c r="BI24" s="373">
        <v>0.94430000000000003</v>
      </c>
      <c r="BJ24" s="298">
        <f t="shared" si="15"/>
        <v>1</v>
      </c>
      <c r="BK24" s="360">
        <f t="shared" si="16"/>
        <v>1</v>
      </c>
      <c r="BL24" s="311">
        <f t="shared" si="35"/>
        <v>101.89941300000001</v>
      </c>
      <c r="BM24" s="309">
        <f t="shared" si="17"/>
        <v>0.21229044375000003</v>
      </c>
      <c r="BN24" s="309">
        <f t="shared" si="18"/>
        <v>0.29363286459383919</v>
      </c>
      <c r="BO24" s="376"/>
      <c r="BP24" s="328" t="e">
        <f t="shared" si="36"/>
        <v>#VALUE!</v>
      </c>
      <c r="BQ24" s="328">
        <f t="shared" si="19"/>
        <v>8.0257874822176736E-2</v>
      </c>
      <c r="BR24" s="328">
        <f t="shared" si="49"/>
        <v>0.11442575570021112</v>
      </c>
      <c r="BS24" s="328" t="e">
        <f t="shared" si="37"/>
        <v>#VALUE!</v>
      </c>
      <c r="BT24" s="328">
        <f t="shared" si="38"/>
        <v>0</v>
      </c>
      <c r="BU24" s="376"/>
      <c r="BV24" s="328">
        <f t="shared" si="21"/>
        <v>0.5</v>
      </c>
      <c r="BW24" s="328">
        <f t="shared" si="22"/>
        <v>1</v>
      </c>
      <c r="BX24" s="373" t="e">
        <f t="shared" si="39"/>
        <v>#VALUE!</v>
      </c>
      <c r="BY24" s="311" t="e">
        <f t="shared" si="23"/>
        <v>#VALUE!</v>
      </c>
      <c r="BZ24" s="311">
        <f t="shared" si="24"/>
        <v>18491.414359029524</v>
      </c>
      <c r="CA24" s="311" t="e">
        <f t="shared" si="40"/>
        <v>#VALUE!</v>
      </c>
      <c r="CB24" s="307" t="e">
        <f t="shared" si="41"/>
        <v>#VALUE!</v>
      </c>
      <c r="CC24" s="309"/>
      <c r="CD24" s="379"/>
    </row>
    <row r="25" spans="1:82" x14ac:dyDescent="0.25">
      <c r="A25" s="305">
        <v>17</v>
      </c>
      <c r="B25" s="298" t="s">
        <v>611</v>
      </c>
      <c r="C25" s="298" t="s">
        <v>682</v>
      </c>
      <c r="D25" s="298" t="s">
        <v>598</v>
      </c>
      <c r="E25" s="343" t="s">
        <v>668</v>
      </c>
      <c r="F25" s="298" t="s">
        <v>484</v>
      </c>
      <c r="G25" s="311">
        <v>2650</v>
      </c>
      <c r="H25" s="311">
        <f t="shared" si="0"/>
        <v>2650</v>
      </c>
      <c r="I25" s="311">
        <v>3200</v>
      </c>
      <c r="J25" s="306">
        <f t="shared" si="52"/>
        <v>8480000</v>
      </c>
      <c r="K25" s="311">
        <v>150</v>
      </c>
      <c r="L25" s="327">
        <f t="shared" si="53"/>
        <v>2560</v>
      </c>
      <c r="M25" s="309">
        <f t="shared" si="54"/>
        <v>0.828125</v>
      </c>
      <c r="N25" s="309">
        <f t="shared" si="29"/>
        <v>0.828125</v>
      </c>
      <c r="O25" s="309">
        <f t="shared" si="4"/>
        <v>0.828125</v>
      </c>
      <c r="P25" s="306">
        <f>(8*390/2*K25)+(I25-5*390/2)*(25.4)*2</f>
        <v>347030</v>
      </c>
      <c r="Q25" s="306">
        <f t="shared" si="5"/>
        <v>480000</v>
      </c>
      <c r="R25" s="309">
        <f t="shared" si="6"/>
        <v>0.72297916666666662</v>
      </c>
      <c r="S25" s="295">
        <v>1400</v>
      </c>
      <c r="T25" s="312">
        <f t="shared" si="60"/>
        <v>2650</v>
      </c>
      <c r="U25" s="298" t="s">
        <v>413</v>
      </c>
      <c r="V25" s="307">
        <f>232*9.81/100</f>
        <v>22.7592</v>
      </c>
      <c r="W25" s="387">
        <f t="shared" si="30"/>
        <v>22.7592</v>
      </c>
      <c r="X25" s="307">
        <f>312*9.81/100</f>
        <v>30.607200000000002</v>
      </c>
      <c r="Y25" s="387">
        <f t="shared" si="31"/>
        <v>30.607200000000002</v>
      </c>
      <c r="Z25" s="373" t="s">
        <v>413</v>
      </c>
      <c r="AA25" s="429" t="s">
        <v>1020</v>
      </c>
      <c r="AB25" s="307">
        <f t="shared" si="61"/>
        <v>10.3005</v>
      </c>
      <c r="AC25" s="336">
        <v>3</v>
      </c>
      <c r="AD25" s="354">
        <f t="shared" si="62"/>
        <v>3.9333333333333331</v>
      </c>
      <c r="AE25" s="298" t="s">
        <v>413</v>
      </c>
      <c r="AF25" s="313">
        <f t="shared" si="63"/>
        <v>0.93785320622293622</v>
      </c>
      <c r="AG25" s="429" t="s">
        <v>1020</v>
      </c>
      <c r="AH25" s="313">
        <f t="shared" si="55"/>
        <v>9.6603569506993541</v>
      </c>
      <c r="AI25" s="429" t="s">
        <v>1020</v>
      </c>
      <c r="AJ25" s="298" t="s">
        <v>700</v>
      </c>
      <c r="AK25" s="298" t="s">
        <v>703</v>
      </c>
      <c r="AL25" s="298" t="s">
        <v>705</v>
      </c>
      <c r="AM25" s="298">
        <f>3*71+2*2*129</f>
        <v>729</v>
      </c>
      <c r="AN25" s="306">
        <f t="shared" si="11"/>
        <v>1.8984375000000002E-3</v>
      </c>
      <c r="AO25" s="311">
        <f t="shared" si="64"/>
        <v>245.25</v>
      </c>
      <c r="AP25" s="306">
        <f t="shared" si="56"/>
        <v>0.46559179687500002</v>
      </c>
      <c r="AQ25" s="298">
        <v>1400</v>
      </c>
      <c r="AR25" s="298" t="s">
        <v>413</v>
      </c>
      <c r="AS25" s="298">
        <v>0</v>
      </c>
      <c r="AT25" s="298" t="s">
        <v>710</v>
      </c>
      <c r="AU25" s="328">
        <f t="shared" si="65"/>
        <v>9.8174770424681039</v>
      </c>
      <c r="AV25" s="328">
        <f t="shared" si="57"/>
        <v>9.8174770424681039</v>
      </c>
      <c r="AW25" s="312">
        <f t="shared" si="58"/>
        <v>9.8174770424681039</v>
      </c>
      <c r="AX25" s="306">
        <f t="shared" si="51"/>
        <v>3.2724923474893676E-4</v>
      </c>
      <c r="AY25" s="311">
        <f t="shared" si="66"/>
        <v>245.25</v>
      </c>
      <c r="AZ25" s="306">
        <f t="shared" si="59"/>
        <v>8.0257874822176736E-2</v>
      </c>
      <c r="BA25" s="298">
        <v>200</v>
      </c>
      <c r="BB25" s="356">
        <v>0</v>
      </c>
      <c r="BC25" s="327">
        <f t="shared" si="13"/>
        <v>0</v>
      </c>
      <c r="BD25" s="313" t="e">
        <f t="shared" si="33"/>
        <v>#VALUE!</v>
      </c>
      <c r="BE25" s="327">
        <f t="shared" si="14"/>
        <v>0</v>
      </c>
      <c r="BF25" s="298" t="s">
        <v>413</v>
      </c>
      <c r="BG25" s="356">
        <f>12.7*9.81</f>
        <v>124.587</v>
      </c>
      <c r="BH25" s="311">
        <f t="shared" si="67"/>
        <v>124.587</v>
      </c>
      <c r="BI25" s="373">
        <v>0.94430000000000003</v>
      </c>
      <c r="BJ25" s="298">
        <f t="shared" si="15"/>
        <v>1</v>
      </c>
      <c r="BK25" s="360">
        <f t="shared" si="16"/>
        <v>1</v>
      </c>
      <c r="BL25" s="311">
        <f t="shared" si="35"/>
        <v>117.64750410000001</v>
      </c>
      <c r="BM25" s="309">
        <f t="shared" si="17"/>
        <v>0.24509896687499999</v>
      </c>
      <c r="BN25" s="309">
        <f t="shared" si="18"/>
        <v>0.3390124891219779</v>
      </c>
      <c r="BO25" s="376"/>
      <c r="BP25" s="328" t="e">
        <f t="shared" si="36"/>
        <v>#VALUE!</v>
      </c>
      <c r="BQ25" s="328">
        <f t="shared" si="19"/>
        <v>8.0257874822176736E-2</v>
      </c>
      <c r="BR25" s="328">
        <f t="shared" si="49"/>
        <v>0.16447981645295556</v>
      </c>
      <c r="BS25" s="328" t="e">
        <f t="shared" si="37"/>
        <v>#VALUE!</v>
      </c>
      <c r="BT25" s="328">
        <f t="shared" si="38"/>
        <v>0</v>
      </c>
      <c r="BU25" s="376"/>
      <c r="BV25" s="328">
        <f t="shared" si="21"/>
        <v>0.5</v>
      </c>
      <c r="BW25" s="328">
        <f t="shared" si="22"/>
        <v>1</v>
      </c>
      <c r="BX25" s="373" t="e">
        <f t="shared" si="39"/>
        <v>#VALUE!</v>
      </c>
      <c r="BY25" s="311" t="e">
        <f t="shared" si="23"/>
        <v>#VALUE!</v>
      </c>
      <c r="BZ25" s="311">
        <f t="shared" si="24"/>
        <v>18491.414359029524</v>
      </c>
      <c r="CA25" s="311" t="e">
        <f t="shared" si="40"/>
        <v>#VALUE!</v>
      </c>
      <c r="CB25" s="307" t="e">
        <f t="shared" si="41"/>
        <v>#VALUE!</v>
      </c>
      <c r="CC25" s="309"/>
      <c r="CD25" s="379"/>
    </row>
    <row r="26" spans="1:82" x14ac:dyDescent="0.25">
      <c r="A26" s="305">
        <v>18</v>
      </c>
      <c r="B26" s="298" t="s">
        <v>611</v>
      </c>
      <c r="C26" s="298" t="s">
        <v>683</v>
      </c>
      <c r="D26" s="298" t="s">
        <v>598</v>
      </c>
      <c r="E26" s="343" t="s">
        <v>668</v>
      </c>
      <c r="F26" s="298" t="s">
        <v>484</v>
      </c>
      <c r="G26" s="311">
        <v>2650</v>
      </c>
      <c r="H26" s="311">
        <f t="shared" si="0"/>
        <v>2650</v>
      </c>
      <c r="I26" s="311">
        <v>3200</v>
      </c>
      <c r="J26" s="306">
        <f t="shared" si="52"/>
        <v>8480000</v>
      </c>
      <c r="K26" s="311">
        <v>150</v>
      </c>
      <c r="L26" s="327">
        <f t="shared" si="53"/>
        <v>2560</v>
      </c>
      <c r="M26" s="309">
        <f t="shared" si="54"/>
        <v>0.828125</v>
      </c>
      <c r="N26" s="309">
        <f t="shared" si="29"/>
        <v>0.828125</v>
      </c>
      <c r="O26" s="309">
        <f t="shared" si="4"/>
        <v>0.828125</v>
      </c>
      <c r="P26" s="306">
        <f>(8*390/2*K26)+(I26-7*390/2)*(25.4)*2</f>
        <v>327218</v>
      </c>
      <c r="Q26" s="306">
        <f t="shared" si="5"/>
        <v>480000</v>
      </c>
      <c r="R26" s="309">
        <f t="shared" si="6"/>
        <v>0.68170416666666667</v>
      </c>
      <c r="S26" s="295">
        <v>800</v>
      </c>
      <c r="T26" s="312">
        <f t="shared" si="60"/>
        <v>2650</v>
      </c>
      <c r="U26" s="298" t="s">
        <v>413</v>
      </c>
      <c r="V26" s="307">
        <f>218*9.81/100</f>
        <v>21.3858</v>
      </c>
      <c r="W26" s="387">
        <f t="shared" si="30"/>
        <v>21.3858</v>
      </c>
      <c r="X26" s="307">
        <f>248*9.81/100</f>
        <v>24.328800000000001</v>
      </c>
      <c r="Y26" s="387">
        <f t="shared" si="31"/>
        <v>24.328800000000001</v>
      </c>
      <c r="Z26" s="373" t="s">
        <v>413</v>
      </c>
      <c r="AA26" s="429" t="s">
        <v>1020</v>
      </c>
      <c r="AB26" s="307">
        <f t="shared" si="61"/>
        <v>10.3005</v>
      </c>
      <c r="AC26" s="336">
        <v>3</v>
      </c>
      <c r="AD26" s="354">
        <f t="shared" si="62"/>
        <v>3.9333333333333331</v>
      </c>
      <c r="AE26" s="298" t="s">
        <v>413</v>
      </c>
      <c r="AF26" s="313">
        <f t="shared" si="63"/>
        <v>0.93785320622293622</v>
      </c>
      <c r="AG26" s="429" t="s">
        <v>1020</v>
      </c>
      <c r="AH26" s="313">
        <f t="shared" si="55"/>
        <v>9.6603569506993541</v>
      </c>
      <c r="AI26" s="429" t="s">
        <v>1020</v>
      </c>
      <c r="AJ26" s="298" t="s">
        <v>699</v>
      </c>
      <c r="AK26" s="298" t="s">
        <v>702</v>
      </c>
      <c r="AL26" s="298" t="s">
        <v>705</v>
      </c>
      <c r="AM26" s="298">
        <f>3*71+2*4*129</f>
        <v>1245</v>
      </c>
      <c r="AN26" s="306">
        <f t="shared" si="11"/>
        <v>3.2421875000000003E-3</v>
      </c>
      <c r="AO26" s="311">
        <f t="shared" si="64"/>
        <v>245.25</v>
      </c>
      <c r="AP26" s="306">
        <f t="shared" si="56"/>
        <v>0.79514648437500002</v>
      </c>
      <c r="AQ26" s="298">
        <v>800</v>
      </c>
      <c r="AR26" s="298" t="s">
        <v>413</v>
      </c>
      <c r="AS26" s="298">
        <v>0</v>
      </c>
      <c r="AT26" s="298" t="s">
        <v>413</v>
      </c>
      <c r="AU26" s="328">
        <v>0</v>
      </c>
      <c r="AV26" s="311">
        <f t="shared" si="57"/>
        <v>0</v>
      </c>
      <c r="AW26" s="312">
        <f t="shared" si="58"/>
        <v>0</v>
      </c>
      <c r="AX26" s="306">
        <v>0</v>
      </c>
      <c r="AY26" s="311">
        <f t="shared" si="66"/>
        <v>245.25</v>
      </c>
      <c r="AZ26" s="306">
        <f t="shared" si="59"/>
        <v>0</v>
      </c>
      <c r="BA26" s="298">
        <v>0</v>
      </c>
      <c r="BB26" s="357">
        <v>98.1</v>
      </c>
      <c r="BC26" s="309">
        <f t="shared" si="13"/>
        <v>0.204375</v>
      </c>
      <c r="BD26" s="313" t="e">
        <f t="shared" si="33"/>
        <v>#VALUE!</v>
      </c>
      <c r="BE26" s="309">
        <f t="shared" si="14"/>
        <v>0.29980013324450366</v>
      </c>
      <c r="BF26" s="298" t="s">
        <v>413</v>
      </c>
      <c r="BG26" s="356">
        <f>27*9.81</f>
        <v>264.87</v>
      </c>
      <c r="BH26" s="311">
        <f t="shared" si="67"/>
        <v>264.87</v>
      </c>
      <c r="BI26" s="373">
        <v>0.94430000000000003</v>
      </c>
      <c r="BJ26" s="298">
        <f t="shared" si="15"/>
        <v>1</v>
      </c>
      <c r="BK26" s="360">
        <f t="shared" si="16"/>
        <v>1</v>
      </c>
      <c r="BL26" s="311">
        <f t="shared" si="35"/>
        <v>250.11674100000002</v>
      </c>
      <c r="BM26" s="309">
        <f t="shared" si="17"/>
        <v>0.52107654375000012</v>
      </c>
      <c r="BN26" s="309">
        <f t="shared" si="18"/>
        <v>0.76437341772151912</v>
      </c>
      <c r="BO26" s="376"/>
      <c r="BP26" s="328" t="e">
        <f t="shared" si="36"/>
        <v>#VALUE!</v>
      </c>
      <c r="BQ26" s="328">
        <f t="shared" si="19"/>
        <v>0</v>
      </c>
      <c r="BR26" s="328">
        <f t="shared" si="49"/>
        <v>0.25043958715846243</v>
      </c>
      <c r="BS26" s="328" t="e">
        <f t="shared" si="37"/>
        <v>#VALUE!</v>
      </c>
      <c r="BT26" s="328">
        <f t="shared" si="38"/>
        <v>0.204375</v>
      </c>
      <c r="BU26" s="376"/>
      <c r="BV26" s="328">
        <f t="shared" si="21"/>
        <v>0.5</v>
      </c>
      <c r="BW26" s="328">
        <f t="shared" si="22"/>
        <v>1</v>
      </c>
      <c r="BX26" s="373" t="e">
        <f t="shared" si="39"/>
        <v>#VALUE!</v>
      </c>
      <c r="BY26" s="311" t="e">
        <f t="shared" si="23"/>
        <v>#VALUE!</v>
      </c>
      <c r="BZ26" s="311">
        <f t="shared" si="24"/>
        <v>0</v>
      </c>
      <c r="CA26" s="311" t="e">
        <f t="shared" si="40"/>
        <v>#VALUE!</v>
      </c>
      <c r="CB26" s="307" t="e">
        <f t="shared" si="41"/>
        <v>#VALUE!</v>
      </c>
      <c r="CC26" s="309"/>
      <c r="CD26" s="379"/>
    </row>
    <row r="27" spans="1:82" x14ac:dyDescent="0.25">
      <c r="A27" s="305">
        <v>19</v>
      </c>
      <c r="B27" s="298" t="s">
        <v>611</v>
      </c>
      <c r="C27" s="298" t="s">
        <v>684</v>
      </c>
      <c r="D27" s="298" t="s">
        <v>598</v>
      </c>
      <c r="E27" s="343" t="s">
        <v>668</v>
      </c>
      <c r="F27" s="298" t="s">
        <v>484</v>
      </c>
      <c r="G27" s="311">
        <v>2650</v>
      </c>
      <c r="H27" s="311">
        <f t="shared" si="0"/>
        <v>2650</v>
      </c>
      <c r="I27" s="311">
        <v>3200</v>
      </c>
      <c r="J27" s="306">
        <f t="shared" si="52"/>
        <v>8480000</v>
      </c>
      <c r="K27" s="311">
        <v>150</v>
      </c>
      <c r="L27" s="327">
        <f t="shared" si="53"/>
        <v>2560</v>
      </c>
      <c r="M27" s="309">
        <f t="shared" si="54"/>
        <v>0.828125</v>
      </c>
      <c r="N27" s="309">
        <f t="shared" si="29"/>
        <v>0.828125</v>
      </c>
      <c r="O27" s="309">
        <f t="shared" si="4"/>
        <v>0.828125</v>
      </c>
      <c r="P27" s="306">
        <f>(8*390/2*K27)+(I27-5*390/2)*(25.4)*2</f>
        <v>347030</v>
      </c>
      <c r="Q27" s="306">
        <f t="shared" si="5"/>
        <v>480000</v>
      </c>
      <c r="R27" s="309">
        <f t="shared" si="6"/>
        <v>0.72297916666666662</v>
      </c>
      <c r="S27" s="295">
        <v>1400</v>
      </c>
      <c r="T27" s="312">
        <f t="shared" si="60"/>
        <v>2650</v>
      </c>
      <c r="U27" s="298" t="s">
        <v>413</v>
      </c>
      <c r="V27" s="307">
        <f>224*9.81/100</f>
        <v>21.974399999999999</v>
      </c>
      <c r="W27" s="387">
        <f t="shared" si="30"/>
        <v>21.974399999999999</v>
      </c>
      <c r="X27" s="307">
        <f>329*9.81/100</f>
        <v>32.274900000000002</v>
      </c>
      <c r="Y27" s="387">
        <f t="shared" si="31"/>
        <v>32.274900000000002</v>
      </c>
      <c r="Z27" s="373" t="s">
        <v>413</v>
      </c>
      <c r="AA27" s="429" t="s">
        <v>1020</v>
      </c>
      <c r="AB27" s="307">
        <f t="shared" si="61"/>
        <v>10.3005</v>
      </c>
      <c r="AC27" s="336">
        <v>3</v>
      </c>
      <c r="AD27" s="354">
        <f t="shared" si="62"/>
        <v>3.9333333333333331</v>
      </c>
      <c r="AE27" s="298" t="s">
        <v>413</v>
      </c>
      <c r="AF27" s="313">
        <f t="shared" si="63"/>
        <v>0.93785320622293622</v>
      </c>
      <c r="AG27" s="429" t="s">
        <v>1020</v>
      </c>
      <c r="AH27" s="313">
        <f t="shared" si="55"/>
        <v>9.6603569506993541</v>
      </c>
      <c r="AI27" s="429" t="s">
        <v>1020</v>
      </c>
      <c r="AJ27" s="298" t="s">
        <v>700</v>
      </c>
      <c r="AK27" s="298" t="s">
        <v>703</v>
      </c>
      <c r="AL27" s="298" t="s">
        <v>705</v>
      </c>
      <c r="AM27" s="298">
        <f>3*71+2*2*129</f>
        <v>729</v>
      </c>
      <c r="AN27" s="306">
        <f t="shared" si="11"/>
        <v>1.8984375000000002E-3</v>
      </c>
      <c r="AO27" s="311">
        <f t="shared" si="64"/>
        <v>245.25</v>
      </c>
      <c r="AP27" s="306">
        <f t="shared" si="56"/>
        <v>0.46559179687500002</v>
      </c>
      <c r="AQ27" s="298">
        <v>1400</v>
      </c>
      <c r="AR27" s="298" t="s">
        <v>413</v>
      </c>
      <c r="AS27" s="298">
        <v>0</v>
      </c>
      <c r="AT27" s="298" t="s">
        <v>413</v>
      </c>
      <c r="AU27" s="328">
        <v>0</v>
      </c>
      <c r="AV27" s="311">
        <f t="shared" si="57"/>
        <v>0</v>
      </c>
      <c r="AW27" s="312">
        <f t="shared" si="58"/>
        <v>0</v>
      </c>
      <c r="AX27" s="306">
        <v>0</v>
      </c>
      <c r="AY27" s="311">
        <f t="shared" si="66"/>
        <v>245.25</v>
      </c>
      <c r="AZ27" s="306">
        <f t="shared" si="59"/>
        <v>0</v>
      </c>
      <c r="BA27" s="298">
        <v>0</v>
      </c>
      <c r="BB27" s="356">
        <v>0</v>
      </c>
      <c r="BC27" s="327">
        <f t="shared" si="13"/>
        <v>0</v>
      </c>
      <c r="BD27" s="313" t="e">
        <f t="shared" si="33"/>
        <v>#VALUE!</v>
      </c>
      <c r="BE27" s="327">
        <f t="shared" si="14"/>
        <v>0</v>
      </c>
      <c r="BF27" s="298" t="s">
        <v>413</v>
      </c>
      <c r="BG27" s="356">
        <f>9.9*9.81</f>
        <v>97.119000000000014</v>
      </c>
      <c r="BH27" s="311">
        <f t="shared" si="67"/>
        <v>97.119000000000014</v>
      </c>
      <c r="BI27" s="373">
        <v>0.94430000000000003</v>
      </c>
      <c r="BJ27" s="298">
        <f t="shared" si="15"/>
        <v>1</v>
      </c>
      <c r="BK27" s="360">
        <f t="shared" si="16"/>
        <v>1</v>
      </c>
      <c r="BL27" s="311">
        <f t="shared" si="35"/>
        <v>91.709471700000023</v>
      </c>
      <c r="BM27" s="309">
        <f t="shared" si="17"/>
        <v>0.19106139937500005</v>
      </c>
      <c r="BN27" s="309">
        <f t="shared" si="18"/>
        <v>0.26426957813445534</v>
      </c>
      <c r="BO27" s="376"/>
      <c r="BP27" s="328" t="e">
        <f t="shared" si="36"/>
        <v>#VALUE!</v>
      </c>
      <c r="BQ27" s="328">
        <f t="shared" si="19"/>
        <v>0</v>
      </c>
      <c r="BR27" s="328">
        <f t="shared" si="49"/>
        <v>0.16890140593066577</v>
      </c>
      <c r="BS27" s="328" t="e">
        <f t="shared" si="37"/>
        <v>#VALUE!</v>
      </c>
      <c r="BT27" s="328">
        <f t="shared" si="38"/>
        <v>0</v>
      </c>
      <c r="BU27" s="376"/>
      <c r="BV27" s="328">
        <f t="shared" si="21"/>
        <v>0.5</v>
      </c>
      <c r="BW27" s="328">
        <f t="shared" si="22"/>
        <v>1</v>
      </c>
      <c r="BX27" s="373" t="e">
        <f t="shared" si="39"/>
        <v>#VALUE!</v>
      </c>
      <c r="BY27" s="311" t="e">
        <f t="shared" si="23"/>
        <v>#VALUE!</v>
      </c>
      <c r="BZ27" s="311">
        <f t="shared" si="24"/>
        <v>0</v>
      </c>
      <c r="CA27" s="311" t="e">
        <f t="shared" si="40"/>
        <v>#VALUE!</v>
      </c>
      <c r="CB27" s="307" t="e">
        <f t="shared" si="41"/>
        <v>#VALUE!</v>
      </c>
      <c r="CC27" s="309"/>
      <c r="CD27" s="379"/>
    </row>
    <row r="28" spans="1:82" x14ac:dyDescent="0.25">
      <c r="A28" s="305">
        <v>20</v>
      </c>
      <c r="B28" s="298" t="s">
        <v>611</v>
      </c>
      <c r="C28" s="298" t="s">
        <v>685</v>
      </c>
      <c r="D28" s="298" t="s">
        <v>598</v>
      </c>
      <c r="E28" s="343" t="s">
        <v>668</v>
      </c>
      <c r="F28" s="298" t="s">
        <v>484</v>
      </c>
      <c r="G28" s="311">
        <v>2650</v>
      </c>
      <c r="H28" s="311">
        <f t="shared" si="0"/>
        <v>2650</v>
      </c>
      <c r="I28" s="311">
        <v>3200</v>
      </c>
      <c r="J28" s="306">
        <f t="shared" si="52"/>
        <v>8480000</v>
      </c>
      <c r="K28" s="311">
        <v>150</v>
      </c>
      <c r="L28" s="327">
        <f t="shared" si="53"/>
        <v>2560</v>
      </c>
      <c r="M28" s="309">
        <f t="shared" si="54"/>
        <v>0.828125</v>
      </c>
      <c r="N28" s="309">
        <f t="shared" si="29"/>
        <v>0.828125</v>
      </c>
      <c r="O28" s="309">
        <f t="shared" si="4"/>
        <v>0.828125</v>
      </c>
      <c r="P28" s="306">
        <f>(8*390/2*K28)+(I28-7*390/2)*(25.4)*2</f>
        <v>327218</v>
      </c>
      <c r="Q28" s="306">
        <f t="shared" si="5"/>
        <v>480000</v>
      </c>
      <c r="R28" s="309">
        <f t="shared" si="6"/>
        <v>0.68170416666666667</v>
      </c>
      <c r="S28" s="295">
        <v>800</v>
      </c>
      <c r="T28" s="312">
        <f t="shared" si="60"/>
        <v>2650</v>
      </c>
      <c r="U28" s="298" t="s">
        <v>413</v>
      </c>
      <c r="V28" s="307">
        <f>164*9.81/100</f>
        <v>16.0884</v>
      </c>
      <c r="W28" s="387">
        <f t="shared" si="30"/>
        <v>16.0884</v>
      </c>
      <c r="X28" s="307">
        <f>214*9.81/100</f>
        <v>20.993400000000001</v>
      </c>
      <c r="Y28" s="387">
        <f t="shared" si="31"/>
        <v>20.993400000000001</v>
      </c>
      <c r="Z28" s="373" t="s">
        <v>413</v>
      </c>
      <c r="AA28" s="429" t="s">
        <v>1020</v>
      </c>
      <c r="AB28" s="307">
        <f t="shared" si="61"/>
        <v>10.3005</v>
      </c>
      <c r="AC28" s="336">
        <v>3</v>
      </c>
      <c r="AD28" s="354">
        <f t="shared" si="62"/>
        <v>3.9333333333333331</v>
      </c>
      <c r="AE28" s="298" t="s">
        <v>413</v>
      </c>
      <c r="AF28" s="313">
        <f t="shared" si="63"/>
        <v>0.93785320622293622</v>
      </c>
      <c r="AG28" s="429" t="s">
        <v>1020</v>
      </c>
      <c r="AH28" s="313">
        <f t="shared" si="55"/>
        <v>9.6603569506993541</v>
      </c>
      <c r="AI28" s="429" t="s">
        <v>1020</v>
      </c>
      <c r="AJ28" s="298" t="s">
        <v>699</v>
      </c>
      <c r="AK28" s="298" t="s">
        <v>702</v>
      </c>
      <c r="AL28" s="298" t="s">
        <v>705</v>
      </c>
      <c r="AM28" s="298">
        <f t="shared" ref="AM28:AM30" si="68">3*71+2*4*129</f>
        <v>1245</v>
      </c>
      <c r="AN28" s="306">
        <f t="shared" si="11"/>
        <v>3.2421875000000003E-3</v>
      </c>
      <c r="AO28" s="311">
        <f t="shared" si="64"/>
        <v>245.25</v>
      </c>
      <c r="AP28" s="306">
        <f t="shared" si="56"/>
        <v>0.79514648437500002</v>
      </c>
      <c r="AQ28" s="298">
        <v>800</v>
      </c>
      <c r="AR28" s="298" t="s">
        <v>413</v>
      </c>
      <c r="AS28" s="298">
        <v>0</v>
      </c>
      <c r="AT28" s="298" t="s">
        <v>710</v>
      </c>
      <c r="AU28" s="328">
        <f t="shared" si="65"/>
        <v>9.8174770424681039</v>
      </c>
      <c r="AV28" s="328">
        <f t="shared" si="57"/>
        <v>9.8174770424681039</v>
      </c>
      <c r="AW28" s="312">
        <f t="shared" si="58"/>
        <v>9.8174770424681039</v>
      </c>
      <c r="AX28" s="306">
        <f>AV28/BA28/K28</f>
        <v>3.2724923474893676E-4</v>
      </c>
      <c r="AY28" s="311">
        <f t="shared" si="66"/>
        <v>245.25</v>
      </c>
      <c r="AZ28" s="306">
        <f t="shared" si="59"/>
        <v>8.0257874822176736E-2</v>
      </c>
      <c r="BA28" s="298">
        <v>200</v>
      </c>
      <c r="BB28" s="356">
        <v>196</v>
      </c>
      <c r="BC28" s="309">
        <f t="shared" si="13"/>
        <v>0.40833333333333338</v>
      </c>
      <c r="BD28" s="313" t="e">
        <f t="shared" si="33"/>
        <v>#VALUE!</v>
      </c>
      <c r="BE28" s="309">
        <f t="shared" si="14"/>
        <v>0.59898905316944673</v>
      </c>
      <c r="BF28" s="298" t="s">
        <v>413</v>
      </c>
      <c r="BG28" s="356">
        <f>28.3*9.81</f>
        <v>277.62300000000005</v>
      </c>
      <c r="BH28" s="311">
        <f t="shared" si="67"/>
        <v>277.62300000000005</v>
      </c>
      <c r="BI28" s="373">
        <v>0.94430000000000003</v>
      </c>
      <c r="BJ28" s="298">
        <f t="shared" si="15"/>
        <v>1</v>
      </c>
      <c r="BK28" s="360">
        <f t="shared" si="16"/>
        <v>1</v>
      </c>
      <c r="BL28" s="311">
        <f t="shared" si="35"/>
        <v>262.15939890000004</v>
      </c>
      <c r="BM28" s="309">
        <f t="shared" si="17"/>
        <v>0.5461654143750001</v>
      </c>
      <c r="BN28" s="309">
        <f t="shared" si="18"/>
        <v>0.8011765822784811</v>
      </c>
      <c r="BO28" s="376"/>
      <c r="BP28" s="328" t="e">
        <f t="shared" si="36"/>
        <v>#VALUE!</v>
      </c>
      <c r="BQ28" s="328">
        <f t="shared" si="19"/>
        <v>8.0257874822176736E-2</v>
      </c>
      <c r="BR28" s="328">
        <f t="shared" si="49"/>
        <v>0.23263980516272736</v>
      </c>
      <c r="BS28" s="328" t="e">
        <f t="shared" si="37"/>
        <v>#VALUE!</v>
      </c>
      <c r="BT28" s="328">
        <f t="shared" si="38"/>
        <v>0.40833333333333338</v>
      </c>
      <c r="BU28" s="376"/>
      <c r="BV28" s="328">
        <f t="shared" si="21"/>
        <v>0.5</v>
      </c>
      <c r="BW28" s="328">
        <f t="shared" si="22"/>
        <v>1</v>
      </c>
      <c r="BX28" s="373" t="e">
        <f t="shared" si="39"/>
        <v>#VALUE!</v>
      </c>
      <c r="BY28" s="311" t="e">
        <f t="shared" si="23"/>
        <v>#VALUE!</v>
      </c>
      <c r="BZ28" s="311">
        <f t="shared" si="24"/>
        <v>18491.414359029524</v>
      </c>
      <c r="CA28" s="311" t="e">
        <f t="shared" si="40"/>
        <v>#VALUE!</v>
      </c>
      <c r="CB28" s="307" t="e">
        <f t="shared" si="41"/>
        <v>#VALUE!</v>
      </c>
      <c r="CC28" s="309"/>
      <c r="CD28" s="379"/>
    </row>
    <row r="29" spans="1:82" x14ac:dyDescent="0.25">
      <c r="A29" s="305">
        <v>21</v>
      </c>
      <c r="B29" s="298" t="s">
        <v>611</v>
      </c>
      <c r="C29" s="298" t="s">
        <v>686</v>
      </c>
      <c r="D29" s="298" t="s">
        <v>598</v>
      </c>
      <c r="E29" s="343" t="s">
        <v>668</v>
      </c>
      <c r="F29" s="298" t="s">
        <v>484</v>
      </c>
      <c r="G29" s="311">
        <v>2650</v>
      </c>
      <c r="H29" s="311">
        <f t="shared" si="0"/>
        <v>2650</v>
      </c>
      <c r="I29" s="311">
        <v>3200</v>
      </c>
      <c r="J29" s="306">
        <f t="shared" si="52"/>
        <v>8480000</v>
      </c>
      <c r="K29" s="311">
        <v>150</v>
      </c>
      <c r="L29" s="327">
        <f t="shared" si="53"/>
        <v>2560</v>
      </c>
      <c r="M29" s="309">
        <f t="shared" si="54"/>
        <v>0.828125</v>
      </c>
      <c r="N29" s="309">
        <f t="shared" si="29"/>
        <v>0.828125</v>
      </c>
      <c r="O29" s="309">
        <f t="shared" si="4"/>
        <v>0.828125</v>
      </c>
      <c r="P29" s="306">
        <f>(8*390/2*K29)+(I29-7*390/2)*(25.4)*2</f>
        <v>327218</v>
      </c>
      <c r="Q29" s="306">
        <f t="shared" si="5"/>
        <v>480000</v>
      </c>
      <c r="R29" s="309">
        <f t="shared" si="6"/>
        <v>0.68170416666666667</v>
      </c>
      <c r="S29" s="295">
        <v>800</v>
      </c>
      <c r="T29" s="312">
        <f t="shared" si="60"/>
        <v>2650</v>
      </c>
      <c r="U29" s="298" t="s">
        <v>413</v>
      </c>
      <c r="V29" s="307">
        <f>219*9.81/100</f>
        <v>21.483900000000002</v>
      </c>
      <c r="W29" s="387">
        <f t="shared" si="30"/>
        <v>21.483900000000002</v>
      </c>
      <c r="X29" s="307">
        <f>232*9.81/100</f>
        <v>22.7592</v>
      </c>
      <c r="Y29" s="387">
        <f t="shared" si="31"/>
        <v>22.7592</v>
      </c>
      <c r="Z29" s="373" t="s">
        <v>413</v>
      </c>
      <c r="AA29" s="429" t="s">
        <v>1020</v>
      </c>
      <c r="AB29" s="307">
        <f t="shared" si="61"/>
        <v>10.3005</v>
      </c>
      <c r="AC29" s="336">
        <v>3</v>
      </c>
      <c r="AD29" s="354">
        <f t="shared" si="62"/>
        <v>3.9333333333333331</v>
      </c>
      <c r="AE29" s="298" t="s">
        <v>413</v>
      </c>
      <c r="AF29" s="313">
        <f t="shared" si="63"/>
        <v>0.93785320622293622</v>
      </c>
      <c r="AG29" s="429" t="s">
        <v>1020</v>
      </c>
      <c r="AH29" s="313">
        <f t="shared" si="55"/>
        <v>9.6603569506993541</v>
      </c>
      <c r="AI29" s="429" t="s">
        <v>1020</v>
      </c>
      <c r="AJ29" s="298" t="s">
        <v>699</v>
      </c>
      <c r="AK29" s="298" t="s">
        <v>704</v>
      </c>
      <c r="AL29" s="298" t="s">
        <v>705</v>
      </c>
      <c r="AM29" s="298">
        <f t="shared" si="68"/>
        <v>1245</v>
      </c>
      <c r="AN29" s="306">
        <f t="shared" si="11"/>
        <v>3.2421875000000003E-3</v>
      </c>
      <c r="AO29" s="311">
        <f t="shared" si="64"/>
        <v>245.25</v>
      </c>
      <c r="AP29" s="306">
        <f t="shared" si="56"/>
        <v>0.79514648437500002</v>
      </c>
      <c r="AQ29" s="298">
        <v>800</v>
      </c>
      <c r="AR29" s="298" t="s">
        <v>413</v>
      </c>
      <c r="AS29" s="298">
        <v>0</v>
      </c>
      <c r="AT29" s="298" t="s">
        <v>710</v>
      </c>
      <c r="AU29" s="328">
        <f t="shared" si="65"/>
        <v>9.8174770424681039</v>
      </c>
      <c r="AV29" s="328">
        <f t="shared" si="57"/>
        <v>9.8174770424681039</v>
      </c>
      <c r="AW29" s="312">
        <f t="shared" si="58"/>
        <v>9.8174770424681039</v>
      </c>
      <c r="AX29" s="306">
        <f>AV29/BA29/K29</f>
        <v>3.2724923474893676E-4</v>
      </c>
      <c r="AY29" s="311">
        <f t="shared" si="66"/>
        <v>245.25</v>
      </c>
      <c r="AZ29" s="306">
        <f t="shared" si="59"/>
        <v>8.0257874822176736E-2</v>
      </c>
      <c r="BA29" s="298">
        <v>200</v>
      </c>
      <c r="BB29" s="356">
        <v>0</v>
      </c>
      <c r="BC29" s="327">
        <f t="shared" si="13"/>
        <v>0</v>
      </c>
      <c r="BD29" s="313" t="e">
        <f t="shared" si="33"/>
        <v>#VALUE!</v>
      </c>
      <c r="BE29" s="327">
        <f t="shared" si="14"/>
        <v>0</v>
      </c>
      <c r="BF29" s="298" t="s">
        <v>413</v>
      </c>
      <c r="BG29" s="356">
        <f>26*9.81</f>
        <v>255.06</v>
      </c>
      <c r="BH29" s="311">
        <f>BG29</f>
        <v>255.06</v>
      </c>
      <c r="BI29" s="373">
        <v>0.94430000000000003</v>
      </c>
      <c r="BJ29" s="298">
        <f t="shared" si="15"/>
        <v>1</v>
      </c>
      <c r="BK29" s="360">
        <f t="shared" si="16"/>
        <v>1</v>
      </c>
      <c r="BL29" s="311">
        <f t="shared" si="35"/>
        <v>240.85315800000001</v>
      </c>
      <c r="BM29" s="309">
        <f t="shared" si="17"/>
        <v>0.50177741249999996</v>
      </c>
      <c r="BN29" s="309">
        <f t="shared" si="18"/>
        <v>0.73606329113924052</v>
      </c>
      <c r="BO29" s="376"/>
      <c r="BP29" s="328" t="e">
        <f t="shared" si="36"/>
        <v>#VALUE!</v>
      </c>
      <c r="BQ29" s="328">
        <f t="shared" si="19"/>
        <v>8.0257874822176736E-2</v>
      </c>
      <c r="BR29" s="328">
        <f t="shared" si="49"/>
        <v>0.24222620843701445</v>
      </c>
      <c r="BS29" s="328" t="e">
        <f t="shared" si="37"/>
        <v>#VALUE!</v>
      </c>
      <c r="BT29" s="328">
        <f t="shared" si="38"/>
        <v>0</v>
      </c>
      <c r="BU29" s="376"/>
      <c r="BV29" s="328">
        <f t="shared" si="21"/>
        <v>0.5</v>
      </c>
      <c r="BW29" s="328">
        <f t="shared" si="22"/>
        <v>1</v>
      </c>
      <c r="BX29" s="373" t="e">
        <f t="shared" si="39"/>
        <v>#VALUE!</v>
      </c>
      <c r="BY29" s="311" t="e">
        <f t="shared" si="23"/>
        <v>#VALUE!</v>
      </c>
      <c r="BZ29" s="311">
        <f t="shared" si="24"/>
        <v>18491.414359029524</v>
      </c>
      <c r="CA29" s="311" t="e">
        <f t="shared" si="40"/>
        <v>#VALUE!</v>
      </c>
      <c r="CB29" s="307" t="e">
        <f t="shared" si="41"/>
        <v>#VALUE!</v>
      </c>
      <c r="CC29" s="309"/>
      <c r="CD29" s="379"/>
    </row>
    <row r="30" spans="1:82" x14ac:dyDescent="0.25">
      <c r="A30" s="315">
        <v>22</v>
      </c>
      <c r="B30" s="315" t="s">
        <v>611</v>
      </c>
      <c r="C30" s="315" t="s">
        <v>687</v>
      </c>
      <c r="D30" s="315" t="s">
        <v>598</v>
      </c>
      <c r="E30" s="341" t="s">
        <v>668</v>
      </c>
      <c r="F30" s="315" t="s">
        <v>484</v>
      </c>
      <c r="G30" s="321">
        <v>2650</v>
      </c>
      <c r="H30" s="321">
        <f t="shared" si="0"/>
        <v>2650</v>
      </c>
      <c r="I30" s="321">
        <v>3200</v>
      </c>
      <c r="J30" s="316">
        <f t="shared" si="52"/>
        <v>8480000</v>
      </c>
      <c r="K30" s="321">
        <v>150</v>
      </c>
      <c r="L30" s="329">
        <f t="shared" si="53"/>
        <v>2560</v>
      </c>
      <c r="M30" s="319">
        <f t="shared" si="54"/>
        <v>0.828125</v>
      </c>
      <c r="N30" s="319">
        <f t="shared" si="29"/>
        <v>0.828125</v>
      </c>
      <c r="O30" s="319">
        <f t="shared" si="4"/>
        <v>0.828125</v>
      </c>
      <c r="P30" s="316">
        <f>(8*390/2*K30)+(I30-7*390/2)*(25.4)*2</f>
        <v>327218</v>
      </c>
      <c r="Q30" s="316">
        <f t="shared" si="5"/>
        <v>480000</v>
      </c>
      <c r="R30" s="319">
        <f t="shared" si="6"/>
        <v>0.68170416666666667</v>
      </c>
      <c r="S30" s="294">
        <v>800</v>
      </c>
      <c r="T30" s="322">
        <f t="shared" si="60"/>
        <v>2650</v>
      </c>
      <c r="U30" s="315" t="s">
        <v>413</v>
      </c>
      <c r="V30" s="317">
        <f>221*9.81/100</f>
        <v>21.680100000000003</v>
      </c>
      <c r="W30" s="387">
        <f t="shared" si="30"/>
        <v>21.680100000000003</v>
      </c>
      <c r="X30" s="317">
        <f>310*9.81/100</f>
        <v>30.411000000000005</v>
      </c>
      <c r="Y30" s="387">
        <f t="shared" si="31"/>
        <v>30.411000000000005</v>
      </c>
      <c r="Z30" s="315" t="s">
        <v>413</v>
      </c>
      <c r="AA30" s="430" t="s">
        <v>1020</v>
      </c>
      <c r="AB30" s="317">
        <f t="shared" si="61"/>
        <v>10.3005</v>
      </c>
      <c r="AC30" s="344">
        <v>3</v>
      </c>
      <c r="AD30" s="355">
        <f t="shared" si="62"/>
        <v>3.9333333333333331</v>
      </c>
      <c r="AE30" s="315" t="s">
        <v>413</v>
      </c>
      <c r="AF30" s="324">
        <f t="shared" si="63"/>
        <v>0.93785320622293622</v>
      </c>
      <c r="AG30" s="430" t="s">
        <v>1020</v>
      </c>
      <c r="AH30" s="324">
        <f t="shared" si="55"/>
        <v>9.6603569506993541</v>
      </c>
      <c r="AI30" s="430" t="s">
        <v>1020</v>
      </c>
      <c r="AJ30" s="315" t="s">
        <v>699</v>
      </c>
      <c r="AK30" s="315" t="s">
        <v>702</v>
      </c>
      <c r="AL30" s="315" t="s">
        <v>705</v>
      </c>
      <c r="AM30" s="315">
        <f t="shared" si="68"/>
        <v>1245</v>
      </c>
      <c r="AN30" s="316">
        <f t="shared" si="11"/>
        <v>3.2421875000000003E-3</v>
      </c>
      <c r="AO30" s="321">
        <f t="shared" si="64"/>
        <v>245.25</v>
      </c>
      <c r="AP30" s="316">
        <f t="shared" si="56"/>
        <v>0.79514648437500002</v>
      </c>
      <c r="AQ30" s="315">
        <v>800</v>
      </c>
      <c r="AR30" s="315" t="s">
        <v>413</v>
      </c>
      <c r="AS30" s="315">
        <v>0</v>
      </c>
      <c r="AT30" s="315" t="s">
        <v>710</v>
      </c>
      <c r="AU30" s="330">
        <f t="shared" si="65"/>
        <v>9.8174770424681039</v>
      </c>
      <c r="AV30" s="330">
        <f t="shared" si="57"/>
        <v>9.8174770424681039</v>
      </c>
      <c r="AW30" s="322">
        <f t="shared" si="58"/>
        <v>9.8174770424681039</v>
      </c>
      <c r="AX30" s="316">
        <f>AV30/BA30/K30</f>
        <v>3.2724923474893676E-4</v>
      </c>
      <c r="AY30" s="321">
        <f t="shared" si="66"/>
        <v>245.25</v>
      </c>
      <c r="AZ30" s="316">
        <f t="shared" si="59"/>
        <v>8.0257874822176736E-2</v>
      </c>
      <c r="BA30" s="315">
        <v>200</v>
      </c>
      <c r="BB30" s="358">
        <v>0</v>
      </c>
      <c r="BC30" s="329">
        <f t="shared" si="13"/>
        <v>0</v>
      </c>
      <c r="BD30" s="324" t="e">
        <f t="shared" si="33"/>
        <v>#VALUE!</v>
      </c>
      <c r="BE30" s="329">
        <f t="shared" si="14"/>
        <v>0</v>
      </c>
      <c r="BF30" s="315" t="s">
        <v>413</v>
      </c>
      <c r="BG30" s="358">
        <f>22*9.81</f>
        <v>215.82000000000002</v>
      </c>
      <c r="BH30" s="321">
        <f>BG30</f>
        <v>215.82000000000002</v>
      </c>
      <c r="BI30" s="315">
        <v>0.94430000000000003</v>
      </c>
      <c r="BJ30" s="315">
        <f t="shared" si="15"/>
        <v>1</v>
      </c>
      <c r="BK30" s="315">
        <f t="shared" si="16"/>
        <v>1</v>
      </c>
      <c r="BL30" s="321">
        <f t="shared" si="35"/>
        <v>203.79882600000002</v>
      </c>
      <c r="BM30" s="319">
        <f t="shared" si="17"/>
        <v>0.42458088750000006</v>
      </c>
      <c r="BN30" s="319">
        <f t="shared" si="18"/>
        <v>0.62282278481012654</v>
      </c>
      <c r="BO30" s="376"/>
      <c r="BP30" s="330" t="e">
        <f t="shared" si="36"/>
        <v>#VALUE!</v>
      </c>
      <c r="BQ30" s="330">
        <f t="shared" si="19"/>
        <v>8.0257874822176736E-2</v>
      </c>
      <c r="BR30" s="330">
        <f t="shared" si="49"/>
        <v>0.27999997057165266</v>
      </c>
      <c r="BS30" s="330" t="e">
        <f t="shared" si="37"/>
        <v>#VALUE!</v>
      </c>
      <c r="BT30" s="330">
        <f t="shared" si="38"/>
        <v>0</v>
      </c>
      <c r="BU30" s="376"/>
      <c r="BV30" s="328">
        <f t="shared" si="21"/>
        <v>0.5</v>
      </c>
      <c r="BW30" s="328">
        <f t="shared" si="22"/>
        <v>1</v>
      </c>
      <c r="BX30" s="373" t="e">
        <f t="shared" si="39"/>
        <v>#VALUE!</v>
      </c>
      <c r="BY30" s="311" t="e">
        <f t="shared" si="23"/>
        <v>#VALUE!</v>
      </c>
      <c r="BZ30" s="311">
        <f t="shared" si="24"/>
        <v>18491.414359029524</v>
      </c>
      <c r="CA30" s="311" t="e">
        <f t="shared" si="40"/>
        <v>#VALUE!</v>
      </c>
      <c r="CB30" s="307" t="e">
        <f t="shared" si="41"/>
        <v>#VALUE!</v>
      </c>
      <c r="CC30" s="309"/>
      <c r="CD30" s="379"/>
    </row>
    <row r="31" spans="1:82" x14ac:dyDescent="0.25">
      <c r="A31" s="305">
        <v>23</v>
      </c>
      <c r="B31" s="298" t="s">
        <v>613</v>
      </c>
      <c r="C31" s="298" t="s">
        <v>688</v>
      </c>
      <c r="D31" s="298" t="s">
        <v>597</v>
      </c>
      <c r="E31" s="343" t="s">
        <v>668</v>
      </c>
      <c r="F31" s="298" t="s">
        <v>484</v>
      </c>
      <c r="G31" s="311">
        <v>2000</v>
      </c>
      <c r="H31" s="311">
        <f t="shared" si="0"/>
        <v>2000</v>
      </c>
      <c r="I31" s="311">
        <v>2000</v>
      </c>
      <c r="J31" s="306">
        <f t="shared" si="52"/>
        <v>4000000</v>
      </c>
      <c r="K31" s="311">
        <v>150</v>
      </c>
      <c r="L31" s="327">
        <f t="shared" si="53"/>
        <v>1600</v>
      </c>
      <c r="M31" s="306">
        <f t="shared" si="54"/>
        <v>1</v>
      </c>
      <c r="N31" s="306">
        <f t="shared" si="29"/>
        <v>1</v>
      </c>
      <c r="O31" s="306">
        <f t="shared" si="4"/>
        <v>1</v>
      </c>
      <c r="P31" s="306">
        <f>(2*390/2*K31)+(I31-2*390/2)*(25.4)*2</f>
        <v>140288</v>
      </c>
      <c r="Q31" s="306">
        <f t="shared" si="5"/>
        <v>300000</v>
      </c>
      <c r="R31" s="309">
        <f t="shared" si="6"/>
        <v>0.46762666666666669</v>
      </c>
      <c r="S31" s="312">
        <f>I31-200</f>
        <v>1800</v>
      </c>
      <c r="T31" s="368">
        <f t="shared" si="60"/>
        <v>2000</v>
      </c>
      <c r="U31" s="307" t="s">
        <v>413</v>
      </c>
      <c r="V31" s="307">
        <f>155*9.81/100</f>
        <v>15.205500000000002</v>
      </c>
      <c r="W31" s="387">
        <f t="shared" si="30"/>
        <v>15.205500000000002</v>
      </c>
      <c r="X31" s="307">
        <f>299*9.81/100</f>
        <v>29.331900000000001</v>
      </c>
      <c r="Y31" s="387">
        <f t="shared" si="31"/>
        <v>29.331900000000001</v>
      </c>
      <c r="Z31" s="307" t="s">
        <v>413</v>
      </c>
      <c r="AA31" s="431" t="s">
        <v>1020</v>
      </c>
      <c r="AB31" s="307">
        <f t="shared" si="61"/>
        <v>10.3005</v>
      </c>
      <c r="AC31" s="336">
        <v>3</v>
      </c>
      <c r="AD31" s="354">
        <f>(190+10+190+10+190)/150</f>
        <v>3.9333333333333331</v>
      </c>
      <c r="AE31" s="298" t="s">
        <v>413</v>
      </c>
      <c r="AF31" s="313">
        <f t="shared" si="63"/>
        <v>0.93785320622293622</v>
      </c>
      <c r="AG31" s="431" t="s">
        <v>1020</v>
      </c>
      <c r="AH31" s="313">
        <f t="shared" si="55"/>
        <v>9.6603569506993541</v>
      </c>
      <c r="AI31" s="431" t="s">
        <v>1020</v>
      </c>
      <c r="AJ31" s="298" t="s">
        <v>413</v>
      </c>
      <c r="AK31" s="298" t="s">
        <v>719</v>
      </c>
      <c r="AL31" s="298">
        <v>200</v>
      </c>
      <c r="AM31" s="298">
        <f>4*200</f>
        <v>800</v>
      </c>
      <c r="AN31" s="306">
        <f t="shared" si="11"/>
        <v>3.3333333333333331E-3</v>
      </c>
      <c r="AO31" s="298">
        <v>392</v>
      </c>
      <c r="AP31" s="306">
        <f t="shared" si="56"/>
        <v>1.3066666666666666</v>
      </c>
      <c r="AQ31" s="298"/>
      <c r="AR31" s="298" t="s">
        <v>413</v>
      </c>
      <c r="AS31" s="298">
        <v>0</v>
      </c>
      <c r="AT31" s="298" t="s">
        <v>413</v>
      </c>
      <c r="AU31" s="298">
        <v>0</v>
      </c>
      <c r="AV31" s="298">
        <v>0</v>
      </c>
      <c r="AW31" s="312">
        <f t="shared" si="58"/>
        <v>0</v>
      </c>
      <c r="AX31" s="298">
        <v>0</v>
      </c>
      <c r="AY31" s="298">
        <v>0</v>
      </c>
      <c r="AZ31" s="298">
        <v>0</v>
      </c>
      <c r="BA31" s="298">
        <v>0</v>
      </c>
      <c r="BB31" s="298">
        <v>0</v>
      </c>
      <c r="BC31" s="309">
        <f t="shared" si="13"/>
        <v>0</v>
      </c>
      <c r="BD31" s="313" t="e">
        <f t="shared" si="33"/>
        <v>#VALUE!</v>
      </c>
      <c r="BE31" s="309">
        <f t="shared" si="14"/>
        <v>0</v>
      </c>
      <c r="BF31" s="305" t="s">
        <v>413</v>
      </c>
      <c r="BG31" s="311">
        <v>161.80000000000001</v>
      </c>
      <c r="BH31" s="311">
        <f t="shared" ref="BH31:BH41" si="69">BG31</f>
        <v>161.80000000000001</v>
      </c>
      <c r="BI31" s="373">
        <v>0.94430000000000003</v>
      </c>
      <c r="BJ31" s="298">
        <f t="shared" si="15"/>
        <v>0.81399999999999995</v>
      </c>
      <c r="BK31" s="360">
        <f t="shared" si="16"/>
        <v>1</v>
      </c>
      <c r="BL31" s="311">
        <f t="shared" si="35"/>
        <v>124.36922036</v>
      </c>
      <c r="BM31" s="309">
        <f t="shared" si="17"/>
        <v>0.41456406786666666</v>
      </c>
      <c r="BN31" s="309">
        <f t="shared" si="18"/>
        <v>0.88652785954607671</v>
      </c>
      <c r="BO31" s="376"/>
      <c r="BP31" s="328" t="e">
        <f t="shared" si="36"/>
        <v>#VALUE!</v>
      </c>
      <c r="BQ31" s="328">
        <f t="shared" si="19"/>
        <v>0</v>
      </c>
      <c r="BR31" s="328">
        <f t="shared" si="49"/>
        <v>0.3574307205599429</v>
      </c>
      <c r="BS31" s="328" t="e">
        <f t="shared" si="37"/>
        <v>#VALUE!</v>
      </c>
      <c r="BT31" s="328">
        <f t="shared" si="38"/>
        <v>0</v>
      </c>
      <c r="BU31" s="376"/>
      <c r="BV31" s="328">
        <f t="shared" si="21"/>
        <v>0.46762666666666669</v>
      </c>
      <c r="BW31" s="328">
        <f t="shared" si="22"/>
        <v>1</v>
      </c>
      <c r="BX31" s="373" t="e">
        <f t="shared" si="39"/>
        <v>#VALUE!</v>
      </c>
      <c r="BY31" s="311" t="e">
        <f t="shared" si="23"/>
        <v>#VALUE!</v>
      </c>
      <c r="BZ31" s="311">
        <f t="shared" si="24"/>
        <v>0</v>
      </c>
      <c r="CA31" s="311" t="e">
        <f t="shared" si="40"/>
        <v>#VALUE!</v>
      </c>
      <c r="CB31" s="307" t="e">
        <f t="shared" si="41"/>
        <v>#VALUE!</v>
      </c>
      <c r="CC31" s="309"/>
      <c r="CD31" s="379"/>
    </row>
    <row r="32" spans="1:82" x14ac:dyDescent="0.25">
      <c r="A32" s="305">
        <v>24</v>
      </c>
      <c r="B32" s="298" t="s">
        <v>613</v>
      </c>
      <c r="C32" s="298" t="s">
        <v>689</v>
      </c>
      <c r="D32" s="298" t="s">
        <v>597</v>
      </c>
      <c r="E32" s="343" t="s">
        <v>668</v>
      </c>
      <c r="F32" s="298" t="s">
        <v>484</v>
      </c>
      <c r="G32" s="311">
        <v>2000</v>
      </c>
      <c r="H32" s="311">
        <f t="shared" si="0"/>
        <v>2000</v>
      </c>
      <c r="I32" s="311">
        <v>2000</v>
      </c>
      <c r="J32" s="306">
        <f t="shared" ref="J32:J41" si="70">I32*G32</f>
        <v>4000000</v>
      </c>
      <c r="K32" s="311">
        <v>150</v>
      </c>
      <c r="L32" s="327">
        <f t="shared" ref="L32:L41" si="71">0.8*I32</f>
        <v>1600</v>
      </c>
      <c r="M32" s="306">
        <f t="shared" ref="M32:M41" si="72">G32/I32</f>
        <v>1</v>
      </c>
      <c r="N32" s="306">
        <f t="shared" si="29"/>
        <v>1</v>
      </c>
      <c r="O32" s="306">
        <f t="shared" si="4"/>
        <v>1</v>
      </c>
      <c r="P32" s="306">
        <f>(2*390/2*K32)+(I32-2*390/2)*(25.4)*2</f>
        <v>140288</v>
      </c>
      <c r="Q32" s="306">
        <f t="shared" si="5"/>
        <v>300000</v>
      </c>
      <c r="R32" s="309">
        <f t="shared" si="6"/>
        <v>0.46762666666666669</v>
      </c>
      <c r="S32" s="312">
        <f>I32-200</f>
        <v>1800</v>
      </c>
      <c r="T32" s="312">
        <f t="shared" si="60"/>
        <v>2000</v>
      </c>
      <c r="U32" s="298" t="s">
        <v>413</v>
      </c>
      <c r="V32" s="307">
        <f>208*9.81/100</f>
        <v>20.404800000000002</v>
      </c>
      <c r="W32" s="387">
        <f t="shared" si="30"/>
        <v>20.404800000000002</v>
      </c>
      <c r="X32" s="307">
        <f>337*9.81/100</f>
        <v>33.059699999999999</v>
      </c>
      <c r="Y32" s="387">
        <f t="shared" si="31"/>
        <v>33.059699999999999</v>
      </c>
      <c r="Z32" s="373" t="s">
        <v>413</v>
      </c>
      <c r="AA32" s="429" t="s">
        <v>1020</v>
      </c>
      <c r="AB32" s="307">
        <f t="shared" si="61"/>
        <v>10.3005</v>
      </c>
      <c r="AC32" s="336">
        <v>3</v>
      </c>
      <c r="AD32" s="354">
        <f t="shared" si="62"/>
        <v>3.9333333333333331</v>
      </c>
      <c r="AE32" s="298" t="s">
        <v>413</v>
      </c>
      <c r="AF32" s="313">
        <f t="shared" si="63"/>
        <v>0.93785320622293622</v>
      </c>
      <c r="AG32" s="429" t="s">
        <v>1020</v>
      </c>
      <c r="AH32" s="313">
        <f t="shared" si="55"/>
        <v>9.6603569506993541</v>
      </c>
      <c r="AI32" s="429" t="s">
        <v>1020</v>
      </c>
      <c r="AJ32" s="298" t="s">
        <v>413</v>
      </c>
      <c r="AK32" s="298" t="s">
        <v>719</v>
      </c>
      <c r="AL32" s="298">
        <v>200</v>
      </c>
      <c r="AM32" s="298">
        <f>4*200</f>
        <v>800</v>
      </c>
      <c r="AN32" s="306">
        <f t="shared" si="11"/>
        <v>3.3333333333333331E-3</v>
      </c>
      <c r="AO32" s="298">
        <v>392</v>
      </c>
      <c r="AP32" s="306">
        <f t="shared" si="56"/>
        <v>1.3066666666666666</v>
      </c>
      <c r="AQ32" s="298"/>
      <c r="AR32" s="298" t="s">
        <v>413</v>
      </c>
      <c r="AS32" s="298">
        <v>0</v>
      </c>
      <c r="AT32" s="298" t="s">
        <v>413</v>
      </c>
      <c r="AU32" s="298">
        <v>0</v>
      </c>
      <c r="AV32" s="298">
        <v>0</v>
      </c>
      <c r="AW32" s="312">
        <f t="shared" si="58"/>
        <v>0</v>
      </c>
      <c r="AX32" s="298">
        <v>0</v>
      </c>
      <c r="AY32" s="298">
        <v>0</v>
      </c>
      <c r="AZ32" s="298">
        <v>0</v>
      </c>
      <c r="BA32" s="298">
        <v>0</v>
      </c>
      <c r="BB32" s="298">
        <v>49</v>
      </c>
      <c r="BC32" s="309">
        <f t="shared" si="13"/>
        <v>0.16333333333333333</v>
      </c>
      <c r="BD32" s="313" t="e">
        <f t="shared" si="33"/>
        <v>#VALUE!</v>
      </c>
      <c r="BE32" s="309">
        <f t="shared" si="14"/>
        <v>0.34928147810218979</v>
      </c>
      <c r="BF32" s="305" t="s">
        <v>413</v>
      </c>
      <c r="BG32" s="311">
        <v>151.19999999999999</v>
      </c>
      <c r="BH32" s="311">
        <f t="shared" si="69"/>
        <v>151.19999999999999</v>
      </c>
      <c r="BI32" s="373">
        <v>0.94430000000000003</v>
      </c>
      <c r="BJ32" s="298">
        <f t="shared" si="15"/>
        <v>0.81399999999999995</v>
      </c>
      <c r="BK32" s="360">
        <f t="shared" si="16"/>
        <v>1</v>
      </c>
      <c r="BL32" s="311">
        <f t="shared" si="35"/>
        <v>116.22142223999998</v>
      </c>
      <c r="BM32" s="309">
        <f t="shared" si="17"/>
        <v>0.38740474079999992</v>
      </c>
      <c r="BN32" s="309">
        <f t="shared" si="18"/>
        <v>0.82844877851277365</v>
      </c>
      <c r="BO32" s="376"/>
      <c r="BP32" s="328" t="e">
        <f t="shared" si="36"/>
        <v>#VALUE!</v>
      </c>
      <c r="BQ32" s="328">
        <f t="shared" si="19"/>
        <v>0</v>
      </c>
      <c r="BR32" s="328">
        <f t="shared" si="49"/>
        <v>0.37946457015115387</v>
      </c>
      <c r="BS32" s="328" t="e">
        <f t="shared" si="37"/>
        <v>#VALUE!</v>
      </c>
      <c r="BT32" s="328">
        <f t="shared" si="38"/>
        <v>0.16333333333333333</v>
      </c>
      <c r="BU32" s="376"/>
      <c r="BV32" s="328">
        <f t="shared" si="21"/>
        <v>0.46762666666666669</v>
      </c>
      <c r="BW32" s="328">
        <f t="shared" si="22"/>
        <v>1</v>
      </c>
      <c r="BX32" s="373" t="e">
        <f t="shared" si="39"/>
        <v>#VALUE!</v>
      </c>
      <c r="BY32" s="311" t="e">
        <f t="shared" si="23"/>
        <v>#VALUE!</v>
      </c>
      <c r="BZ32" s="311">
        <f t="shared" si="24"/>
        <v>0</v>
      </c>
      <c r="CA32" s="311" t="e">
        <f t="shared" si="40"/>
        <v>#VALUE!</v>
      </c>
      <c r="CB32" s="307" t="e">
        <f t="shared" si="41"/>
        <v>#VALUE!</v>
      </c>
      <c r="CC32" s="309"/>
      <c r="CD32" s="379"/>
    </row>
    <row r="33" spans="1:82" x14ac:dyDescent="0.25">
      <c r="A33" s="305">
        <v>25</v>
      </c>
      <c r="B33" s="298" t="s">
        <v>613</v>
      </c>
      <c r="C33" s="298" t="s">
        <v>690</v>
      </c>
      <c r="D33" s="298" t="s">
        <v>597</v>
      </c>
      <c r="E33" s="343" t="s">
        <v>668</v>
      </c>
      <c r="F33" s="298" t="s">
        <v>484</v>
      </c>
      <c r="G33" s="311">
        <v>2000</v>
      </c>
      <c r="H33" s="311">
        <f t="shared" si="0"/>
        <v>2000</v>
      </c>
      <c r="I33" s="311">
        <v>2000</v>
      </c>
      <c r="J33" s="306">
        <f t="shared" si="70"/>
        <v>4000000</v>
      </c>
      <c r="K33" s="311">
        <v>150</v>
      </c>
      <c r="L33" s="327">
        <f t="shared" si="71"/>
        <v>1600</v>
      </c>
      <c r="M33" s="306">
        <f t="shared" si="72"/>
        <v>1</v>
      </c>
      <c r="N33" s="306">
        <f t="shared" si="29"/>
        <v>1</v>
      </c>
      <c r="O33" s="306">
        <f t="shared" si="4"/>
        <v>1</v>
      </c>
      <c r="P33" s="306">
        <f>(2*390/2*K33)+(I33-2*390/2)*(25.4)*2</f>
        <v>140288</v>
      </c>
      <c r="Q33" s="306">
        <f t="shared" si="5"/>
        <v>300000</v>
      </c>
      <c r="R33" s="309">
        <f t="shared" si="6"/>
        <v>0.46762666666666669</v>
      </c>
      <c r="S33" s="312">
        <f t="shared" ref="S33:S41" si="73">I33-200</f>
        <v>1800</v>
      </c>
      <c r="T33" s="312">
        <f t="shared" si="60"/>
        <v>2000</v>
      </c>
      <c r="U33" s="298" t="s">
        <v>413</v>
      </c>
      <c r="V33" s="307">
        <f>262*9.81/100</f>
        <v>25.702200000000001</v>
      </c>
      <c r="W33" s="387">
        <f t="shared" si="30"/>
        <v>25.702200000000001</v>
      </c>
      <c r="X33" s="307">
        <f>136*9.81/100</f>
        <v>13.341600000000001</v>
      </c>
      <c r="Y33" s="387">
        <f t="shared" si="31"/>
        <v>13.341600000000001</v>
      </c>
      <c r="Z33" s="373" t="s">
        <v>413</v>
      </c>
      <c r="AA33" s="429" t="s">
        <v>1020</v>
      </c>
      <c r="AB33" s="307">
        <f>147*9.81/100</f>
        <v>14.420700000000002</v>
      </c>
      <c r="AC33" s="336">
        <v>3</v>
      </c>
      <c r="AD33" s="354">
        <f t="shared" si="62"/>
        <v>3.9333333333333331</v>
      </c>
      <c r="AE33" s="298" t="s">
        <v>413</v>
      </c>
      <c r="AF33" s="313">
        <f t="shared" si="63"/>
        <v>0.93785320622293622</v>
      </c>
      <c r="AG33" s="429" t="s">
        <v>1020</v>
      </c>
      <c r="AH33" s="313">
        <f t="shared" si="55"/>
        <v>13.524499730979098</v>
      </c>
      <c r="AI33" s="429" t="s">
        <v>1020</v>
      </c>
      <c r="AJ33" s="298" t="s">
        <v>413</v>
      </c>
      <c r="AK33" s="298" t="s">
        <v>719</v>
      </c>
      <c r="AL33" s="298">
        <v>200</v>
      </c>
      <c r="AM33" s="298">
        <f>4*200</f>
        <v>800</v>
      </c>
      <c r="AN33" s="306">
        <f t="shared" si="11"/>
        <v>3.3333333333333331E-3</v>
      </c>
      <c r="AO33" s="298">
        <v>392</v>
      </c>
      <c r="AP33" s="306">
        <f t="shared" si="56"/>
        <v>1.3066666666666666</v>
      </c>
      <c r="AQ33" s="298"/>
      <c r="AR33" s="298" t="s">
        <v>413</v>
      </c>
      <c r="AS33" s="298">
        <v>0</v>
      </c>
      <c r="AT33" s="298" t="s">
        <v>413</v>
      </c>
      <c r="AU33" s="298">
        <v>0</v>
      </c>
      <c r="AV33" s="298">
        <v>0</v>
      </c>
      <c r="AW33" s="312">
        <f t="shared" si="58"/>
        <v>0</v>
      </c>
      <c r="AX33" s="298">
        <v>0</v>
      </c>
      <c r="AY33" s="298">
        <v>0</v>
      </c>
      <c r="AZ33" s="298">
        <v>0</v>
      </c>
      <c r="BA33" s="298">
        <v>0</v>
      </c>
      <c r="BB33" s="298">
        <v>98</v>
      </c>
      <c r="BC33" s="309">
        <f t="shared" si="13"/>
        <v>0.32666666666666666</v>
      </c>
      <c r="BD33" s="313" t="e">
        <f t="shared" si="33"/>
        <v>#VALUE!</v>
      </c>
      <c r="BE33" s="309">
        <f t="shared" si="14"/>
        <v>0.69856295620437958</v>
      </c>
      <c r="BF33" s="305" t="s">
        <v>413</v>
      </c>
      <c r="BG33" s="311">
        <v>242</v>
      </c>
      <c r="BH33" s="311">
        <f t="shared" si="69"/>
        <v>242</v>
      </c>
      <c r="BI33" s="373">
        <v>0.94430000000000003</v>
      </c>
      <c r="BJ33" s="298">
        <f t="shared" si="15"/>
        <v>0.81399999999999995</v>
      </c>
      <c r="BK33" s="360">
        <f t="shared" si="16"/>
        <v>1</v>
      </c>
      <c r="BL33" s="311">
        <f t="shared" si="35"/>
        <v>186.01576839999998</v>
      </c>
      <c r="BM33" s="309">
        <f t="shared" si="17"/>
        <v>0.62005256133333331</v>
      </c>
      <c r="BN33" s="309">
        <f t="shared" si="18"/>
        <v>1.3259563783074815</v>
      </c>
      <c r="BO33" s="376"/>
      <c r="BP33" s="328" t="e">
        <f t="shared" si="36"/>
        <v>#VALUE!</v>
      </c>
      <c r="BQ33" s="328">
        <f t="shared" si="19"/>
        <v>0</v>
      </c>
      <c r="BR33" s="328">
        <f t="shared" si="49"/>
        <v>0.24106032440034589</v>
      </c>
      <c r="BS33" s="328" t="e">
        <f t="shared" si="37"/>
        <v>#VALUE!</v>
      </c>
      <c r="BT33" s="328">
        <f t="shared" si="38"/>
        <v>0.32666666666666666</v>
      </c>
      <c r="BU33" s="376"/>
      <c r="BV33" s="328">
        <f t="shared" si="21"/>
        <v>0.46762666666666669</v>
      </c>
      <c r="BW33" s="328">
        <f t="shared" si="22"/>
        <v>1</v>
      </c>
      <c r="BX33" s="373" t="e">
        <f t="shared" si="39"/>
        <v>#VALUE!</v>
      </c>
      <c r="BY33" s="311" t="e">
        <f t="shared" si="23"/>
        <v>#VALUE!</v>
      </c>
      <c r="BZ33" s="311">
        <f t="shared" si="24"/>
        <v>0</v>
      </c>
      <c r="CA33" s="311" t="e">
        <f t="shared" si="40"/>
        <v>#VALUE!</v>
      </c>
      <c r="CB33" s="307" t="e">
        <f t="shared" si="41"/>
        <v>#VALUE!</v>
      </c>
      <c r="CC33" s="309"/>
      <c r="CD33" s="379"/>
    </row>
    <row r="34" spans="1:82" x14ac:dyDescent="0.25">
      <c r="A34" s="305">
        <v>26</v>
      </c>
      <c r="B34" s="298" t="s">
        <v>613</v>
      </c>
      <c r="C34" s="298" t="s">
        <v>691</v>
      </c>
      <c r="D34" s="298" t="s">
        <v>597</v>
      </c>
      <c r="E34" s="343" t="s">
        <v>668</v>
      </c>
      <c r="F34" s="298" t="s">
        <v>484</v>
      </c>
      <c r="G34" s="311">
        <v>2000</v>
      </c>
      <c r="H34" s="311">
        <f t="shared" si="0"/>
        <v>2000</v>
      </c>
      <c r="I34" s="311">
        <v>2000</v>
      </c>
      <c r="J34" s="306">
        <f t="shared" si="70"/>
        <v>4000000</v>
      </c>
      <c r="K34" s="311">
        <v>150</v>
      </c>
      <c r="L34" s="327">
        <f t="shared" si="71"/>
        <v>1600</v>
      </c>
      <c r="M34" s="306">
        <f t="shared" si="72"/>
        <v>1</v>
      </c>
      <c r="N34" s="306">
        <f t="shared" si="29"/>
        <v>1</v>
      </c>
      <c r="O34" s="306">
        <f t="shared" si="4"/>
        <v>1</v>
      </c>
      <c r="P34" s="306">
        <f>(2*390/2*K34)+(I34-2*390/2)*(25.4)*2</f>
        <v>140288</v>
      </c>
      <c r="Q34" s="306">
        <f t="shared" si="5"/>
        <v>300000</v>
      </c>
      <c r="R34" s="309">
        <f t="shared" si="6"/>
        <v>0.46762666666666669</v>
      </c>
      <c r="S34" s="312">
        <f t="shared" si="73"/>
        <v>1800</v>
      </c>
      <c r="T34" s="312">
        <f t="shared" si="60"/>
        <v>2000</v>
      </c>
      <c r="U34" s="298" t="s">
        <v>413</v>
      </c>
      <c r="V34" s="307">
        <f>235*9.81/100</f>
        <v>23.0535</v>
      </c>
      <c r="W34" s="387">
        <f t="shared" si="30"/>
        <v>23.0535</v>
      </c>
      <c r="X34" s="307">
        <f>162*9.81/100</f>
        <v>15.892200000000001</v>
      </c>
      <c r="Y34" s="387">
        <f t="shared" si="31"/>
        <v>15.892200000000001</v>
      </c>
      <c r="Z34" s="373" t="s">
        <v>413</v>
      </c>
      <c r="AA34" s="429" t="s">
        <v>1020</v>
      </c>
      <c r="AB34" s="307">
        <f t="shared" ref="AB34:AB41" si="74">147*9.81/100</f>
        <v>14.420700000000002</v>
      </c>
      <c r="AC34" s="336">
        <v>3</v>
      </c>
      <c r="AD34" s="354">
        <f t="shared" si="62"/>
        <v>3.9333333333333331</v>
      </c>
      <c r="AE34" s="298" t="s">
        <v>413</v>
      </c>
      <c r="AF34" s="313">
        <f t="shared" si="63"/>
        <v>0.93785320622293622</v>
      </c>
      <c r="AG34" s="429" t="s">
        <v>1020</v>
      </c>
      <c r="AH34" s="313">
        <f t="shared" si="55"/>
        <v>13.524499730979098</v>
      </c>
      <c r="AI34" s="429" t="s">
        <v>1020</v>
      </c>
      <c r="AJ34" s="298" t="s">
        <v>413</v>
      </c>
      <c r="AK34" s="298" t="s">
        <v>719</v>
      </c>
      <c r="AL34" s="298">
        <v>200</v>
      </c>
      <c r="AM34" s="298">
        <f t="shared" ref="AM34:AM35" si="75">4*200</f>
        <v>800</v>
      </c>
      <c r="AN34" s="306">
        <f t="shared" si="11"/>
        <v>3.3333333333333331E-3</v>
      </c>
      <c r="AO34" s="298">
        <v>392</v>
      </c>
      <c r="AP34" s="306">
        <f t="shared" si="56"/>
        <v>1.3066666666666666</v>
      </c>
      <c r="AQ34" s="298"/>
      <c r="AR34" s="298" t="s">
        <v>413</v>
      </c>
      <c r="AS34" s="298">
        <v>0</v>
      </c>
      <c r="AT34" s="298" t="s">
        <v>413</v>
      </c>
      <c r="AU34" s="298">
        <v>0</v>
      </c>
      <c r="AV34" s="298">
        <v>0</v>
      </c>
      <c r="AW34" s="312">
        <f t="shared" si="58"/>
        <v>0</v>
      </c>
      <c r="AX34" s="298">
        <v>0</v>
      </c>
      <c r="AY34" s="298">
        <v>0</v>
      </c>
      <c r="AZ34" s="298">
        <v>0</v>
      </c>
      <c r="BA34" s="298">
        <v>0</v>
      </c>
      <c r="BB34" s="298">
        <v>196</v>
      </c>
      <c r="BC34" s="309">
        <f t="shared" si="13"/>
        <v>0.65333333333333332</v>
      </c>
      <c r="BD34" s="313" t="e">
        <f t="shared" si="33"/>
        <v>#VALUE!</v>
      </c>
      <c r="BE34" s="309">
        <f t="shared" si="14"/>
        <v>1.3971259124087592</v>
      </c>
      <c r="BF34" s="305" t="s">
        <v>413</v>
      </c>
      <c r="BG34" s="311">
        <v>290.8</v>
      </c>
      <c r="BH34" s="311">
        <f t="shared" si="69"/>
        <v>290.8</v>
      </c>
      <c r="BI34" s="373">
        <v>0.94430000000000003</v>
      </c>
      <c r="BJ34" s="298">
        <f t="shared" si="15"/>
        <v>0.81399999999999995</v>
      </c>
      <c r="BK34" s="360">
        <f t="shared" si="16"/>
        <v>1</v>
      </c>
      <c r="BL34" s="311">
        <f t="shared" si="35"/>
        <v>223.52638615999999</v>
      </c>
      <c r="BM34" s="309">
        <f t="shared" si="17"/>
        <v>0.7450879538666666</v>
      </c>
      <c r="BN34" s="309">
        <f t="shared" si="18"/>
        <v>1.593339317404197</v>
      </c>
      <c r="BO34" s="376"/>
      <c r="BP34" s="328" t="e">
        <f t="shared" si="36"/>
        <v>#VALUE!</v>
      </c>
      <c r="BQ34" s="328">
        <f t="shared" si="19"/>
        <v>0</v>
      </c>
      <c r="BR34" s="328">
        <f t="shared" si="49"/>
        <v>0.26309572402454584</v>
      </c>
      <c r="BS34" s="328" t="e">
        <f t="shared" si="37"/>
        <v>#VALUE!</v>
      </c>
      <c r="BT34" s="328">
        <f t="shared" si="38"/>
        <v>0.65333333333333332</v>
      </c>
      <c r="BU34" s="376"/>
      <c r="BV34" s="328">
        <f t="shared" si="21"/>
        <v>0.46762666666666669</v>
      </c>
      <c r="BW34" s="328">
        <f t="shared" si="22"/>
        <v>1</v>
      </c>
      <c r="BX34" s="373" t="e">
        <f t="shared" si="39"/>
        <v>#VALUE!</v>
      </c>
      <c r="BY34" s="311" t="e">
        <f t="shared" si="23"/>
        <v>#VALUE!</v>
      </c>
      <c r="BZ34" s="311">
        <f t="shared" si="24"/>
        <v>0</v>
      </c>
      <c r="CA34" s="311" t="e">
        <f t="shared" si="40"/>
        <v>#VALUE!</v>
      </c>
      <c r="CB34" s="307" t="e">
        <f t="shared" si="41"/>
        <v>#VALUE!</v>
      </c>
      <c r="CC34" s="309"/>
      <c r="CD34" s="379"/>
    </row>
    <row r="35" spans="1:82" x14ac:dyDescent="0.25">
      <c r="A35" s="305">
        <v>27</v>
      </c>
      <c r="B35" s="298" t="s">
        <v>613</v>
      </c>
      <c r="C35" s="298" t="s">
        <v>692</v>
      </c>
      <c r="D35" s="298" t="s">
        <v>597</v>
      </c>
      <c r="E35" s="343" t="s">
        <v>668</v>
      </c>
      <c r="F35" s="298" t="s">
        <v>484</v>
      </c>
      <c r="G35" s="311">
        <v>2000</v>
      </c>
      <c r="H35" s="311">
        <f t="shared" si="0"/>
        <v>2000</v>
      </c>
      <c r="I35" s="311">
        <v>2000</v>
      </c>
      <c r="J35" s="306">
        <f t="shared" si="70"/>
        <v>4000000</v>
      </c>
      <c r="K35" s="311">
        <v>150</v>
      </c>
      <c r="L35" s="327">
        <f t="shared" si="71"/>
        <v>1600</v>
      </c>
      <c r="M35" s="306">
        <f t="shared" si="72"/>
        <v>1</v>
      </c>
      <c r="N35" s="306">
        <f t="shared" si="29"/>
        <v>1</v>
      </c>
      <c r="O35" s="306">
        <f t="shared" si="4"/>
        <v>1</v>
      </c>
      <c r="P35" s="306">
        <f>(2*390/2*K35)+(I35-2*390/2)*(25.4)*2</f>
        <v>140288</v>
      </c>
      <c r="Q35" s="306">
        <f t="shared" si="5"/>
        <v>300000</v>
      </c>
      <c r="R35" s="309">
        <f t="shared" si="6"/>
        <v>0.46762666666666669</v>
      </c>
      <c r="S35" s="312">
        <f t="shared" si="73"/>
        <v>1800</v>
      </c>
      <c r="T35" s="312">
        <f t="shared" si="60"/>
        <v>2000</v>
      </c>
      <c r="U35" s="298" t="s">
        <v>413</v>
      </c>
      <c r="V35" s="307">
        <f>253*9.81/100</f>
        <v>24.819300000000002</v>
      </c>
      <c r="W35" s="387">
        <f t="shared" si="30"/>
        <v>24.819300000000002</v>
      </c>
      <c r="X35" s="307">
        <f>192*9.81/100</f>
        <v>18.8352</v>
      </c>
      <c r="Y35" s="387">
        <f t="shared" si="31"/>
        <v>18.8352</v>
      </c>
      <c r="Z35" s="373" t="s">
        <v>413</v>
      </c>
      <c r="AA35" s="429" t="s">
        <v>1020</v>
      </c>
      <c r="AB35" s="307">
        <f t="shared" si="74"/>
        <v>14.420700000000002</v>
      </c>
      <c r="AC35" s="336">
        <v>3</v>
      </c>
      <c r="AD35" s="354">
        <f t="shared" si="62"/>
        <v>3.9333333333333331</v>
      </c>
      <c r="AE35" s="298" t="s">
        <v>413</v>
      </c>
      <c r="AF35" s="313">
        <f t="shared" si="63"/>
        <v>0.93785320622293622</v>
      </c>
      <c r="AG35" s="429" t="s">
        <v>1020</v>
      </c>
      <c r="AH35" s="313">
        <f t="shared" si="55"/>
        <v>13.524499730979098</v>
      </c>
      <c r="AI35" s="429" t="s">
        <v>1020</v>
      </c>
      <c r="AJ35" s="298" t="s">
        <v>413</v>
      </c>
      <c r="AK35" s="298" t="s">
        <v>719</v>
      </c>
      <c r="AL35" s="298">
        <v>200</v>
      </c>
      <c r="AM35" s="298">
        <f t="shared" si="75"/>
        <v>800</v>
      </c>
      <c r="AN35" s="306">
        <f t="shared" si="11"/>
        <v>3.3333333333333331E-3</v>
      </c>
      <c r="AO35" s="298">
        <v>392</v>
      </c>
      <c r="AP35" s="306">
        <f t="shared" si="56"/>
        <v>1.3066666666666666</v>
      </c>
      <c r="AQ35" s="298"/>
      <c r="AR35" s="298" t="s">
        <v>413</v>
      </c>
      <c r="AS35" s="298">
        <v>0</v>
      </c>
      <c r="AT35" s="298" t="s">
        <v>413</v>
      </c>
      <c r="AU35" s="298">
        <v>0</v>
      </c>
      <c r="AV35" s="298">
        <v>0</v>
      </c>
      <c r="AW35" s="312">
        <f t="shared" si="58"/>
        <v>0</v>
      </c>
      <c r="AX35" s="298">
        <v>0</v>
      </c>
      <c r="AY35" s="298">
        <v>0</v>
      </c>
      <c r="AZ35" s="298">
        <v>0</v>
      </c>
      <c r="BA35" s="298">
        <v>0</v>
      </c>
      <c r="BB35" s="298">
        <v>0</v>
      </c>
      <c r="BC35" s="309">
        <f t="shared" si="13"/>
        <v>0</v>
      </c>
      <c r="BD35" s="313" t="e">
        <f t="shared" si="33"/>
        <v>#VALUE!</v>
      </c>
      <c r="BE35" s="309">
        <f t="shared" si="14"/>
        <v>0</v>
      </c>
      <c r="BF35" s="305" t="s">
        <v>413</v>
      </c>
      <c r="BG35" s="311">
        <v>136.4</v>
      </c>
      <c r="BH35" s="311">
        <f t="shared" si="69"/>
        <v>136.4</v>
      </c>
      <c r="BI35" s="373">
        <v>0.94430000000000003</v>
      </c>
      <c r="BJ35" s="298">
        <f t="shared" si="15"/>
        <v>0.81399999999999995</v>
      </c>
      <c r="BK35" s="360">
        <f t="shared" si="16"/>
        <v>1</v>
      </c>
      <c r="BL35" s="311">
        <f t="shared" si="35"/>
        <v>104.84525128</v>
      </c>
      <c r="BM35" s="309">
        <f t="shared" si="17"/>
        <v>0.34948417093333334</v>
      </c>
      <c r="BN35" s="309">
        <f t="shared" si="18"/>
        <v>0.74735723140967147</v>
      </c>
      <c r="BO35" s="376"/>
      <c r="BP35" s="328" t="e">
        <f t="shared" si="36"/>
        <v>#VALUE!</v>
      </c>
      <c r="BQ35" s="328">
        <f t="shared" si="19"/>
        <v>0</v>
      </c>
      <c r="BR35" s="328">
        <f t="shared" si="49"/>
        <v>0.28642234549699502</v>
      </c>
      <c r="BS35" s="328" t="e">
        <f t="shared" si="37"/>
        <v>#VALUE!</v>
      </c>
      <c r="BT35" s="328">
        <f t="shared" si="38"/>
        <v>0</v>
      </c>
      <c r="BU35" s="376"/>
      <c r="BV35" s="328">
        <f t="shared" si="21"/>
        <v>0.46762666666666669</v>
      </c>
      <c r="BW35" s="328">
        <f t="shared" si="22"/>
        <v>1</v>
      </c>
      <c r="BX35" s="373" t="e">
        <f t="shared" si="39"/>
        <v>#VALUE!</v>
      </c>
      <c r="BY35" s="311" t="e">
        <f t="shared" si="23"/>
        <v>#VALUE!</v>
      </c>
      <c r="BZ35" s="311">
        <f t="shared" si="24"/>
        <v>0</v>
      </c>
      <c r="CA35" s="311" t="e">
        <f t="shared" si="40"/>
        <v>#VALUE!</v>
      </c>
      <c r="CB35" s="307" t="e">
        <f t="shared" si="41"/>
        <v>#VALUE!</v>
      </c>
      <c r="CC35" s="309"/>
      <c r="CD35" s="379"/>
    </row>
    <row r="36" spans="1:82" x14ac:dyDescent="0.25">
      <c r="A36" s="305">
        <v>28</v>
      </c>
      <c r="B36" s="298" t="s">
        <v>613</v>
      </c>
      <c r="C36" s="298" t="s">
        <v>693</v>
      </c>
      <c r="D36" s="298" t="s">
        <v>597</v>
      </c>
      <c r="E36" s="343" t="s">
        <v>668</v>
      </c>
      <c r="F36" s="298" t="s">
        <v>484</v>
      </c>
      <c r="G36" s="311">
        <v>2000</v>
      </c>
      <c r="H36" s="311">
        <f t="shared" si="0"/>
        <v>2000</v>
      </c>
      <c r="I36" s="311">
        <v>2000</v>
      </c>
      <c r="J36" s="306">
        <f t="shared" si="70"/>
        <v>4000000</v>
      </c>
      <c r="K36" s="311">
        <v>150</v>
      </c>
      <c r="L36" s="327">
        <f t="shared" si="71"/>
        <v>1600</v>
      </c>
      <c r="M36" s="306">
        <f t="shared" si="72"/>
        <v>1</v>
      </c>
      <c r="N36" s="306">
        <f t="shared" si="29"/>
        <v>1</v>
      </c>
      <c r="O36" s="306">
        <f t="shared" si="4"/>
        <v>1</v>
      </c>
      <c r="P36" s="306">
        <f>(4*390/2*K36)+(I36-4*390/2)*(25.4)*2</f>
        <v>178976</v>
      </c>
      <c r="Q36" s="306">
        <f t="shared" si="5"/>
        <v>300000</v>
      </c>
      <c r="R36" s="309">
        <f t="shared" si="6"/>
        <v>0.59658666666666671</v>
      </c>
      <c r="S36" s="312">
        <f>(I36-200)/2</f>
        <v>900</v>
      </c>
      <c r="T36" s="312">
        <f t="shared" si="60"/>
        <v>2000</v>
      </c>
      <c r="U36" s="298" t="s">
        <v>413</v>
      </c>
      <c r="V36" s="307">
        <f>208*9.81/100</f>
        <v>20.404800000000002</v>
      </c>
      <c r="W36" s="387">
        <f t="shared" si="30"/>
        <v>20.404800000000002</v>
      </c>
      <c r="X36" s="307">
        <f>108*9.81/100</f>
        <v>10.594799999999999</v>
      </c>
      <c r="Y36" s="387">
        <f t="shared" si="31"/>
        <v>10.594799999999999</v>
      </c>
      <c r="Z36" s="373" t="s">
        <v>413</v>
      </c>
      <c r="AA36" s="429" t="s">
        <v>1020</v>
      </c>
      <c r="AB36" s="307">
        <f t="shared" si="74"/>
        <v>14.420700000000002</v>
      </c>
      <c r="AC36" s="336">
        <v>3</v>
      </c>
      <c r="AD36" s="354">
        <f t="shared" si="62"/>
        <v>3.9333333333333331</v>
      </c>
      <c r="AE36" s="298" t="s">
        <v>413</v>
      </c>
      <c r="AF36" s="313">
        <f t="shared" si="63"/>
        <v>0.93785320622293622</v>
      </c>
      <c r="AG36" s="429" t="s">
        <v>1020</v>
      </c>
      <c r="AH36" s="313">
        <f t="shared" si="55"/>
        <v>13.524499730979098</v>
      </c>
      <c r="AI36" s="429" t="s">
        <v>1020</v>
      </c>
      <c r="AJ36" s="298" t="s">
        <v>703</v>
      </c>
      <c r="AK36" s="298" t="s">
        <v>719</v>
      </c>
      <c r="AL36" s="298" t="s">
        <v>581</v>
      </c>
      <c r="AM36" s="298">
        <f>2*129+4*200</f>
        <v>1058</v>
      </c>
      <c r="AN36" s="306">
        <f t="shared" si="11"/>
        <v>4.4083333333333335E-3</v>
      </c>
      <c r="AO36" s="298">
        <v>392</v>
      </c>
      <c r="AP36" s="306">
        <f t="shared" si="56"/>
        <v>1.7280666666666669</v>
      </c>
      <c r="AQ36" s="298"/>
      <c r="AR36" s="298" t="s">
        <v>413</v>
      </c>
      <c r="AS36" s="298">
        <v>0</v>
      </c>
      <c r="AT36" s="298" t="s">
        <v>413</v>
      </c>
      <c r="AU36" s="298">
        <v>0</v>
      </c>
      <c r="AV36" s="298">
        <v>0</v>
      </c>
      <c r="AW36" s="312">
        <f t="shared" si="58"/>
        <v>0</v>
      </c>
      <c r="AX36" s="298">
        <v>0</v>
      </c>
      <c r="AY36" s="298">
        <v>0</v>
      </c>
      <c r="AZ36" s="298">
        <v>0</v>
      </c>
      <c r="BA36" s="298">
        <v>0</v>
      </c>
      <c r="BB36" s="298">
        <v>0</v>
      </c>
      <c r="BC36" s="309">
        <f t="shared" si="13"/>
        <v>0</v>
      </c>
      <c r="BD36" s="313" t="e">
        <f t="shared" si="33"/>
        <v>#VALUE!</v>
      </c>
      <c r="BE36" s="309">
        <f t="shared" si="14"/>
        <v>0</v>
      </c>
      <c r="BF36" s="305" t="s">
        <v>413</v>
      </c>
      <c r="BG36" s="311">
        <v>200.4</v>
      </c>
      <c r="BH36" s="311">
        <f t="shared" si="69"/>
        <v>200.4</v>
      </c>
      <c r="BI36" s="373">
        <v>0.94430000000000003</v>
      </c>
      <c r="BJ36" s="298">
        <f t="shared" si="15"/>
        <v>0.81399999999999995</v>
      </c>
      <c r="BK36" s="360">
        <f t="shared" si="16"/>
        <v>1</v>
      </c>
      <c r="BL36" s="311">
        <f t="shared" si="35"/>
        <v>154.03950408</v>
      </c>
      <c r="BM36" s="309">
        <f t="shared" si="17"/>
        <v>0.51346501359999996</v>
      </c>
      <c r="BN36" s="309">
        <f t="shared" si="18"/>
        <v>0.86067128598247811</v>
      </c>
      <c r="BO36" s="376"/>
      <c r="BP36" s="328" t="e">
        <f t="shared" si="36"/>
        <v>#VALUE!</v>
      </c>
      <c r="BQ36" s="328">
        <f t="shared" si="19"/>
        <v>0</v>
      </c>
      <c r="BR36" s="328">
        <f t="shared" si="49"/>
        <v>0.28409516393983197</v>
      </c>
      <c r="BS36" s="328" t="e">
        <f t="shared" si="37"/>
        <v>#VALUE!</v>
      </c>
      <c r="BT36" s="328">
        <f t="shared" si="38"/>
        <v>0</v>
      </c>
      <c r="BU36" s="376"/>
      <c r="BV36" s="328">
        <f t="shared" si="21"/>
        <v>0.5</v>
      </c>
      <c r="BW36" s="328">
        <f t="shared" si="22"/>
        <v>1</v>
      </c>
      <c r="BX36" s="373" t="e">
        <f t="shared" si="39"/>
        <v>#VALUE!</v>
      </c>
      <c r="BY36" s="311" t="e">
        <f t="shared" si="23"/>
        <v>#VALUE!</v>
      </c>
      <c r="BZ36" s="311">
        <f t="shared" si="24"/>
        <v>0</v>
      </c>
      <c r="CA36" s="311" t="e">
        <f t="shared" si="40"/>
        <v>#VALUE!</v>
      </c>
      <c r="CB36" s="307" t="e">
        <f t="shared" si="41"/>
        <v>#VALUE!</v>
      </c>
      <c r="CC36" s="309"/>
      <c r="CD36" s="379"/>
    </row>
    <row r="37" spans="1:82" x14ac:dyDescent="0.25">
      <c r="A37" s="305">
        <v>29</v>
      </c>
      <c r="B37" s="298" t="s">
        <v>613</v>
      </c>
      <c r="C37" s="298" t="s">
        <v>694</v>
      </c>
      <c r="D37" s="298" t="s">
        <v>597</v>
      </c>
      <c r="E37" s="343" t="s">
        <v>668</v>
      </c>
      <c r="F37" s="298" t="s">
        <v>484</v>
      </c>
      <c r="G37" s="311">
        <v>2000</v>
      </c>
      <c r="H37" s="311">
        <f t="shared" si="0"/>
        <v>2000</v>
      </c>
      <c r="I37" s="311">
        <v>2000</v>
      </c>
      <c r="J37" s="306">
        <f t="shared" si="70"/>
        <v>4000000</v>
      </c>
      <c r="K37" s="311">
        <v>150</v>
      </c>
      <c r="L37" s="327">
        <f t="shared" si="71"/>
        <v>1600</v>
      </c>
      <c r="M37" s="306">
        <f t="shared" si="72"/>
        <v>1</v>
      </c>
      <c r="N37" s="306">
        <f t="shared" si="29"/>
        <v>1</v>
      </c>
      <c r="O37" s="306">
        <f t="shared" si="4"/>
        <v>1</v>
      </c>
      <c r="P37" s="306">
        <f>(2*390/2*K37)+(I37-2*390/2)*(25.4)*2</f>
        <v>140288</v>
      </c>
      <c r="Q37" s="306">
        <f t="shared" si="5"/>
        <v>300000</v>
      </c>
      <c r="R37" s="309">
        <f t="shared" si="6"/>
        <v>0.46762666666666669</v>
      </c>
      <c r="S37" s="312">
        <f t="shared" si="73"/>
        <v>1800</v>
      </c>
      <c r="T37" s="312">
        <f t="shared" si="60"/>
        <v>2000</v>
      </c>
      <c r="U37" s="298" t="s">
        <v>413</v>
      </c>
      <c r="V37" s="307">
        <f>179*9.81/100</f>
        <v>17.559899999999999</v>
      </c>
      <c r="W37" s="387">
        <f t="shared" si="30"/>
        <v>17.559899999999999</v>
      </c>
      <c r="X37" s="307">
        <f>83*9.81/100</f>
        <v>8.1423000000000005</v>
      </c>
      <c r="Y37" s="387">
        <f t="shared" si="31"/>
        <v>8.1423000000000005</v>
      </c>
      <c r="Z37" s="373" t="s">
        <v>413</v>
      </c>
      <c r="AA37" s="429" t="s">
        <v>1020</v>
      </c>
      <c r="AB37" s="307">
        <f t="shared" si="74"/>
        <v>14.420700000000002</v>
      </c>
      <c r="AC37" s="336">
        <v>3</v>
      </c>
      <c r="AD37" s="354">
        <f t="shared" si="62"/>
        <v>3.9333333333333331</v>
      </c>
      <c r="AE37" s="298" t="s">
        <v>413</v>
      </c>
      <c r="AF37" s="313">
        <f t="shared" si="63"/>
        <v>0.93785320622293622</v>
      </c>
      <c r="AG37" s="429" t="s">
        <v>1020</v>
      </c>
      <c r="AH37" s="313">
        <f t="shared" si="55"/>
        <v>13.524499730979098</v>
      </c>
      <c r="AI37" s="429" t="s">
        <v>1020</v>
      </c>
      <c r="AJ37" s="298" t="s">
        <v>413</v>
      </c>
      <c r="AK37" s="298" t="s">
        <v>702</v>
      </c>
      <c r="AL37" s="298">
        <v>129</v>
      </c>
      <c r="AM37" s="298">
        <f>4*129</f>
        <v>516</v>
      </c>
      <c r="AN37" s="306">
        <f t="shared" si="11"/>
        <v>2.15E-3</v>
      </c>
      <c r="AO37" s="298">
        <v>392</v>
      </c>
      <c r="AP37" s="306">
        <f t="shared" si="56"/>
        <v>0.84279999999999999</v>
      </c>
      <c r="AQ37" s="298"/>
      <c r="AR37" s="298" t="s">
        <v>413</v>
      </c>
      <c r="AS37" s="298">
        <v>0</v>
      </c>
      <c r="AT37" s="298" t="s">
        <v>413</v>
      </c>
      <c r="AU37" s="298">
        <v>0</v>
      </c>
      <c r="AV37" s="298">
        <v>0</v>
      </c>
      <c r="AW37" s="312">
        <f t="shared" si="58"/>
        <v>0</v>
      </c>
      <c r="AX37" s="298">
        <v>0</v>
      </c>
      <c r="AY37" s="298">
        <v>0</v>
      </c>
      <c r="AZ37" s="298">
        <v>0</v>
      </c>
      <c r="BA37" s="298">
        <v>0</v>
      </c>
      <c r="BB37" s="298">
        <v>0</v>
      </c>
      <c r="BC37" s="309">
        <f t="shared" si="13"/>
        <v>0</v>
      </c>
      <c r="BD37" s="313" t="e">
        <f t="shared" si="33"/>
        <v>#VALUE!</v>
      </c>
      <c r="BE37" s="309">
        <f t="shared" si="14"/>
        <v>0</v>
      </c>
      <c r="BF37" s="305" t="s">
        <v>413</v>
      </c>
      <c r="BG37" s="311">
        <v>130.1</v>
      </c>
      <c r="BH37" s="311">
        <f t="shared" si="69"/>
        <v>130.1</v>
      </c>
      <c r="BI37" s="373">
        <v>0.94430000000000003</v>
      </c>
      <c r="BJ37" s="298">
        <f t="shared" si="15"/>
        <v>0.81399999999999995</v>
      </c>
      <c r="BK37" s="360">
        <f t="shared" si="16"/>
        <v>1</v>
      </c>
      <c r="BL37" s="311">
        <f t="shared" si="35"/>
        <v>100.00269202</v>
      </c>
      <c r="BM37" s="309">
        <f t="shared" si="17"/>
        <v>0.33334230673333332</v>
      </c>
      <c r="BN37" s="309">
        <f t="shared" si="18"/>
        <v>0.71283853230497263</v>
      </c>
      <c r="BO37" s="376"/>
      <c r="BP37" s="328" t="e">
        <f t="shared" si="36"/>
        <v>#VALUE!</v>
      </c>
      <c r="BQ37" s="328">
        <f t="shared" si="19"/>
        <v>0</v>
      </c>
      <c r="BR37" s="328">
        <f t="shared" si="49"/>
        <v>0.12146608763766124</v>
      </c>
      <c r="BS37" s="328" t="e">
        <f t="shared" si="37"/>
        <v>#VALUE!</v>
      </c>
      <c r="BT37" s="328">
        <f t="shared" si="38"/>
        <v>0</v>
      </c>
      <c r="BU37" s="376"/>
      <c r="BV37" s="328">
        <f t="shared" si="21"/>
        <v>0.46762666666666669</v>
      </c>
      <c r="BW37" s="328">
        <f t="shared" si="22"/>
        <v>1</v>
      </c>
      <c r="BX37" s="373" t="e">
        <f t="shared" si="39"/>
        <v>#VALUE!</v>
      </c>
      <c r="BY37" s="311" t="e">
        <f t="shared" si="23"/>
        <v>#VALUE!</v>
      </c>
      <c r="BZ37" s="311">
        <f t="shared" si="24"/>
        <v>0</v>
      </c>
      <c r="CA37" s="311" t="e">
        <f t="shared" si="40"/>
        <v>#VALUE!</v>
      </c>
      <c r="CB37" s="307" t="e">
        <f t="shared" si="41"/>
        <v>#VALUE!</v>
      </c>
      <c r="CC37" s="309"/>
      <c r="CD37" s="379"/>
    </row>
    <row r="38" spans="1:82" x14ac:dyDescent="0.25">
      <c r="A38" s="305">
        <v>30</v>
      </c>
      <c r="B38" s="298" t="s">
        <v>613</v>
      </c>
      <c r="C38" s="298" t="s">
        <v>695</v>
      </c>
      <c r="D38" s="298" t="s">
        <v>597</v>
      </c>
      <c r="E38" s="343" t="s">
        <v>668</v>
      </c>
      <c r="F38" s="298" t="s">
        <v>484</v>
      </c>
      <c r="G38" s="311">
        <v>2000</v>
      </c>
      <c r="H38" s="311">
        <f t="shared" si="0"/>
        <v>2000</v>
      </c>
      <c r="I38" s="311">
        <v>2000</v>
      </c>
      <c r="J38" s="306">
        <f t="shared" si="70"/>
        <v>4000000</v>
      </c>
      <c r="K38" s="311">
        <v>150</v>
      </c>
      <c r="L38" s="327">
        <f t="shared" si="71"/>
        <v>1600</v>
      </c>
      <c r="M38" s="306">
        <f t="shared" si="72"/>
        <v>1</v>
      </c>
      <c r="N38" s="306">
        <f t="shared" si="29"/>
        <v>1</v>
      </c>
      <c r="O38" s="306">
        <f t="shared" si="4"/>
        <v>1</v>
      </c>
      <c r="P38" s="306">
        <f>(4*390/2*K38)+(I38-4*390/2)*(25.4)*2</f>
        <v>178976</v>
      </c>
      <c r="Q38" s="306">
        <f t="shared" si="5"/>
        <v>300000</v>
      </c>
      <c r="R38" s="309">
        <f t="shared" si="6"/>
        <v>0.59658666666666671</v>
      </c>
      <c r="S38" s="312">
        <f>(I38-200)/2</f>
        <v>900</v>
      </c>
      <c r="T38" s="312">
        <f t="shared" si="60"/>
        <v>2000</v>
      </c>
      <c r="U38" s="298" t="s">
        <v>413</v>
      </c>
      <c r="V38" s="307">
        <f>178*9.81/100</f>
        <v>17.4618</v>
      </c>
      <c r="W38" s="387">
        <f t="shared" si="30"/>
        <v>17.4618</v>
      </c>
      <c r="X38" s="307">
        <f>121*9.81/100</f>
        <v>11.870100000000001</v>
      </c>
      <c r="Y38" s="387">
        <f t="shared" si="31"/>
        <v>11.870100000000001</v>
      </c>
      <c r="Z38" s="373" t="s">
        <v>413</v>
      </c>
      <c r="AA38" s="429" t="s">
        <v>1020</v>
      </c>
      <c r="AB38" s="307">
        <f t="shared" si="74"/>
        <v>14.420700000000002</v>
      </c>
      <c r="AC38" s="336">
        <v>3</v>
      </c>
      <c r="AD38" s="354">
        <f t="shared" si="62"/>
        <v>3.9333333333333331</v>
      </c>
      <c r="AE38" s="298" t="s">
        <v>413</v>
      </c>
      <c r="AF38" s="313">
        <f t="shared" si="63"/>
        <v>0.93785320622293622</v>
      </c>
      <c r="AG38" s="429" t="s">
        <v>1020</v>
      </c>
      <c r="AH38" s="313">
        <f t="shared" si="55"/>
        <v>13.524499730979098</v>
      </c>
      <c r="AI38" s="429" t="s">
        <v>1020</v>
      </c>
      <c r="AJ38" s="298" t="s">
        <v>703</v>
      </c>
      <c r="AK38" s="298" t="s">
        <v>719</v>
      </c>
      <c r="AL38" s="298" t="s">
        <v>581</v>
      </c>
      <c r="AM38" s="298">
        <f>2*129+4*200</f>
        <v>1058</v>
      </c>
      <c r="AN38" s="306">
        <f t="shared" si="11"/>
        <v>4.4083333333333335E-3</v>
      </c>
      <c r="AO38" s="298">
        <v>392</v>
      </c>
      <c r="AP38" s="306">
        <f t="shared" si="56"/>
        <v>1.7280666666666669</v>
      </c>
      <c r="AQ38" s="298"/>
      <c r="AR38" s="298" t="s">
        <v>413</v>
      </c>
      <c r="AS38" s="298">
        <v>0</v>
      </c>
      <c r="AT38" s="298" t="s">
        <v>413</v>
      </c>
      <c r="AU38" s="298">
        <v>0</v>
      </c>
      <c r="AV38" s="298">
        <v>0</v>
      </c>
      <c r="AW38" s="312">
        <f t="shared" si="58"/>
        <v>0</v>
      </c>
      <c r="AX38" s="298">
        <v>0</v>
      </c>
      <c r="AY38" s="298">
        <v>0</v>
      </c>
      <c r="AZ38" s="298">
        <v>0</v>
      </c>
      <c r="BA38" s="298">
        <v>0</v>
      </c>
      <c r="BB38" s="298">
        <v>294</v>
      </c>
      <c r="BC38" s="309">
        <f t="shared" si="13"/>
        <v>0.98</v>
      </c>
      <c r="BD38" s="313" t="e">
        <f t="shared" si="33"/>
        <v>#VALUE!</v>
      </c>
      <c r="BE38" s="309">
        <f t="shared" si="14"/>
        <v>1.6426783479349185</v>
      </c>
      <c r="BF38" s="305" t="s">
        <v>413</v>
      </c>
      <c r="BG38" s="311">
        <v>314.3</v>
      </c>
      <c r="BH38" s="311">
        <f t="shared" si="69"/>
        <v>314.3</v>
      </c>
      <c r="BI38" s="373">
        <v>0.94430000000000003</v>
      </c>
      <c r="BJ38" s="298">
        <f t="shared" si="15"/>
        <v>0.81399999999999995</v>
      </c>
      <c r="BK38" s="360">
        <f t="shared" si="16"/>
        <v>1</v>
      </c>
      <c r="BL38" s="311">
        <f t="shared" si="35"/>
        <v>241.58990086</v>
      </c>
      <c r="BM38" s="309">
        <f t="shared" si="17"/>
        <v>0.80529966953333343</v>
      </c>
      <c r="BN38" s="309">
        <f t="shared" si="18"/>
        <v>1.3498452354505632</v>
      </c>
      <c r="BO38" s="376"/>
      <c r="BP38" s="328" t="e">
        <f t="shared" si="36"/>
        <v>#VALUE!</v>
      </c>
      <c r="BQ38" s="328">
        <f t="shared" si="19"/>
        <v>0</v>
      </c>
      <c r="BR38" s="328">
        <f t="shared" si="49"/>
        <v>0.30070776885624356</v>
      </c>
      <c r="BS38" s="328" t="e">
        <f t="shared" si="37"/>
        <v>#VALUE!</v>
      </c>
      <c r="BT38" s="328">
        <f t="shared" si="38"/>
        <v>0.98</v>
      </c>
      <c r="BU38" s="376"/>
      <c r="BV38" s="328">
        <f t="shared" si="21"/>
        <v>0.5</v>
      </c>
      <c r="BW38" s="328">
        <f t="shared" si="22"/>
        <v>1</v>
      </c>
      <c r="BX38" s="373" t="e">
        <f t="shared" si="39"/>
        <v>#VALUE!</v>
      </c>
      <c r="BY38" s="311" t="e">
        <f t="shared" si="23"/>
        <v>#VALUE!</v>
      </c>
      <c r="BZ38" s="311">
        <f t="shared" si="24"/>
        <v>0</v>
      </c>
      <c r="CA38" s="311" t="e">
        <f t="shared" si="40"/>
        <v>#VALUE!</v>
      </c>
      <c r="CB38" s="307" t="e">
        <f t="shared" si="41"/>
        <v>#VALUE!</v>
      </c>
      <c r="CC38" s="309"/>
      <c r="CD38" s="379"/>
    </row>
    <row r="39" spans="1:82" x14ac:dyDescent="0.25">
      <c r="A39" s="305">
        <v>31</v>
      </c>
      <c r="B39" s="298" t="s">
        <v>613</v>
      </c>
      <c r="C39" s="298" t="s">
        <v>696</v>
      </c>
      <c r="D39" s="298" t="s">
        <v>597</v>
      </c>
      <c r="E39" s="343" t="s">
        <v>668</v>
      </c>
      <c r="F39" s="298" t="s">
        <v>484</v>
      </c>
      <c r="G39" s="311">
        <v>2000</v>
      </c>
      <c r="H39" s="311">
        <f t="shared" si="0"/>
        <v>2000</v>
      </c>
      <c r="I39" s="311">
        <v>2000</v>
      </c>
      <c r="J39" s="306">
        <f t="shared" si="70"/>
        <v>4000000</v>
      </c>
      <c r="K39" s="311">
        <v>150</v>
      </c>
      <c r="L39" s="327">
        <f t="shared" si="71"/>
        <v>1600</v>
      </c>
      <c r="M39" s="306">
        <f t="shared" si="72"/>
        <v>1</v>
      </c>
      <c r="N39" s="306">
        <f t="shared" si="29"/>
        <v>1</v>
      </c>
      <c r="O39" s="306">
        <f t="shared" si="4"/>
        <v>1</v>
      </c>
      <c r="P39" s="306">
        <f>(2*390/2*K39)+(I39-2*390/2)*(25.4)*2</f>
        <v>140288</v>
      </c>
      <c r="Q39" s="306">
        <f t="shared" si="5"/>
        <v>300000</v>
      </c>
      <c r="R39" s="309">
        <f t="shared" si="6"/>
        <v>0.46762666666666669</v>
      </c>
      <c r="S39" s="312">
        <f t="shared" si="73"/>
        <v>1800</v>
      </c>
      <c r="T39" s="312">
        <f t="shared" si="60"/>
        <v>2000</v>
      </c>
      <c r="U39" s="298" t="s">
        <v>413</v>
      </c>
      <c r="V39" s="307">
        <f>180*9.81/100</f>
        <v>17.658000000000001</v>
      </c>
      <c r="W39" s="387">
        <f t="shared" si="30"/>
        <v>17.658000000000001</v>
      </c>
      <c r="X39" s="307">
        <f>148*9.81/100</f>
        <v>14.518800000000001</v>
      </c>
      <c r="Y39" s="387">
        <f t="shared" si="31"/>
        <v>14.518800000000001</v>
      </c>
      <c r="Z39" s="373" t="s">
        <v>413</v>
      </c>
      <c r="AA39" s="429" t="s">
        <v>1020</v>
      </c>
      <c r="AB39" s="307">
        <f t="shared" si="74"/>
        <v>14.420700000000002</v>
      </c>
      <c r="AC39" s="336">
        <v>3</v>
      </c>
      <c r="AD39" s="354">
        <f t="shared" si="62"/>
        <v>3.9333333333333331</v>
      </c>
      <c r="AE39" s="298" t="s">
        <v>413</v>
      </c>
      <c r="AF39" s="313">
        <f t="shared" si="63"/>
        <v>0.93785320622293622</v>
      </c>
      <c r="AG39" s="429" t="s">
        <v>1020</v>
      </c>
      <c r="AH39" s="313">
        <f t="shared" si="55"/>
        <v>13.524499730979098</v>
      </c>
      <c r="AI39" s="429" t="s">
        <v>1020</v>
      </c>
      <c r="AJ39" s="298" t="s">
        <v>413</v>
      </c>
      <c r="AK39" s="298" t="s">
        <v>719</v>
      </c>
      <c r="AL39" s="298">
        <v>200</v>
      </c>
      <c r="AM39" s="298">
        <f>4*200</f>
        <v>800</v>
      </c>
      <c r="AN39" s="306">
        <f t="shared" si="11"/>
        <v>3.3333333333333331E-3</v>
      </c>
      <c r="AO39" s="298">
        <v>392</v>
      </c>
      <c r="AP39" s="306">
        <f t="shared" si="56"/>
        <v>1.3066666666666666</v>
      </c>
      <c r="AQ39" s="298"/>
      <c r="AR39" s="298" t="s">
        <v>413</v>
      </c>
      <c r="AS39" s="298">
        <v>0</v>
      </c>
      <c r="AT39" s="298" t="s">
        <v>413</v>
      </c>
      <c r="AU39" s="298">
        <v>0</v>
      </c>
      <c r="AV39" s="298">
        <v>0</v>
      </c>
      <c r="AW39" s="312">
        <f t="shared" si="58"/>
        <v>0</v>
      </c>
      <c r="AX39" s="298">
        <v>0</v>
      </c>
      <c r="AY39" s="298">
        <v>0</v>
      </c>
      <c r="AZ39" s="298">
        <v>0</v>
      </c>
      <c r="BA39" s="298">
        <v>0</v>
      </c>
      <c r="BB39" s="298">
        <v>294</v>
      </c>
      <c r="BC39" s="309">
        <f t="shared" si="13"/>
        <v>0.98</v>
      </c>
      <c r="BD39" s="313" t="e">
        <f t="shared" si="33"/>
        <v>#VALUE!</v>
      </c>
      <c r="BE39" s="309">
        <f t="shared" si="14"/>
        <v>2.0956888686131383</v>
      </c>
      <c r="BF39" s="305" t="s">
        <v>413</v>
      </c>
      <c r="BG39" s="311">
        <v>343.4</v>
      </c>
      <c r="BH39" s="311">
        <f t="shared" si="69"/>
        <v>343.4</v>
      </c>
      <c r="BI39" s="373">
        <v>0.94430000000000003</v>
      </c>
      <c r="BJ39" s="298">
        <f t="shared" si="15"/>
        <v>0.81399999999999995</v>
      </c>
      <c r="BK39" s="360">
        <f t="shared" si="16"/>
        <v>1</v>
      </c>
      <c r="BL39" s="311">
        <f t="shared" si="35"/>
        <v>263.95791267999994</v>
      </c>
      <c r="BM39" s="309">
        <f t="shared" si="17"/>
        <v>0.8798597089333331</v>
      </c>
      <c r="BN39" s="309">
        <f t="shared" si="18"/>
        <v>1.8815430591354922</v>
      </c>
      <c r="BO39" s="376"/>
      <c r="BP39" s="328" t="e">
        <f t="shared" si="36"/>
        <v>#VALUE!</v>
      </c>
      <c r="BQ39" s="328">
        <f t="shared" si="19"/>
        <v>0</v>
      </c>
      <c r="BR39" s="328">
        <f t="shared" si="49"/>
        <v>0.25147055493635834</v>
      </c>
      <c r="BS39" s="328" t="e">
        <f t="shared" si="37"/>
        <v>#VALUE!</v>
      </c>
      <c r="BT39" s="328">
        <f t="shared" si="38"/>
        <v>0.98</v>
      </c>
      <c r="BU39" s="376"/>
      <c r="BV39" s="328">
        <f t="shared" si="21"/>
        <v>0.46762666666666669</v>
      </c>
      <c r="BW39" s="328">
        <f t="shared" si="22"/>
        <v>1</v>
      </c>
      <c r="BX39" s="373" t="e">
        <f t="shared" si="39"/>
        <v>#VALUE!</v>
      </c>
      <c r="BY39" s="311" t="e">
        <f t="shared" si="23"/>
        <v>#VALUE!</v>
      </c>
      <c r="BZ39" s="311">
        <f t="shared" si="24"/>
        <v>0</v>
      </c>
      <c r="CA39" s="311" t="e">
        <f t="shared" si="40"/>
        <v>#VALUE!</v>
      </c>
      <c r="CB39" s="307" t="e">
        <f t="shared" si="41"/>
        <v>#VALUE!</v>
      </c>
      <c r="CC39" s="309"/>
      <c r="CD39" s="379"/>
    </row>
    <row r="40" spans="1:82" x14ac:dyDescent="0.25">
      <c r="A40" s="305">
        <v>32</v>
      </c>
      <c r="B40" s="298" t="s">
        <v>613</v>
      </c>
      <c r="C40" s="298" t="s">
        <v>697</v>
      </c>
      <c r="D40" s="298" t="s">
        <v>597</v>
      </c>
      <c r="E40" s="343" t="s">
        <v>668</v>
      </c>
      <c r="F40" s="298" t="s">
        <v>484</v>
      </c>
      <c r="G40" s="311">
        <v>2000</v>
      </c>
      <c r="H40" s="311">
        <f t="shared" si="0"/>
        <v>2000</v>
      </c>
      <c r="I40" s="311">
        <v>2000</v>
      </c>
      <c r="J40" s="306">
        <f t="shared" si="70"/>
        <v>4000000</v>
      </c>
      <c r="K40" s="311">
        <v>150</v>
      </c>
      <c r="L40" s="327">
        <f t="shared" si="71"/>
        <v>1600</v>
      </c>
      <c r="M40" s="306">
        <f t="shared" si="72"/>
        <v>1</v>
      </c>
      <c r="N40" s="306">
        <f t="shared" si="29"/>
        <v>1</v>
      </c>
      <c r="O40" s="306">
        <f t="shared" si="4"/>
        <v>1</v>
      </c>
      <c r="P40" s="306">
        <f>(2*390/2*K40)+(I40-2*390/2)*(25.4)*2</f>
        <v>140288</v>
      </c>
      <c r="Q40" s="306">
        <f t="shared" si="5"/>
        <v>300000</v>
      </c>
      <c r="R40" s="309">
        <f t="shared" si="6"/>
        <v>0.46762666666666669</v>
      </c>
      <c r="S40" s="312">
        <f t="shared" si="73"/>
        <v>1800</v>
      </c>
      <c r="T40" s="312">
        <f t="shared" si="60"/>
        <v>2000</v>
      </c>
      <c r="U40" s="298" t="s">
        <v>413</v>
      </c>
      <c r="V40" s="307">
        <f>246*9.81/100</f>
        <v>24.132600000000004</v>
      </c>
      <c r="W40" s="387">
        <f t="shared" si="30"/>
        <v>24.132600000000004</v>
      </c>
      <c r="X40" s="307">
        <f>236*9.81/100</f>
        <v>23.151600000000002</v>
      </c>
      <c r="Y40" s="387">
        <f t="shared" si="31"/>
        <v>23.151600000000002</v>
      </c>
      <c r="Z40" s="373" t="s">
        <v>413</v>
      </c>
      <c r="AA40" s="429" t="s">
        <v>1020</v>
      </c>
      <c r="AB40" s="307">
        <f t="shared" si="74"/>
        <v>14.420700000000002</v>
      </c>
      <c r="AC40" s="336">
        <v>3</v>
      </c>
      <c r="AD40" s="354">
        <f t="shared" si="62"/>
        <v>3.9333333333333331</v>
      </c>
      <c r="AE40" s="298" t="s">
        <v>413</v>
      </c>
      <c r="AF40" s="313">
        <f t="shared" si="63"/>
        <v>0.93785320622293622</v>
      </c>
      <c r="AG40" s="429" t="s">
        <v>1020</v>
      </c>
      <c r="AH40" s="313">
        <f t="shared" si="55"/>
        <v>13.524499730979098</v>
      </c>
      <c r="AI40" s="429" t="s">
        <v>1020</v>
      </c>
      <c r="AJ40" s="298" t="s">
        <v>413</v>
      </c>
      <c r="AK40" s="298" t="s">
        <v>720</v>
      </c>
      <c r="AL40" s="298">
        <v>71</v>
      </c>
      <c r="AM40" s="298">
        <f>2*71</f>
        <v>142</v>
      </c>
      <c r="AN40" s="306">
        <f t="shared" si="11"/>
        <v>5.9166666666666666E-4</v>
      </c>
      <c r="AO40" s="298">
        <v>392</v>
      </c>
      <c r="AP40" s="306">
        <f t="shared" si="56"/>
        <v>0.23193333333333332</v>
      </c>
      <c r="AQ40" s="298"/>
      <c r="AR40" s="298" t="s">
        <v>413</v>
      </c>
      <c r="AS40" s="298">
        <v>0</v>
      </c>
      <c r="AT40" s="298" t="s">
        <v>413</v>
      </c>
      <c r="AU40" s="298">
        <v>0</v>
      </c>
      <c r="AV40" s="298">
        <v>0</v>
      </c>
      <c r="AW40" s="312">
        <f t="shared" si="58"/>
        <v>0</v>
      </c>
      <c r="AX40" s="298">
        <v>0</v>
      </c>
      <c r="AY40" s="298">
        <v>0</v>
      </c>
      <c r="AZ40" s="298">
        <v>0</v>
      </c>
      <c r="BA40" s="298">
        <v>0</v>
      </c>
      <c r="BB40" s="298">
        <v>294</v>
      </c>
      <c r="BC40" s="309">
        <f t="shared" si="13"/>
        <v>0.98</v>
      </c>
      <c r="BD40" s="313" t="e">
        <f t="shared" si="33"/>
        <v>#VALUE!</v>
      </c>
      <c r="BE40" s="309">
        <f t="shared" si="14"/>
        <v>2.0956888686131383</v>
      </c>
      <c r="BF40" s="305" t="s">
        <v>413</v>
      </c>
      <c r="BG40" s="311">
        <v>322.89999999999998</v>
      </c>
      <c r="BH40" s="311">
        <f t="shared" si="69"/>
        <v>322.89999999999998</v>
      </c>
      <c r="BI40" s="373">
        <v>0.94430000000000003</v>
      </c>
      <c r="BJ40" s="298">
        <f t="shared" si="15"/>
        <v>0.81399999999999995</v>
      </c>
      <c r="BK40" s="360">
        <f t="shared" si="16"/>
        <v>1</v>
      </c>
      <c r="BL40" s="311">
        <f t="shared" si="35"/>
        <v>248.20037857999998</v>
      </c>
      <c r="BM40" s="309">
        <f t="shared" si="17"/>
        <v>0.82733459526666653</v>
      </c>
      <c r="BN40" s="309">
        <f t="shared" si="18"/>
        <v>1.7692203080805198</v>
      </c>
      <c r="BO40" s="376"/>
      <c r="BP40" s="328" t="e">
        <f t="shared" si="36"/>
        <v>#VALUE!</v>
      </c>
      <c r="BQ40" s="328">
        <f t="shared" si="19"/>
        <v>0</v>
      </c>
      <c r="BR40" s="328">
        <f t="shared" si="49"/>
        <v>5.6365146659970645E-2</v>
      </c>
      <c r="BS40" s="328" t="e">
        <f t="shared" si="37"/>
        <v>#VALUE!</v>
      </c>
      <c r="BT40" s="328">
        <f t="shared" si="38"/>
        <v>0.98</v>
      </c>
      <c r="BU40" s="376"/>
      <c r="BV40" s="328">
        <f t="shared" si="21"/>
        <v>0.46762666666666669</v>
      </c>
      <c r="BW40" s="328">
        <f t="shared" si="22"/>
        <v>1</v>
      </c>
      <c r="BX40" s="373" t="e">
        <f t="shared" si="39"/>
        <v>#VALUE!</v>
      </c>
      <c r="BY40" s="311" t="e">
        <f t="shared" si="23"/>
        <v>#VALUE!</v>
      </c>
      <c r="BZ40" s="311">
        <f t="shared" si="24"/>
        <v>0</v>
      </c>
      <c r="CA40" s="311" t="e">
        <f t="shared" si="40"/>
        <v>#VALUE!</v>
      </c>
      <c r="CB40" s="307" t="e">
        <f t="shared" si="41"/>
        <v>#VALUE!</v>
      </c>
      <c r="CC40" s="309"/>
      <c r="CD40" s="379"/>
    </row>
    <row r="41" spans="1:82" x14ac:dyDescent="0.25">
      <c r="A41" s="315">
        <v>33</v>
      </c>
      <c r="B41" s="315" t="s">
        <v>613</v>
      </c>
      <c r="C41" s="315" t="s">
        <v>698</v>
      </c>
      <c r="D41" s="315" t="s">
        <v>597</v>
      </c>
      <c r="E41" s="341" t="s">
        <v>668</v>
      </c>
      <c r="F41" s="315" t="s">
        <v>484</v>
      </c>
      <c r="G41" s="321">
        <v>2000</v>
      </c>
      <c r="H41" s="321">
        <f t="shared" si="0"/>
        <v>2000</v>
      </c>
      <c r="I41" s="321">
        <v>2000</v>
      </c>
      <c r="J41" s="316">
        <f t="shared" si="70"/>
        <v>4000000</v>
      </c>
      <c r="K41" s="321">
        <v>150</v>
      </c>
      <c r="L41" s="329">
        <f t="shared" si="71"/>
        <v>1600</v>
      </c>
      <c r="M41" s="316">
        <f t="shared" si="72"/>
        <v>1</v>
      </c>
      <c r="N41" s="316">
        <f t="shared" si="29"/>
        <v>1</v>
      </c>
      <c r="O41" s="316">
        <f t="shared" si="4"/>
        <v>1</v>
      </c>
      <c r="P41" s="316">
        <f>(2*390/2*K41)+(I41-2*390/2)*(25.4)*2</f>
        <v>140288</v>
      </c>
      <c r="Q41" s="316">
        <f t="shared" si="5"/>
        <v>300000</v>
      </c>
      <c r="R41" s="319">
        <f t="shared" si="6"/>
        <v>0.46762666666666669</v>
      </c>
      <c r="S41" s="322">
        <f t="shared" si="73"/>
        <v>1800</v>
      </c>
      <c r="T41" s="322">
        <f t="shared" si="60"/>
        <v>2000</v>
      </c>
      <c r="U41" s="315" t="s">
        <v>413</v>
      </c>
      <c r="V41" s="317">
        <f>118*9.81/100</f>
        <v>11.575800000000001</v>
      </c>
      <c r="W41" s="387">
        <f t="shared" si="30"/>
        <v>11.575800000000001</v>
      </c>
      <c r="X41" s="317">
        <f>125*9.81/100</f>
        <v>12.262499999999999</v>
      </c>
      <c r="Y41" s="387">
        <f t="shared" si="31"/>
        <v>12.262499999999999</v>
      </c>
      <c r="Z41" s="315" t="s">
        <v>413</v>
      </c>
      <c r="AA41" s="430" t="s">
        <v>1020</v>
      </c>
      <c r="AB41" s="317">
        <f t="shared" si="74"/>
        <v>14.420700000000002</v>
      </c>
      <c r="AC41" s="344">
        <v>3</v>
      </c>
      <c r="AD41" s="355">
        <f t="shared" si="62"/>
        <v>3.9333333333333331</v>
      </c>
      <c r="AE41" s="315" t="s">
        <v>413</v>
      </c>
      <c r="AF41" s="324">
        <f t="shared" si="63"/>
        <v>0.93785320622293622</v>
      </c>
      <c r="AG41" s="430" t="s">
        <v>1020</v>
      </c>
      <c r="AH41" s="324">
        <f t="shared" si="55"/>
        <v>13.524499730979098</v>
      </c>
      <c r="AI41" s="430" t="s">
        <v>1020</v>
      </c>
      <c r="AJ41" s="315" t="s">
        <v>413</v>
      </c>
      <c r="AK41" s="315" t="s">
        <v>719</v>
      </c>
      <c r="AL41" s="315">
        <v>200</v>
      </c>
      <c r="AM41" s="315">
        <f>4*200</f>
        <v>800</v>
      </c>
      <c r="AN41" s="316">
        <f t="shared" si="11"/>
        <v>3.3333333333333331E-3</v>
      </c>
      <c r="AO41" s="315">
        <v>392</v>
      </c>
      <c r="AP41" s="316">
        <f t="shared" si="56"/>
        <v>1.3066666666666666</v>
      </c>
      <c r="AQ41" s="315"/>
      <c r="AR41" s="315" t="s">
        <v>413</v>
      </c>
      <c r="AS41" s="315">
        <v>0</v>
      </c>
      <c r="AT41" s="315" t="s">
        <v>413</v>
      </c>
      <c r="AU41" s="315">
        <v>0</v>
      </c>
      <c r="AV41" s="315">
        <v>0</v>
      </c>
      <c r="AW41" s="322">
        <f t="shared" si="58"/>
        <v>0</v>
      </c>
      <c r="AX41" s="315">
        <v>0</v>
      </c>
      <c r="AY41" s="315">
        <v>0</v>
      </c>
      <c r="AZ41" s="315">
        <v>0</v>
      </c>
      <c r="BA41" s="315">
        <v>0</v>
      </c>
      <c r="BB41" s="315">
        <v>0</v>
      </c>
      <c r="BC41" s="319">
        <f t="shared" si="13"/>
        <v>0</v>
      </c>
      <c r="BD41" s="324" t="e">
        <f t="shared" si="33"/>
        <v>#VALUE!</v>
      </c>
      <c r="BE41" s="319">
        <f t="shared" si="14"/>
        <v>0</v>
      </c>
      <c r="BF41" s="315" t="s">
        <v>413</v>
      </c>
      <c r="BG41" s="321">
        <v>187.5</v>
      </c>
      <c r="BH41" s="321">
        <f t="shared" si="69"/>
        <v>187.5</v>
      </c>
      <c r="BI41" s="373">
        <v>0.94430000000000003</v>
      </c>
      <c r="BJ41" s="315">
        <f t="shared" si="15"/>
        <v>0.81399999999999995</v>
      </c>
      <c r="BK41" s="315">
        <f t="shared" si="16"/>
        <v>1</v>
      </c>
      <c r="BL41" s="321">
        <f t="shared" si="35"/>
        <v>144.12378749999999</v>
      </c>
      <c r="BM41" s="319">
        <f t="shared" si="17"/>
        <v>0.48041262499999998</v>
      </c>
      <c r="BN41" s="319">
        <f t="shared" si="18"/>
        <v>1.0273422352588961</v>
      </c>
      <c r="BO41" s="376"/>
      <c r="BP41" s="330" t="e">
        <f t="shared" si="36"/>
        <v>#VALUE!</v>
      </c>
      <c r="BQ41" s="330">
        <f t="shared" si="19"/>
        <v>0</v>
      </c>
      <c r="BR41" s="330">
        <f t="shared" si="49"/>
        <v>0.23110603626906845</v>
      </c>
      <c r="BS41" s="330" t="e">
        <f t="shared" si="37"/>
        <v>#VALUE!</v>
      </c>
      <c r="BT41" s="330">
        <f t="shared" si="38"/>
        <v>0</v>
      </c>
      <c r="BU41" s="376"/>
      <c r="BV41" s="328">
        <f t="shared" si="21"/>
        <v>0.46762666666666669</v>
      </c>
      <c r="BW41" s="328">
        <f t="shared" si="22"/>
        <v>1</v>
      </c>
      <c r="BX41" s="373" t="e">
        <f t="shared" si="39"/>
        <v>#VALUE!</v>
      </c>
      <c r="BY41" s="311" t="e">
        <f t="shared" si="23"/>
        <v>#VALUE!</v>
      </c>
      <c r="BZ41" s="311">
        <f t="shared" si="24"/>
        <v>0</v>
      </c>
      <c r="CA41" s="311" t="e">
        <f t="shared" si="40"/>
        <v>#VALUE!</v>
      </c>
      <c r="CB41" s="307" t="e">
        <f t="shared" si="41"/>
        <v>#VALUE!</v>
      </c>
      <c r="CC41" s="309"/>
      <c r="CD41" s="379"/>
    </row>
    <row r="42" spans="1:82" x14ac:dyDescent="0.25">
      <c r="A42" s="305">
        <v>34</v>
      </c>
      <c r="B42" s="298" t="s">
        <v>614</v>
      </c>
      <c r="C42" s="298" t="s">
        <v>649</v>
      </c>
      <c r="D42" s="298" t="s">
        <v>598</v>
      </c>
      <c r="E42" s="298" t="s">
        <v>668</v>
      </c>
      <c r="F42" s="298" t="s">
        <v>485</v>
      </c>
      <c r="G42" s="311">
        <f>64*O3</f>
        <v>1625.6</v>
      </c>
      <c r="H42" s="311">
        <f t="shared" si="0"/>
        <v>812.8</v>
      </c>
      <c r="I42" s="311">
        <f>32*O3</f>
        <v>812.8</v>
      </c>
      <c r="J42" s="327">
        <f>I42*G42</f>
        <v>1321287.6799999999</v>
      </c>
      <c r="K42" s="311">
        <f>(5+5/8)*O3</f>
        <v>142.875</v>
      </c>
      <c r="L42" s="327">
        <f t="shared" ref="L42:L47" si="76">0.8*I42</f>
        <v>650.24</v>
      </c>
      <c r="M42" s="309">
        <f t="shared" ref="M42:M43" si="77">G42/I42</f>
        <v>2</v>
      </c>
      <c r="N42" s="309">
        <f t="shared" si="29"/>
        <v>1</v>
      </c>
      <c r="O42" s="309">
        <f t="shared" si="4"/>
        <v>1</v>
      </c>
      <c r="P42" s="298">
        <f>(2*396/2*K43)+(I43-2*396/2)*(31.75)*2</f>
        <v>83045.299999999988</v>
      </c>
      <c r="Q42" s="327">
        <f t="shared" si="5"/>
        <v>116128.79999999999</v>
      </c>
      <c r="R42" s="309">
        <f t="shared" si="6"/>
        <v>0.71511373578302706</v>
      </c>
      <c r="S42" s="368">
        <f>I42-200</f>
        <v>612.79999999999995</v>
      </c>
      <c r="T42" s="312">
        <f>G42</f>
        <v>1625.6</v>
      </c>
      <c r="U42" s="307">
        <f>2944*J3</f>
        <v>20.298173439999999</v>
      </c>
      <c r="V42" s="307">
        <f>2302*J3</f>
        <v>15.87173752</v>
      </c>
      <c r="W42" s="387">
        <f t="shared" si="30"/>
        <v>15.87173752</v>
      </c>
      <c r="X42" s="307">
        <f>2030*J3</f>
        <v>13.9963628</v>
      </c>
      <c r="Y42" s="387">
        <f t="shared" si="31"/>
        <v>13.9963628</v>
      </c>
      <c r="Z42" s="418" t="s">
        <v>413</v>
      </c>
      <c r="AA42" s="307">
        <f>2253*J3</f>
        <v>15.53389428</v>
      </c>
      <c r="AB42" s="307">
        <f>2587*J3</f>
        <v>17.836744119999999</v>
      </c>
      <c r="AC42" s="298">
        <v>5</v>
      </c>
      <c r="AD42" s="328">
        <f>(5*200)/K42</f>
        <v>6.99912510936133</v>
      </c>
      <c r="AE42" s="298">
        <v>5</v>
      </c>
      <c r="AF42" s="327">
        <v>1</v>
      </c>
      <c r="AG42" s="313">
        <f t="shared" ref="AG42:AG43" si="78">AF42*AA42</f>
        <v>15.53389428</v>
      </c>
      <c r="AH42" s="313">
        <f t="shared" ref="AH42:AH43" si="79">AF42*AB42</f>
        <v>17.836744119999999</v>
      </c>
      <c r="AI42" s="308">
        <f t="shared" ref="AI42:AI43" si="80">((2*390/2)*AG42+(I42-2*390/2)*AH42)/I42</f>
        <v>16.731784182007875</v>
      </c>
      <c r="AJ42" s="298" t="s">
        <v>413</v>
      </c>
      <c r="AK42" s="298" t="s">
        <v>723</v>
      </c>
      <c r="AL42" s="298">
        <v>284</v>
      </c>
      <c r="AM42" s="298">
        <f>2*284</f>
        <v>568</v>
      </c>
      <c r="AN42" s="306">
        <f t="shared" si="11"/>
        <v>6.1139011166911218E-3</v>
      </c>
      <c r="AO42" s="298">
        <f>74.8*1000*J3</f>
        <v>515.72804799999994</v>
      </c>
      <c r="AP42" s="306">
        <f t="shared" ref="AP42:AP50" si="81">AO42/O42/K42</f>
        <v>3.6096451303587047</v>
      </c>
      <c r="AQ42" s="298">
        <f>64*O3</f>
        <v>1625.6</v>
      </c>
      <c r="AR42" s="298" t="s">
        <v>413</v>
      </c>
      <c r="AS42" s="298">
        <v>0</v>
      </c>
      <c r="AT42" s="298" t="s">
        <v>413</v>
      </c>
      <c r="AU42" s="298">
        <v>0</v>
      </c>
      <c r="AV42" s="298">
        <v>0</v>
      </c>
      <c r="AW42" s="298">
        <v>0</v>
      </c>
      <c r="AX42" s="298">
        <v>0</v>
      </c>
      <c r="AY42" s="298">
        <v>0</v>
      </c>
      <c r="AZ42" s="298">
        <v>0</v>
      </c>
      <c r="BA42" s="298">
        <v>0</v>
      </c>
      <c r="BB42" s="306">
        <f>BC42*Q42/1000</f>
        <v>200.17005127199999</v>
      </c>
      <c r="BC42" s="298">
        <f>250*J3</f>
        <v>1.7236899999999999</v>
      </c>
      <c r="BD42" s="327">
        <f t="shared" si="33"/>
        <v>0.10301889991227169</v>
      </c>
      <c r="BE42" s="309">
        <f t="shared" si="14"/>
        <v>2.4103718244379877</v>
      </c>
      <c r="BF42" s="327" t="s">
        <v>413</v>
      </c>
      <c r="BG42" s="327" t="s">
        <v>413</v>
      </c>
      <c r="BH42" s="327">
        <f>BM42*Q42/1000</f>
        <v>78.46666009862399</v>
      </c>
      <c r="BI42" s="373">
        <v>0.94430000000000003</v>
      </c>
      <c r="BJ42" s="360">
        <f t="shared" si="15"/>
        <v>1</v>
      </c>
      <c r="BK42" s="360">
        <f t="shared" si="16"/>
        <v>1</v>
      </c>
      <c r="BL42" s="311">
        <f t="shared" si="35"/>
        <v>74.096067131130638</v>
      </c>
      <c r="BM42" s="328">
        <f>98*J3</f>
        <v>0.67568647999999998</v>
      </c>
      <c r="BN42" s="328">
        <f>126*J3</f>
        <v>0.86873975999999997</v>
      </c>
      <c r="BO42" s="376"/>
      <c r="BP42" s="328">
        <f t="shared" si="36"/>
        <v>4.0904503642029288</v>
      </c>
      <c r="BQ42" s="328">
        <f t="shared" si="19"/>
        <v>0</v>
      </c>
      <c r="BR42" s="328">
        <f t="shared" si="49"/>
        <v>0.55577506069587923</v>
      </c>
      <c r="BS42" s="328">
        <f t="shared" si="37"/>
        <v>0</v>
      </c>
      <c r="BT42" s="328">
        <f t="shared" si="38"/>
        <v>1.7236899999999999</v>
      </c>
      <c r="BU42" s="376"/>
      <c r="BV42" s="328">
        <f t="shared" si="21"/>
        <v>0.5</v>
      </c>
      <c r="BW42" s="328">
        <f t="shared" si="22"/>
        <v>1</v>
      </c>
      <c r="BX42" s="373">
        <f t="shared" si="39"/>
        <v>0.65447205827246868</v>
      </c>
      <c r="BY42" s="311">
        <f t="shared" si="23"/>
        <v>55422.478313284744</v>
      </c>
      <c r="BZ42" s="311">
        <f t="shared" si="24"/>
        <v>0</v>
      </c>
      <c r="CA42" s="311">
        <f t="shared" si="40"/>
        <v>76003.054760711864</v>
      </c>
      <c r="CB42" s="307">
        <f t="shared" si="41"/>
        <v>55.422478313284742</v>
      </c>
      <c r="CC42" s="309">
        <f t="shared" si="42"/>
        <v>0.4772500733089875</v>
      </c>
      <c r="CD42" s="379">
        <f t="shared" si="25"/>
        <v>1.3369316816236607</v>
      </c>
    </row>
    <row r="43" spans="1:82" x14ac:dyDescent="0.25">
      <c r="A43" s="315">
        <v>35</v>
      </c>
      <c r="B43" s="315" t="s">
        <v>614</v>
      </c>
      <c r="C43" s="315" t="s">
        <v>650</v>
      </c>
      <c r="D43" s="315" t="s">
        <v>598</v>
      </c>
      <c r="E43" s="315" t="s">
        <v>668</v>
      </c>
      <c r="F43" s="315" t="s">
        <v>485</v>
      </c>
      <c r="G43" s="321">
        <f>64*O3</f>
        <v>1625.6</v>
      </c>
      <c r="H43" s="321">
        <f t="shared" si="0"/>
        <v>812.8</v>
      </c>
      <c r="I43" s="321">
        <f>32*O3</f>
        <v>812.8</v>
      </c>
      <c r="J43" s="329">
        <f t="shared" ref="J43" si="82">I43*G43</f>
        <v>1321287.6799999999</v>
      </c>
      <c r="K43" s="321">
        <f>(5+5/8)*O3</f>
        <v>142.875</v>
      </c>
      <c r="L43" s="329">
        <f t="shared" si="76"/>
        <v>650.24</v>
      </c>
      <c r="M43" s="319">
        <f t="shared" si="77"/>
        <v>2</v>
      </c>
      <c r="N43" s="319">
        <f t="shared" si="29"/>
        <v>1</v>
      </c>
      <c r="O43" s="319">
        <f t="shared" si="4"/>
        <v>1</v>
      </c>
      <c r="P43" s="315">
        <f>(2*396/2*K43)+(I43-2*396/2)*(31.75)*2</f>
        <v>83045.299999999988</v>
      </c>
      <c r="Q43" s="329">
        <f t="shared" si="5"/>
        <v>116128.79999999999</v>
      </c>
      <c r="R43" s="319">
        <f t="shared" si="6"/>
        <v>0.71511373578302706</v>
      </c>
      <c r="S43" s="322">
        <f>I43-200</f>
        <v>612.79999999999995</v>
      </c>
      <c r="T43" s="322">
        <f>G43</f>
        <v>1625.6</v>
      </c>
      <c r="U43" s="317">
        <f>2944*J3</f>
        <v>20.298173439999999</v>
      </c>
      <c r="V43" s="317">
        <f>2302*J3</f>
        <v>15.87173752</v>
      </c>
      <c r="W43" s="387">
        <f t="shared" si="30"/>
        <v>15.87173752</v>
      </c>
      <c r="X43" s="317">
        <f>2030*J3</f>
        <v>13.9963628</v>
      </c>
      <c r="Y43" s="387">
        <f t="shared" si="31"/>
        <v>13.9963628</v>
      </c>
      <c r="Z43" s="419" t="s">
        <v>413</v>
      </c>
      <c r="AA43" s="317">
        <f>2253*J3</f>
        <v>15.53389428</v>
      </c>
      <c r="AB43" s="317">
        <f>2587*J3</f>
        <v>17.836744119999999</v>
      </c>
      <c r="AC43" s="315">
        <v>5</v>
      </c>
      <c r="AD43" s="330">
        <f>(5*200)/K43</f>
        <v>6.99912510936133</v>
      </c>
      <c r="AE43" s="315">
        <v>5</v>
      </c>
      <c r="AF43" s="329">
        <v>1</v>
      </c>
      <c r="AG43" s="324">
        <f t="shared" si="78"/>
        <v>15.53389428</v>
      </c>
      <c r="AH43" s="324">
        <f t="shared" si="79"/>
        <v>17.836744119999999</v>
      </c>
      <c r="AI43" s="318">
        <f t="shared" si="80"/>
        <v>16.731784182007875</v>
      </c>
      <c r="AJ43" s="315" t="s">
        <v>413</v>
      </c>
      <c r="AK43" s="315" t="s">
        <v>719</v>
      </c>
      <c r="AL43" s="315">
        <v>284</v>
      </c>
      <c r="AM43" s="315">
        <f>2*284</f>
        <v>568</v>
      </c>
      <c r="AN43" s="316">
        <f t="shared" si="11"/>
        <v>6.1139011166911218E-3</v>
      </c>
      <c r="AO43" s="315">
        <f>74.8*1000*J3</f>
        <v>515.72804799999994</v>
      </c>
      <c r="AP43" s="316">
        <f t="shared" si="81"/>
        <v>3.6096451303587047</v>
      </c>
      <c r="AQ43" s="315">
        <f>64*O3</f>
        <v>1625.6</v>
      </c>
      <c r="AR43" s="315" t="s">
        <v>413</v>
      </c>
      <c r="AS43" s="315">
        <v>0</v>
      </c>
      <c r="AT43" s="315" t="s">
        <v>413</v>
      </c>
      <c r="AU43" s="315">
        <v>0</v>
      </c>
      <c r="AV43" s="315">
        <v>0</v>
      </c>
      <c r="AW43" s="315">
        <v>0</v>
      </c>
      <c r="AX43" s="315">
        <v>0</v>
      </c>
      <c r="AY43" s="315">
        <v>0</v>
      </c>
      <c r="AZ43" s="315">
        <v>0</v>
      </c>
      <c r="BA43" s="315">
        <v>0</v>
      </c>
      <c r="BB43" s="316">
        <f>BC42*Q42/1000</f>
        <v>200.17005127199999</v>
      </c>
      <c r="BC43" s="315">
        <f>250*J3</f>
        <v>1.7236899999999999</v>
      </c>
      <c r="BD43" s="329">
        <f t="shared" si="33"/>
        <v>0.10301889991227169</v>
      </c>
      <c r="BE43" s="319">
        <f t="shared" si="14"/>
        <v>2.4103718244379877</v>
      </c>
      <c r="BF43" s="329" t="s">
        <v>413</v>
      </c>
      <c r="BG43" s="329" t="s">
        <v>413</v>
      </c>
      <c r="BH43" s="329">
        <f>BM43*Q43/1000</f>
        <v>85.672781944415988</v>
      </c>
      <c r="BI43" s="373">
        <v>0.94430000000000003</v>
      </c>
      <c r="BJ43" s="315">
        <f t="shared" si="15"/>
        <v>1</v>
      </c>
      <c r="BK43" s="315">
        <f t="shared" si="16"/>
        <v>1</v>
      </c>
      <c r="BL43" s="321">
        <f t="shared" si="35"/>
        <v>80.900807990112014</v>
      </c>
      <c r="BM43" s="330">
        <f>107*J3</f>
        <v>0.73773931999999998</v>
      </c>
      <c r="BN43" s="330">
        <f>136*J3</f>
        <v>0.93768735999999997</v>
      </c>
      <c r="BO43" s="376"/>
      <c r="BP43" s="330">
        <f t="shared" si="36"/>
        <v>4.0904503642029288</v>
      </c>
      <c r="BQ43" s="330">
        <f t="shared" si="19"/>
        <v>0</v>
      </c>
      <c r="BR43" s="330">
        <f t="shared" si="49"/>
        <v>0.55577506069587923</v>
      </c>
      <c r="BS43" s="330">
        <f t="shared" si="37"/>
        <v>0</v>
      </c>
      <c r="BT43" s="330">
        <f t="shared" si="38"/>
        <v>1.7236899999999999</v>
      </c>
      <c r="BU43" s="376"/>
      <c r="BV43" s="328">
        <f t="shared" si="21"/>
        <v>0.5</v>
      </c>
      <c r="BW43" s="328">
        <f t="shared" si="22"/>
        <v>1</v>
      </c>
      <c r="BX43" s="373">
        <f t="shared" si="39"/>
        <v>0.65447205827246868</v>
      </c>
      <c r="BY43" s="311">
        <f t="shared" si="23"/>
        <v>55422.478313284744</v>
      </c>
      <c r="BZ43" s="311">
        <f t="shared" si="24"/>
        <v>0</v>
      </c>
      <c r="CA43" s="311">
        <f t="shared" si="40"/>
        <v>76003.054760711864</v>
      </c>
      <c r="CB43" s="307">
        <f t="shared" si="41"/>
        <v>55.422478313284742</v>
      </c>
      <c r="CC43" s="309">
        <f t="shared" si="42"/>
        <v>0.4772500733089875</v>
      </c>
      <c r="CD43" s="379">
        <f t="shared" si="25"/>
        <v>1.4597111217727723</v>
      </c>
    </row>
    <row r="44" spans="1:82" x14ac:dyDescent="0.25">
      <c r="A44" s="305">
        <v>36</v>
      </c>
      <c r="B44" s="298" t="s">
        <v>81</v>
      </c>
      <c r="C44" s="298" t="s">
        <v>584</v>
      </c>
      <c r="D44" s="298" t="s">
        <v>598</v>
      </c>
      <c r="E44" s="298" t="s">
        <v>675</v>
      </c>
      <c r="F44" s="298" t="s">
        <v>485</v>
      </c>
      <c r="G44" s="311">
        <f>((4*12)+8)*$O$3</f>
        <v>1422.3999999999999</v>
      </c>
      <c r="H44" s="311">
        <f>IF(F44="Cantilever",G44,0.5*G44)</f>
        <v>711.19999999999993</v>
      </c>
      <c r="I44" s="311">
        <f>4*12*$O$3</f>
        <v>1219.1999999999998</v>
      </c>
      <c r="J44" s="327">
        <f>I44*G44</f>
        <v>1734190.0799999996</v>
      </c>
      <c r="K44" s="311">
        <f>8*$O$3-10</f>
        <v>193.2</v>
      </c>
      <c r="L44" s="327">
        <f t="shared" si="76"/>
        <v>975.3599999999999</v>
      </c>
      <c r="M44" s="309">
        <f>G44/I44</f>
        <v>1.1666666666666667</v>
      </c>
      <c r="N44" s="309">
        <f t="shared" si="29"/>
        <v>0.58333333333333337</v>
      </c>
      <c r="O44" s="309">
        <f t="shared" si="4"/>
        <v>0.58333333333333337</v>
      </c>
      <c r="P44" s="312">
        <f>220*O3^2</f>
        <v>141935.19999999998</v>
      </c>
      <c r="Q44" s="327">
        <f t="shared" si="5"/>
        <v>235549.43999999994</v>
      </c>
      <c r="R44" s="309">
        <f t="shared" si="6"/>
        <v>0.60257073844030373</v>
      </c>
      <c r="S44" s="312">
        <f>I44-200</f>
        <v>1019.1999999999998</v>
      </c>
      <c r="T44" s="312">
        <f>G44</f>
        <v>1422.3999999999999</v>
      </c>
      <c r="U44" s="308" t="s">
        <v>413</v>
      </c>
      <c r="V44" s="310">
        <f>2754*J3</f>
        <v>18.988169039999999</v>
      </c>
      <c r="W44" s="387">
        <f t="shared" si="30"/>
        <v>18.988169039999999</v>
      </c>
      <c r="X44" s="307">
        <f>3810*J3</f>
        <v>26.269035599999999</v>
      </c>
      <c r="Y44" s="387">
        <f t="shared" si="31"/>
        <v>26.269035599999999</v>
      </c>
      <c r="Z44" s="418">
        <v>0.6</v>
      </c>
      <c r="AA44" s="307">
        <f>1710*$J$3</f>
        <v>11.7900396</v>
      </c>
      <c r="AB44" s="366">
        <v>10.6</v>
      </c>
      <c r="AC44" s="311">
        <v>5</v>
      </c>
      <c r="AD44" s="328">
        <v>5</v>
      </c>
      <c r="AE44" s="311">
        <v>3</v>
      </c>
      <c r="AF44" s="313">
        <f>1-0.058*(5-AD44)^1.07</f>
        <v>1</v>
      </c>
      <c r="AG44" s="313">
        <f t="shared" ref="AG44:AG45" si="83">AF44*AA44</f>
        <v>11.7900396</v>
      </c>
      <c r="AH44" s="313">
        <f t="shared" ref="AH44:AH45" si="84">AF44*AB44</f>
        <v>10.6</v>
      </c>
      <c r="AI44" s="308">
        <f>((2*390/2)*AG44+(I44-2*390/2)*AH44)/I44</f>
        <v>10.980672116141733</v>
      </c>
      <c r="AJ44" s="298" t="s">
        <v>413</v>
      </c>
      <c r="AK44" s="298" t="s">
        <v>413</v>
      </c>
      <c r="AL44" s="298">
        <v>0</v>
      </c>
      <c r="AM44" s="298">
        <v>0</v>
      </c>
      <c r="AN44" s="306">
        <f t="shared" si="11"/>
        <v>0</v>
      </c>
      <c r="AO44" s="298">
        <v>0</v>
      </c>
      <c r="AP44" s="306">
        <f t="shared" si="81"/>
        <v>0</v>
      </c>
      <c r="AQ44" s="298">
        <v>0</v>
      </c>
      <c r="AR44" s="298" t="s">
        <v>413</v>
      </c>
      <c r="AS44" s="298">
        <v>0</v>
      </c>
      <c r="AT44" s="298" t="s">
        <v>413</v>
      </c>
      <c r="AU44" s="298">
        <v>0</v>
      </c>
      <c r="AV44" s="298">
        <v>0</v>
      </c>
      <c r="AW44" s="312">
        <f>AU44+AS44</f>
        <v>0</v>
      </c>
      <c r="AX44" s="306">
        <v>0</v>
      </c>
      <c r="AY44" s="298">
        <v>0</v>
      </c>
      <c r="AZ44" s="306">
        <v>0</v>
      </c>
      <c r="BA44" s="298">
        <v>0</v>
      </c>
      <c r="BB44" s="307">
        <f>42.2*$T$3*1000</f>
        <v>187.71488400000004</v>
      </c>
      <c r="BC44" s="309">
        <f>BB44/Q44*1000</f>
        <v>0.7969234993723614</v>
      </c>
      <c r="BD44" s="313">
        <f t="shared" si="33"/>
        <v>7.2575111153794794E-2</v>
      </c>
      <c r="BE44" s="309">
        <f t="shared" si="14"/>
        <v>1.3225393278059288</v>
      </c>
      <c r="BF44" s="327">
        <f>BH44*2-BG44</f>
        <v>107.20210200000001</v>
      </c>
      <c r="BG44" s="311">
        <f>26.3*1000*$T$3</f>
        <v>116.988186</v>
      </c>
      <c r="BH44" s="311">
        <f>25.2*1000*$T$3</f>
        <v>112.095144</v>
      </c>
      <c r="BI44" s="311">
        <v>1</v>
      </c>
      <c r="BJ44" s="360">
        <f t="shared" si="15"/>
        <v>1</v>
      </c>
      <c r="BK44" s="360">
        <f t="shared" si="16"/>
        <v>0.9</v>
      </c>
      <c r="BL44" s="311">
        <f t="shared" si="35"/>
        <v>100.8856296</v>
      </c>
      <c r="BM44" s="325">
        <f>BH44/(K44*I44)*1000</f>
        <v>0.4758879664498461</v>
      </c>
      <c r="BN44" s="325">
        <f>BH44/P44*1000</f>
        <v>0.78976282134382458</v>
      </c>
      <c r="BO44" s="376"/>
      <c r="BP44" s="328">
        <f t="shared" si="36"/>
        <v>5.6806452362824196</v>
      </c>
      <c r="BQ44" s="328">
        <f t="shared" si="19"/>
        <v>0</v>
      </c>
      <c r="BR44" s="328">
        <f t="shared" si="49"/>
        <v>0</v>
      </c>
      <c r="BS44" s="328">
        <f t="shared" si="37"/>
        <v>0</v>
      </c>
      <c r="BT44" s="328">
        <f t="shared" si="38"/>
        <v>0.7969234993723614</v>
      </c>
      <c r="BU44" s="376"/>
      <c r="BV44" s="328">
        <f t="shared" si="21"/>
        <v>0.5</v>
      </c>
      <c r="BW44" s="328">
        <f t="shared" si="22"/>
        <v>0.72916666666666663</v>
      </c>
      <c r="BX44" s="373">
        <f t="shared" si="39"/>
        <v>0.67378764330349827</v>
      </c>
      <c r="BY44" s="311">
        <f t="shared" si="23"/>
        <v>86948.481323623506</v>
      </c>
      <c r="BZ44" s="311">
        <f t="shared" si="24"/>
        <v>0</v>
      </c>
      <c r="CA44" s="311">
        <f t="shared" si="40"/>
        <v>124886.7950628659</v>
      </c>
      <c r="CB44" s="307">
        <f t="shared" si="41"/>
        <v>86.948481323623511</v>
      </c>
      <c r="CC44" s="309">
        <f t="shared" si="42"/>
        <v>0.36913049474294451</v>
      </c>
      <c r="CD44" s="379">
        <f t="shared" si="25"/>
        <v>1.1602920265450321</v>
      </c>
    </row>
    <row r="45" spans="1:82" x14ac:dyDescent="0.25">
      <c r="A45" s="305">
        <v>37</v>
      </c>
      <c r="B45" s="298" t="s">
        <v>81</v>
      </c>
      <c r="C45" s="298" t="s">
        <v>585</v>
      </c>
      <c r="D45" s="298" t="s">
        <v>598</v>
      </c>
      <c r="E45" s="298" t="s">
        <v>675</v>
      </c>
      <c r="F45" s="298" t="s">
        <v>485</v>
      </c>
      <c r="G45" s="311">
        <f>((4*12)+8)*$O$3</f>
        <v>1422.3999999999999</v>
      </c>
      <c r="H45" s="311">
        <f>IF(F45="Cantilever",G45,0.5*G45)</f>
        <v>711.19999999999993</v>
      </c>
      <c r="I45" s="311">
        <f>4*12*$O$3</f>
        <v>1219.1999999999998</v>
      </c>
      <c r="J45" s="327">
        <f>I45*G45</f>
        <v>1734190.0799999996</v>
      </c>
      <c r="K45" s="311">
        <f>8*$O$3-10</f>
        <v>193.2</v>
      </c>
      <c r="L45" s="327">
        <f t="shared" si="76"/>
        <v>975.3599999999999</v>
      </c>
      <c r="M45" s="309">
        <f>G45/I45</f>
        <v>1.1666666666666667</v>
      </c>
      <c r="N45" s="309">
        <f t="shared" si="29"/>
        <v>0.58333333333333337</v>
      </c>
      <c r="O45" s="309">
        <f t="shared" si="4"/>
        <v>0.58333333333333337</v>
      </c>
      <c r="P45" s="312">
        <f>220*O3^2</f>
        <v>141935.19999999998</v>
      </c>
      <c r="Q45" s="327">
        <f t="shared" si="5"/>
        <v>235549.43999999994</v>
      </c>
      <c r="R45" s="309">
        <f t="shared" si="6"/>
        <v>0.60257073844030373</v>
      </c>
      <c r="S45" s="312">
        <f t="shared" ref="S45:S47" si="85">I45-200</f>
        <v>1019.1999999999998</v>
      </c>
      <c r="T45" s="312">
        <f>G45/2</f>
        <v>711.19999999999993</v>
      </c>
      <c r="U45" s="308" t="s">
        <v>413</v>
      </c>
      <c r="V45" s="310">
        <f>2754*J3</f>
        <v>18.988169039999999</v>
      </c>
      <c r="W45" s="387">
        <f t="shared" si="30"/>
        <v>18.988169039999999</v>
      </c>
      <c r="X45" s="307">
        <f>3810*J3</f>
        <v>26.269035599999999</v>
      </c>
      <c r="Y45" s="387">
        <f t="shared" si="31"/>
        <v>26.269035599999999</v>
      </c>
      <c r="Z45" s="418">
        <v>0.6</v>
      </c>
      <c r="AA45" s="307">
        <f>1710*$J$3</f>
        <v>11.7900396</v>
      </c>
      <c r="AB45" s="366">
        <v>10.6</v>
      </c>
      <c r="AC45" s="311">
        <v>5</v>
      </c>
      <c r="AD45" s="328">
        <v>5</v>
      </c>
      <c r="AE45" s="311">
        <v>3</v>
      </c>
      <c r="AF45" s="313">
        <f>1-0.058*(5-AD45)^1.07</f>
        <v>1</v>
      </c>
      <c r="AG45" s="313">
        <f t="shared" si="83"/>
        <v>11.7900396</v>
      </c>
      <c r="AH45" s="313">
        <f t="shared" si="84"/>
        <v>10.6</v>
      </c>
      <c r="AI45" s="308">
        <f t="shared" ref="AI45:AI47" si="86">((2*390/2)*AG45+(I45-2*390/2)*AH45)/I45</f>
        <v>10.980672116141733</v>
      </c>
      <c r="AJ45" s="298" t="s">
        <v>413</v>
      </c>
      <c r="AK45" s="298" t="s">
        <v>724</v>
      </c>
      <c r="AL45" s="298">
        <v>200</v>
      </c>
      <c r="AM45" s="298">
        <f>2*200</f>
        <v>400</v>
      </c>
      <c r="AN45" s="306">
        <f t="shared" si="11"/>
        <v>2.1226966194443091E-3</v>
      </c>
      <c r="AO45" s="311">
        <f>70.81*1000*J3</f>
        <v>488.21795559999998</v>
      </c>
      <c r="AP45" s="306">
        <f t="shared" si="81"/>
        <v>4.3320138030168591</v>
      </c>
      <c r="AQ45" s="298">
        <f>(3*12+6)*$O$3</f>
        <v>1066.8</v>
      </c>
      <c r="AR45" s="298" t="s">
        <v>724</v>
      </c>
      <c r="AS45" s="298">
        <f>1*200</f>
        <v>200</v>
      </c>
      <c r="AT45" s="298" t="s">
        <v>413</v>
      </c>
      <c r="AU45" s="298">
        <v>0</v>
      </c>
      <c r="AV45" s="298">
        <v>200</v>
      </c>
      <c r="AW45" s="312">
        <f>AU45+AS45</f>
        <v>200</v>
      </c>
      <c r="AX45" s="306">
        <f>AV45/BA45/K45</f>
        <v>1.4555633961903832E-3</v>
      </c>
      <c r="AY45" s="311">
        <f>47.91*1000*J3</f>
        <v>330.32795160000001</v>
      </c>
      <c r="AZ45" s="306">
        <f>AX45*AY45</f>
        <v>0.48081327508750854</v>
      </c>
      <c r="BA45" s="311">
        <f>0.5*G45</f>
        <v>711.19999999999993</v>
      </c>
      <c r="BB45" s="307">
        <f>30.2*$T$3*1000</f>
        <v>134.33624399999999</v>
      </c>
      <c r="BC45" s="309">
        <f>BB45/Q45*1000</f>
        <v>0.57031018201529171</v>
      </c>
      <c r="BD45" s="313">
        <f t="shared" si="33"/>
        <v>5.1937638787786788E-2</v>
      </c>
      <c r="BE45" s="309">
        <f t="shared" si="14"/>
        <v>0.94646179383267859</v>
      </c>
      <c r="BF45" s="327">
        <f t="shared" ref="BF45:BF47" si="87">BH45*2-BG45</f>
        <v>195.72167999999999</v>
      </c>
      <c r="BG45" s="311">
        <f>49.6*1000*$T$3</f>
        <v>220.63171199999999</v>
      </c>
      <c r="BH45" s="311">
        <f>46.8*1000*$T$3</f>
        <v>208.17669599999999</v>
      </c>
      <c r="BI45" s="311">
        <v>1</v>
      </c>
      <c r="BJ45" s="360">
        <f t="shared" si="15"/>
        <v>1</v>
      </c>
      <c r="BK45" s="360">
        <f t="shared" si="16"/>
        <v>0.9</v>
      </c>
      <c r="BL45" s="311">
        <f t="shared" si="35"/>
        <v>187.3590264</v>
      </c>
      <c r="BM45" s="325">
        <f>BH45/(K45*I45)*1000</f>
        <v>0.88379193769257125</v>
      </c>
      <c r="BN45" s="325">
        <f>BH45/P45*1000</f>
        <v>1.4667023824956744</v>
      </c>
      <c r="BO45" s="376"/>
      <c r="BP45" s="328">
        <f t="shared" si="36"/>
        <v>5.6806452362824196</v>
      </c>
      <c r="BQ45" s="328">
        <f t="shared" si="19"/>
        <v>0.48081327508750854</v>
      </c>
      <c r="BR45" s="328">
        <f t="shared" si="49"/>
        <v>0.49148576584345277</v>
      </c>
      <c r="BS45" s="328">
        <f t="shared" si="37"/>
        <v>1.3845566336927999</v>
      </c>
      <c r="BT45" s="328">
        <f t="shared" si="38"/>
        <v>0.57031018201529171</v>
      </c>
      <c r="BU45" s="376"/>
      <c r="BV45" s="328">
        <f t="shared" si="21"/>
        <v>0.5</v>
      </c>
      <c r="BW45" s="328">
        <f t="shared" si="22"/>
        <v>0.72916666666666663</v>
      </c>
      <c r="BX45" s="373">
        <f t="shared" si="39"/>
        <v>0.67378764330349827</v>
      </c>
      <c r="BY45" s="311">
        <f t="shared" si="23"/>
        <v>80276.15132362349</v>
      </c>
      <c r="BZ45" s="311">
        <f t="shared" si="24"/>
        <v>54362.542891885714</v>
      </c>
      <c r="CA45" s="311">
        <f t="shared" si="40"/>
        <v>124886.7950628659</v>
      </c>
      <c r="CB45" s="307">
        <f t="shared" si="41"/>
        <v>124.8867950628659</v>
      </c>
      <c r="CC45" s="309">
        <f t="shared" si="42"/>
        <v>0.53019355538635937</v>
      </c>
      <c r="CD45" s="379">
        <f t="shared" si="25"/>
        <v>1.5002308795392389</v>
      </c>
    </row>
    <row r="46" spans="1:82" x14ac:dyDescent="0.25">
      <c r="A46" s="305">
        <v>38</v>
      </c>
      <c r="B46" s="298" t="s">
        <v>81</v>
      </c>
      <c r="C46" s="298" t="s">
        <v>586</v>
      </c>
      <c r="D46" s="298" t="s">
        <v>598</v>
      </c>
      <c r="E46" s="298" t="s">
        <v>675</v>
      </c>
      <c r="F46" s="298" t="s">
        <v>485</v>
      </c>
      <c r="G46" s="311">
        <f>((4*12)+8)*$O$3</f>
        <v>1422.3999999999999</v>
      </c>
      <c r="H46" s="311">
        <f>IF(F46="Cantilever",G46,0.5*G46)</f>
        <v>711.19999999999993</v>
      </c>
      <c r="I46" s="311">
        <f>4*12*$O$3</f>
        <v>1219.1999999999998</v>
      </c>
      <c r="J46" s="327">
        <f>I46*G46</f>
        <v>1734190.0799999996</v>
      </c>
      <c r="K46" s="311">
        <f>8*$O$3-10</f>
        <v>193.2</v>
      </c>
      <c r="L46" s="327">
        <f t="shared" si="76"/>
        <v>975.3599999999999</v>
      </c>
      <c r="M46" s="309">
        <f>G46/I46</f>
        <v>1.1666666666666667</v>
      </c>
      <c r="N46" s="309">
        <f t="shared" si="29"/>
        <v>0.58333333333333337</v>
      </c>
      <c r="O46" s="309">
        <f t="shared" si="4"/>
        <v>0.58333333333333337</v>
      </c>
      <c r="P46" s="312">
        <f>220*O3^2</f>
        <v>141935.19999999998</v>
      </c>
      <c r="Q46" s="327">
        <f t="shared" si="5"/>
        <v>235549.43999999994</v>
      </c>
      <c r="R46" s="309">
        <f t="shared" si="6"/>
        <v>0.60257073844030373</v>
      </c>
      <c r="S46" s="312">
        <f t="shared" si="85"/>
        <v>1019.1999999999998</v>
      </c>
      <c r="T46" s="312">
        <f>G46</f>
        <v>1422.3999999999999</v>
      </c>
      <c r="U46" s="308" t="s">
        <v>413</v>
      </c>
      <c r="V46" s="310">
        <f>2942*J3</f>
        <v>20.28438392</v>
      </c>
      <c r="W46" s="387">
        <f t="shared" si="30"/>
        <v>20.28438392</v>
      </c>
      <c r="X46" s="307">
        <f>6850*J3</f>
        <v>47.229106000000002</v>
      </c>
      <c r="Y46" s="387">
        <f t="shared" si="31"/>
        <v>47.229106000000002</v>
      </c>
      <c r="Z46" s="418">
        <v>0.6</v>
      </c>
      <c r="AA46" s="307">
        <f>1710*$J$3</f>
        <v>11.7900396</v>
      </c>
      <c r="AB46" s="366">
        <v>10.8</v>
      </c>
      <c r="AC46" s="311">
        <v>5</v>
      </c>
      <c r="AD46" s="328">
        <v>5</v>
      </c>
      <c r="AE46" s="311">
        <v>3</v>
      </c>
      <c r="AF46" s="313">
        <f>1-0.058*(5-AD46)^1.07</f>
        <v>1</v>
      </c>
      <c r="AG46" s="313">
        <f t="shared" ref="AG46:AG47" si="88">AF46*AA46</f>
        <v>11.7900396</v>
      </c>
      <c r="AH46" s="313">
        <f t="shared" ref="AH46:AH47" si="89">AF46*AB46</f>
        <v>10.8</v>
      </c>
      <c r="AI46" s="308">
        <f t="shared" si="86"/>
        <v>11.116695738188978</v>
      </c>
      <c r="AJ46" s="298" t="s">
        <v>413</v>
      </c>
      <c r="AK46" s="298" t="s">
        <v>725</v>
      </c>
      <c r="AL46" s="298">
        <v>509</v>
      </c>
      <c r="AM46" s="298">
        <f>2*509</f>
        <v>1018</v>
      </c>
      <c r="AN46" s="306">
        <f t="shared" si="11"/>
        <v>5.4022628964857664E-3</v>
      </c>
      <c r="AO46" s="311">
        <f>69.2*1000*J3</f>
        <v>477.117392</v>
      </c>
      <c r="AP46" s="306">
        <f t="shared" si="81"/>
        <v>4.2335172315882872</v>
      </c>
      <c r="AQ46" s="298">
        <f>(3*12+6)*$O$3</f>
        <v>1066.8</v>
      </c>
      <c r="AR46" s="298" t="s">
        <v>413</v>
      </c>
      <c r="AS46" s="298">
        <v>0</v>
      </c>
      <c r="AT46" s="298" t="s">
        <v>413</v>
      </c>
      <c r="AU46" s="298">
        <v>0</v>
      </c>
      <c r="AV46" s="298">
        <v>0</v>
      </c>
      <c r="AW46" s="312">
        <f>AU46+AS46</f>
        <v>0</v>
      </c>
      <c r="AX46" s="306">
        <v>0</v>
      </c>
      <c r="AY46" s="298">
        <v>0</v>
      </c>
      <c r="AZ46" s="306">
        <v>0</v>
      </c>
      <c r="BA46" s="298">
        <v>0</v>
      </c>
      <c r="BB46" s="307">
        <f>29.2*$T$3*1000</f>
        <v>129.888024</v>
      </c>
      <c r="BC46" s="309">
        <f>BB46/Q46*1000</f>
        <v>0.55142573890220259</v>
      </c>
      <c r="BD46" s="313">
        <f t="shared" si="33"/>
        <v>4.9603385024553651E-2</v>
      </c>
      <c r="BE46" s="309">
        <f t="shared" si="14"/>
        <v>0.9151219993349079</v>
      </c>
      <c r="BF46" s="327">
        <f t="shared" si="87"/>
        <v>158.80145400000004</v>
      </c>
      <c r="BG46" s="311">
        <f>37.9*1000*$T$3</f>
        <v>168.587538</v>
      </c>
      <c r="BH46" s="311">
        <f>36.8*1000*$T$3</f>
        <v>163.69449600000002</v>
      </c>
      <c r="BI46" s="311">
        <v>1</v>
      </c>
      <c r="BJ46" s="360">
        <f t="shared" si="15"/>
        <v>1</v>
      </c>
      <c r="BK46" s="360">
        <f t="shared" si="16"/>
        <v>0.9</v>
      </c>
      <c r="BL46" s="311">
        <f t="shared" si="35"/>
        <v>147.32504640000002</v>
      </c>
      <c r="BM46" s="325">
        <f>BH46/(K46*I46)*1000</f>
        <v>0.69494750656168003</v>
      </c>
      <c r="BN46" s="325">
        <f>BH46/P46*1000</f>
        <v>1.1533044375179662</v>
      </c>
      <c r="BO46" s="376"/>
      <c r="BP46" s="328">
        <f t="shared" si="36"/>
        <v>5.7157215808487249</v>
      </c>
      <c r="BQ46" s="328">
        <f t="shared" si="19"/>
        <v>0</v>
      </c>
      <c r="BR46" s="328">
        <f t="shared" si="49"/>
        <v>1.039305883471515</v>
      </c>
      <c r="BS46" s="328">
        <f t="shared" si="37"/>
        <v>0</v>
      </c>
      <c r="BT46" s="328">
        <f t="shared" si="38"/>
        <v>0.55142573890220259</v>
      </c>
      <c r="BU46" s="376"/>
      <c r="BV46" s="328">
        <f t="shared" si="21"/>
        <v>0.5</v>
      </c>
      <c r="BW46" s="328">
        <f t="shared" si="22"/>
        <v>0.72916666666666663</v>
      </c>
      <c r="BX46" s="373">
        <f t="shared" si="39"/>
        <v>0.67794808750622393</v>
      </c>
      <c r="BY46" s="311">
        <f t="shared" si="23"/>
        <v>80112.119944464808</v>
      </c>
      <c r="BZ46" s="311">
        <f t="shared" si="24"/>
        <v>0</v>
      </c>
      <c r="CA46" s="311">
        <f t="shared" si="40"/>
        <v>125657.93497271764</v>
      </c>
      <c r="CB46" s="307">
        <f t="shared" si="41"/>
        <v>80.112119944464808</v>
      </c>
      <c r="CC46" s="309">
        <f t="shared" si="42"/>
        <v>0.34010745236526491</v>
      </c>
      <c r="CD46" s="379">
        <f t="shared" si="25"/>
        <v>1.83898574275813</v>
      </c>
    </row>
    <row r="47" spans="1:82" x14ac:dyDescent="0.25">
      <c r="A47" s="315">
        <v>39</v>
      </c>
      <c r="B47" s="315" t="s">
        <v>81</v>
      </c>
      <c r="C47" s="315" t="s">
        <v>587</v>
      </c>
      <c r="D47" s="315" t="s">
        <v>598</v>
      </c>
      <c r="E47" s="315" t="s">
        <v>675</v>
      </c>
      <c r="F47" s="315" t="s">
        <v>485</v>
      </c>
      <c r="G47" s="321">
        <f>((4*12)+8)*$O$3</f>
        <v>1422.3999999999999</v>
      </c>
      <c r="H47" s="321">
        <f>IF(F47="Cantilever",G47,0.5*G47)</f>
        <v>711.19999999999993</v>
      </c>
      <c r="I47" s="321">
        <f>4*12*$O$3</f>
        <v>1219.1999999999998</v>
      </c>
      <c r="J47" s="329">
        <f>I47*G47</f>
        <v>1734190.0799999996</v>
      </c>
      <c r="K47" s="321">
        <f>8*$O$3-10</f>
        <v>193.2</v>
      </c>
      <c r="L47" s="329">
        <f t="shared" si="76"/>
        <v>975.3599999999999</v>
      </c>
      <c r="M47" s="319">
        <f>G47/I47</f>
        <v>1.1666666666666667</v>
      </c>
      <c r="N47" s="319">
        <f t="shared" si="29"/>
        <v>0.58333333333333337</v>
      </c>
      <c r="O47" s="319">
        <f t="shared" si="4"/>
        <v>0.58333333333333337</v>
      </c>
      <c r="P47" s="322">
        <f>220*O3^2</f>
        <v>141935.19999999998</v>
      </c>
      <c r="Q47" s="329">
        <f t="shared" si="5"/>
        <v>235549.43999999994</v>
      </c>
      <c r="R47" s="319">
        <f t="shared" si="6"/>
        <v>0.60257073844030373</v>
      </c>
      <c r="S47" s="322">
        <f t="shared" si="85"/>
        <v>1019.1999999999998</v>
      </c>
      <c r="T47" s="322">
        <f>G47/3</f>
        <v>474.13333333333327</v>
      </c>
      <c r="U47" s="318" t="s">
        <v>413</v>
      </c>
      <c r="V47" s="320">
        <f>2322*J3</f>
        <v>16.009632719999999</v>
      </c>
      <c r="W47" s="387">
        <f t="shared" si="30"/>
        <v>16.009632719999999</v>
      </c>
      <c r="X47" s="317">
        <f>6895*J3</f>
        <v>47.5393702</v>
      </c>
      <c r="Y47" s="387">
        <f t="shared" si="31"/>
        <v>47.5393702</v>
      </c>
      <c r="Z47" s="419">
        <v>0.6</v>
      </c>
      <c r="AA47" s="317">
        <f>1710*$J$3</f>
        <v>11.7900396</v>
      </c>
      <c r="AB47" s="367">
        <v>10</v>
      </c>
      <c r="AC47" s="321">
        <v>5</v>
      </c>
      <c r="AD47" s="330">
        <v>5</v>
      </c>
      <c r="AE47" s="321">
        <v>3</v>
      </c>
      <c r="AF47" s="324">
        <f>1-0.058*(5-AD47)^1.07</f>
        <v>1</v>
      </c>
      <c r="AG47" s="324">
        <f t="shared" si="88"/>
        <v>11.7900396</v>
      </c>
      <c r="AH47" s="324">
        <f t="shared" si="89"/>
        <v>10</v>
      </c>
      <c r="AI47" s="318">
        <f t="shared" si="86"/>
        <v>10.572601250000002</v>
      </c>
      <c r="AJ47" s="315" t="s">
        <v>413</v>
      </c>
      <c r="AK47" s="315" t="s">
        <v>725</v>
      </c>
      <c r="AL47" s="315">
        <v>509</v>
      </c>
      <c r="AM47" s="315">
        <f>2*509</f>
        <v>1018</v>
      </c>
      <c r="AN47" s="316">
        <f t="shared" si="11"/>
        <v>5.4022628964857664E-3</v>
      </c>
      <c r="AO47" s="321">
        <f>69.2*1000*J3</f>
        <v>477.117392</v>
      </c>
      <c r="AP47" s="316">
        <f t="shared" si="81"/>
        <v>4.2335172315882872</v>
      </c>
      <c r="AQ47" s="315">
        <f>(3*12+6)*$O$3</f>
        <v>1066.8</v>
      </c>
      <c r="AR47" s="315" t="s">
        <v>726</v>
      </c>
      <c r="AS47" s="315">
        <f>2*200</f>
        <v>400</v>
      </c>
      <c r="AT47" s="315" t="s">
        <v>413</v>
      </c>
      <c r="AU47" s="315">
        <v>0</v>
      </c>
      <c r="AV47" s="315">
        <v>200</v>
      </c>
      <c r="AW47" s="322">
        <f>AU47+AS47</f>
        <v>400</v>
      </c>
      <c r="AX47" s="316">
        <f>AV47/BA47/K47</f>
        <v>2.1833450942855752E-3</v>
      </c>
      <c r="AY47" s="321">
        <f>47.91*1000*J3</f>
        <v>330.32795160000001</v>
      </c>
      <c r="AZ47" s="316">
        <f>AX47*AY47</f>
        <v>0.72121991263126295</v>
      </c>
      <c r="BA47" s="321">
        <f>1/3*G47</f>
        <v>474.13333333333327</v>
      </c>
      <c r="BB47" s="317">
        <f>31.2*$T$3*1000</f>
        <v>138.78446399999999</v>
      </c>
      <c r="BC47" s="319">
        <f>BB47/Q47*1000</f>
        <v>0.58919462512838072</v>
      </c>
      <c r="BD47" s="324">
        <f t="shared" si="33"/>
        <v>5.5728444797667996E-2</v>
      </c>
      <c r="BE47" s="319">
        <f t="shared" si="14"/>
        <v>0.97780158833044939</v>
      </c>
      <c r="BF47" s="329">
        <f t="shared" si="87"/>
        <v>209.95598400000003</v>
      </c>
      <c r="BG47" s="321">
        <f>50.2*1000*$T$3</f>
        <v>223.30064400000001</v>
      </c>
      <c r="BH47" s="321">
        <f>48.7*1000*$T$3</f>
        <v>216.62831400000002</v>
      </c>
      <c r="BI47" s="321">
        <v>1</v>
      </c>
      <c r="BJ47" s="315">
        <f t="shared" si="15"/>
        <v>1</v>
      </c>
      <c r="BK47" s="315">
        <f t="shared" si="16"/>
        <v>0.9</v>
      </c>
      <c r="BL47" s="321">
        <f t="shared" si="35"/>
        <v>194.96548260000003</v>
      </c>
      <c r="BM47" s="326">
        <f>BH47/(K47*I47)*1000</f>
        <v>0.91967237960744075</v>
      </c>
      <c r="BN47" s="326">
        <f>BH47/P47*1000</f>
        <v>1.5262479920414389</v>
      </c>
      <c r="BO47" s="376"/>
      <c r="BP47" s="330">
        <f t="shared" si="36"/>
        <v>5.5740920007345647</v>
      </c>
      <c r="BQ47" s="330">
        <f t="shared" si="19"/>
        <v>0.72121991263126295</v>
      </c>
      <c r="BR47" s="330">
        <f t="shared" si="49"/>
        <v>1.0427140736909042</v>
      </c>
      <c r="BS47" s="330">
        <f t="shared" si="37"/>
        <v>1.6639214444264729</v>
      </c>
      <c r="BT47" s="330">
        <f t="shared" si="38"/>
        <v>0.58919462512838072</v>
      </c>
      <c r="BU47" s="376"/>
      <c r="BV47" s="328">
        <f t="shared" si="21"/>
        <v>0.5</v>
      </c>
      <c r="BW47" s="328">
        <f t="shared" si="22"/>
        <v>0.72916666666666663</v>
      </c>
      <c r="BX47" s="373">
        <f t="shared" si="39"/>
        <v>0.66114924564268329</v>
      </c>
      <c r="BY47" s="311">
        <f t="shared" si="23"/>
        <v>79641.391827022584</v>
      </c>
      <c r="BZ47" s="311">
        <f t="shared" si="24"/>
        <v>163087.62867565715</v>
      </c>
      <c r="CA47" s="311">
        <f t="shared" si="40"/>
        <v>122544.26326627393</v>
      </c>
      <c r="CB47" s="307">
        <f t="shared" si="41"/>
        <v>122.54426326627393</v>
      </c>
      <c r="CC47" s="309">
        <f t="shared" si="42"/>
        <v>0.52024858673522623</v>
      </c>
      <c r="CD47" s="379">
        <f t="shared" si="25"/>
        <v>1.5909800867329342</v>
      </c>
    </row>
    <row r="48" spans="1:82" x14ac:dyDescent="0.25">
      <c r="A48" s="305">
        <v>40</v>
      </c>
      <c r="B48" s="298" t="s">
        <v>609</v>
      </c>
      <c r="C48" s="298" t="s">
        <v>652</v>
      </c>
      <c r="D48" s="298" t="s">
        <v>598</v>
      </c>
      <c r="E48" s="343" t="s">
        <v>668</v>
      </c>
      <c r="F48" s="298" t="s">
        <v>485</v>
      </c>
      <c r="G48" s="311">
        <v>2400</v>
      </c>
      <c r="H48" s="311">
        <f t="shared" ref="H48:H104" si="90">IF(F48="Cantilever",G48,0.5*G48)</f>
        <v>1200</v>
      </c>
      <c r="I48" s="311">
        <v>1600</v>
      </c>
      <c r="J48" s="327">
        <f t="shared" ref="J48:J105" si="91">I48*G48</f>
        <v>3840000</v>
      </c>
      <c r="K48" s="311">
        <v>140</v>
      </c>
      <c r="L48" s="327">
        <f t="shared" ref="L48:L105" si="92">0.8*I48</f>
        <v>1280</v>
      </c>
      <c r="M48" s="309">
        <f t="shared" ref="M48:M89" si="93">G48/I48</f>
        <v>1.5</v>
      </c>
      <c r="N48" s="309">
        <f t="shared" si="29"/>
        <v>0.75</v>
      </c>
      <c r="O48" s="309">
        <f t="shared" si="4"/>
        <v>0.75</v>
      </c>
      <c r="P48" s="306">
        <f>(4*390/2*K48)+(I48-4*390/2)*(30)*2</f>
        <v>158400</v>
      </c>
      <c r="Q48" s="327">
        <f t="shared" si="5"/>
        <v>224000</v>
      </c>
      <c r="R48" s="309">
        <f t="shared" si="6"/>
        <v>0.70714285714285718</v>
      </c>
      <c r="S48" s="312">
        <v>400</v>
      </c>
      <c r="T48" s="312">
        <v>1000</v>
      </c>
      <c r="U48" s="308" t="s">
        <v>413</v>
      </c>
      <c r="V48" s="308" t="s">
        <v>413</v>
      </c>
      <c r="W48" s="387">
        <f t="shared" si="30"/>
        <v>0</v>
      </c>
      <c r="X48" s="298">
        <v>26</v>
      </c>
      <c r="Y48" s="387">
        <f t="shared" si="31"/>
        <v>26</v>
      </c>
      <c r="Z48" s="420" t="s">
        <v>413</v>
      </c>
      <c r="AA48" s="310">
        <v>14.9</v>
      </c>
      <c r="AB48" s="366">
        <v>16</v>
      </c>
      <c r="AC48" s="298">
        <v>3</v>
      </c>
      <c r="AD48" s="328">
        <f>(3*190+2*10)/K48</f>
        <v>4.2142857142857144</v>
      </c>
      <c r="AE48" s="298">
        <v>4</v>
      </c>
      <c r="AF48" s="313">
        <f t="shared" si="63"/>
        <v>0.95519142130789658</v>
      </c>
      <c r="AG48" s="413">
        <f t="shared" ref="AG48:AG79" si="94">AF48*AA48</f>
        <v>14.232352177487659</v>
      </c>
      <c r="AH48" s="413">
        <f t="shared" ref="AH48:AH50" si="95">AF48*AB48</f>
        <v>15.283062740926345</v>
      </c>
      <c r="AI48" s="416">
        <f>((3*390/2)*AG48+(I48-3*390/2)*AH48)/I48</f>
        <v>14.898896691169075</v>
      </c>
      <c r="AJ48" s="311" t="s">
        <v>727</v>
      </c>
      <c r="AK48" s="311" t="s">
        <v>474</v>
      </c>
      <c r="AL48" s="305" t="s">
        <v>729</v>
      </c>
      <c r="AM48" s="311">
        <f>2*(PI()*12^2/4)+(PI()*10^2/4)</f>
        <v>304.73448739820992</v>
      </c>
      <c r="AN48" s="306">
        <f t="shared" si="11"/>
        <v>1.7005272734275107E-3</v>
      </c>
      <c r="AO48" s="298">
        <v>353</v>
      </c>
      <c r="AP48" s="306">
        <f t="shared" si="81"/>
        <v>3.361904761904762</v>
      </c>
      <c r="AQ48" s="298">
        <v>800</v>
      </c>
      <c r="AR48" s="311" t="s">
        <v>730</v>
      </c>
      <c r="AS48" s="311">
        <f>2*AV48</f>
        <v>226.1946710584651</v>
      </c>
      <c r="AT48" s="311" t="s">
        <v>413</v>
      </c>
      <c r="AU48" s="311">
        <v>0</v>
      </c>
      <c r="AV48" s="311">
        <f>PI()*12^2/4</f>
        <v>113.09733552923255</v>
      </c>
      <c r="AW48" s="312">
        <f>AU48+AS48</f>
        <v>226.1946710584651</v>
      </c>
      <c r="AX48" s="306">
        <f>AV48/BA48/K48</f>
        <v>4.0391905546154484E-4</v>
      </c>
      <c r="AY48" s="311">
        <v>353</v>
      </c>
      <c r="AZ48" s="327">
        <v>0</v>
      </c>
      <c r="BA48" s="298">
        <f>5*400</f>
        <v>2000</v>
      </c>
      <c r="BB48" s="298">
        <v>0</v>
      </c>
      <c r="BC48" s="309">
        <v>0</v>
      </c>
      <c r="BD48" s="313">
        <f t="shared" si="33"/>
        <v>0</v>
      </c>
      <c r="BE48" s="309">
        <v>0</v>
      </c>
      <c r="BF48" s="298">
        <v>74.599999999999994</v>
      </c>
      <c r="BG48" s="298">
        <v>77.5</v>
      </c>
      <c r="BH48" s="311">
        <f>(BF48+BG48)/2</f>
        <v>76.05</v>
      </c>
      <c r="BI48" s="298">
        <v>1</v>
      </c>
      <c r="BJ48" s="360">
        <f t="shared" si="15"/>
        <v>1</v>
      </c>
      <c r="BK48" s="360">
        <f t="shared" si="16"/>
        <v>1</v>
      </c>
      <c r="BL48" s="311">
        <f t="shared" si="35"/>
        <v>76.05</v>
      </c>
      <c r="BM48" s="309">
        <f t="shared" ref="BM48:BM111" si="96">BL48/(K48*I48)*1000</f>
        <v>0.33950892857142856</v>
      </c>
      <c r="BN48" s="309">
        <f t="shared" ref="BN48:BN89" si="97">BL48/P48*1000</f>
        <v>0.4801136363636363</v>
      </c>
      <c r="BO48" s="376"/>
      <c r="BP48" s="328">
        <f t="shared" si="36"/>
        <v>5.1465451956596322</v>
      </c>
      <c r="BQ48" s="328">
        <f t="shared" si="19"/>
        <v>0</v>
      </c>
      <c r="BR48" s="328">
        <f t="shared" si="49"/>
        <v>0.38554154016838005</v>
      </c>
      <c r="BS48" s="328">
        <f t="shared" si="37"/>
        <v>0</v>
      </c>
      <c r="BT48" s="328">
        <f t="shared" si="38"/>
        <v>0</v>
      </c>
      <c r="BU48" s="376"/>
      <c r="BV48" s="328">
        <f t="shared" si="21"/>
        <v>0.5</v>
      </c>
      <c r="BW48" s="328">
        <f t="shared" si="22"/>
        <v>0.9375</v>
      </c>
      <c r="BX48" s="373">
        <f t="shared" si="39"/>
        <v>0.65618451244660314</v>
      </c>
      <c r="BY48" s="311">
        <f t="shared" si="23"/>
        <v>58794.13231521564</v>
      </c>
      <c r="BZ48" s="311">
        <f t="shared" si="24"/>
        <v>30661.140051317063</v>
      </c>
      <c r="CA48" s="311">
        <f t="shared" si="40"/>
        <v>138339.13485933092</v>
      </c>
      <c r="CB48" s="307">
        <f t="shared" si="41"/>
        <v>89.455272366532711</v>
      </c>
      <c r="CC48" s="309">
        <f t="shared" si="42"/>
        <v>0.3993538944934496</v>
      </c>
      <c r="CD48" s="379">
        <f t="shared" si="25"/>
        <v>0.85014553070045829</v>
      </c>
    </row>
    <row r="49" spans="1:82" x14ac:dyDescent="0.25">
      <c r="A49" s="305">
        <v>41</v>
      </c>
      <c r="B49" s="298" t="s">
        <v>609</v>
      </c>
      <c r="C49" s="298" t="s">
        <v>653</v>
      </c>
      <c r="D49" s="298" t="s">
        <v>598</v>
      </c>
      <c r="E49" s="343" t="s">
        <v>668</v>
      </c>
      <c r="F49" s="298" t="s">
        <v>485</v>
      </c>
      <c r="G49" s="311">
        <v>2400</v>
      </c>
      <c r="H49" s="311">
        <f t="shared" si="90"/>
        <v>1200</v>
      </c>
      <c r="I49" s="311">
        <v>1600</v>
      </c>
      <c r="J49" s="327">
        <f t="shared" si="91"/>
        <v>3840000</v>
      </c>
      <c r="K49" s="311">
        <v>140</v>
      </c>
      <c r="L49" s="327">
        <f t="shared" si="92"/>
        <v>1280</v>
      </c>
      <c r="M49" s="309">
        <f t="shared" si="93"/>
        <v>1.5</v>
      </c>
      <c r="N49" s="309">
        <f t="shared" si="29"/>
        <v>0.75</v>
      </c>
      <c r="O49" s="309">
        <f t="shared" si="4"/>
        <v>0.75</v>
      </c>
      <c r="P49" s="306">
        <f>(4*390/2*K49)+(I49-4*390/2)*(30)*2</f>
        <v>158400</v>
      </c>
      <c r="Q49" s="327">
        <f t="shared" si="5"/>
        <v>224000</v>
      </c>
      <c r="R49" s="309">
        <f t="shared" si="6"/>
        <v>0.70714285714285718</v>
      </c>
      <c r="S49" s="312">
        <v>400</v>
      </c>
      <c r="T49" s="312">
        <f>G49</f>
        <v>2400</v>
      </c>
      <c r="U49" s="308" t="s">
        <v>413</v>
      </c>
      <c r="V49" s="308" t="s">
        <v>413</v>
      </c>
      <c r="W49" s="387">
        <f t="shared" si="30"/>
        <v>0</v>
      </c>
      <c r="X49" s="298">
        <v>26</v>
      </c>
      <c r="Y49" s="387">
        <f t="shared" si="31"/>
        <v>26</v>
      </c>
      <c r="Z49" s="420" t="s">
        <v>413</v>
      </c>
      <c r="AA49" s="310">
        <v>14.9</v>
      </c>
      <c r="AB49" s="366">
        <v>16</v>
      </c>
      <c r="AC49" s="298">
        <v>3</v>
      </c>
      <c r="AD49" s="328">
        <f>(3*190+2*10)/K49</f>
        <v>4.2142857142857144</v>
      </c>
      <c r="AE49" s="298">
        <v>4</v>
      </c>
      <c r="AF49" s="313">
        <f t="shared" ref="AF49:AF139" si="98">1-0.058*(5-AD49)^1.07</f>
        <v>0.95519142130789658</v>
      </c>
      <c r="AG49" s="313">
        <f t="shared" si="94"/>
        <v>14.232352177487659</v>
      </c>
      <c r="AH49" s="313">
        <f t="shared" si="95"/>
        <v>15.283062740926345</v>
      </c>
      <c r="AI49" s="308">
        <f t="shared" ref="AI49:AI50" si="99">((3*390/2)*AG49+(I49-3*390/2)*AH49)/I49</f>
        <v>14.898896691169075</v>
      </c>
      <c r="AJ49" s="311" t="s">
        <v>728</v>
      </c>
      <c r="AK49" s="311" t="s">
        <v>728</v>
      </c>
      <c r="AL49" s="311">
        <f>PI()*16^2/4</f>
        <v>201.06192982974676</v>
      </c>
      <c r="AM49" s="311">
        <f>3*(PI()*16^2/4)</f>
        <v>603.18578948924028</v>
      </c>
      <c r="AN49" s="306">
        <f t="shared" si="11"/>
        <v>3.3659921288462071E-3</v>
      </c>
      <c r="AO49" s="298">
        <v>454</v>
      </c>
      <c r="AP49" s="306">
        <f t="shared" si="81"/>
        <v>4.3238095238095244</v>
      </c>
      <c r="AQ49" s="298">
        <v>800</v>
      </c>
      <c r="AR49" s="311" t="s">
        <v>413</v>
      </c>
      <c r="AS49" s="311">
        <v>0</v>
      </c>
      <c r="AT49" s="311" t="s">
        <v>413</v>
      </c>
      <c r="AU49" s="311">
        <v>0</v>
      </c>
      <c r="AV49" s="311">
        <v>0</v>
      </c>
      <c r="AW49" s="312">
        <v>0</v>
      </c>
      <c r="AX49" s="312">
        <v>0</v>
      </c>
      <c r="AY49" s="312">
        <v>0</v>
      </c>
      <c r="AZ49" s="312">
        <v>0</v>
      </c>
      <c r="BA49" s="298">
        <v>0</v>
      </c>
      <c r="BB49" s="298">
        <v>0</v>
      </c>
      <c r="BC49" s="309">
        <v>0</v>
      </c>
      <c r="BD49" s="313">
        <f t="shared" si="33"/>
        <v>0</v>
      </c>
      <c r="BE49" s="309">
        <v>0</v>
      </c>
      <c r="BF49" s="298">
        <v>94</v>
      </c>
      <c r="BG49" s="298">
        <v>106</v>
      </c>
      <c r="BH49" s="311">
        <f>(BF49+BG49)/2</f>
        <v>100</v>
      </c>
      <c r="BI49" s="298">
        <v>1</v>
      </c>
      <c r="BJ49" s="360">
        <f t="shared" si="15"/>
        <v>1</v>
      </c>
      <c r="BK49" s="360">
        <f t="shared" si="16"/>
        <v>1</v>
      </c>
      <c r="BL49" s="311">
        <f t="shared" si="35"/>
        <v>100</v>
      </c>
      <c r="BM49" s="309">
        <f t="shared" si="96"/>
        <v>0.4464285714285714</v>
      </c>
      <c r="BN49" s="309">
        <f t="shared" si="97"/>
        <v>0.63131313131313138</v>
      </c>
      <c r="BO49" s="376"/>
      <c r="BP49" s="328">
        <f t="shared" si="36"/>
        <v>5.1465451956596322</v>
      </c>
      <c r="BQ49" s="328">
        <f t="shared" si="19"/>
        <v>0</v>
      </c>
      <c r="BR49" s="328">
        <f t="shared" si="49"/>
        <v>0.61514358439156402</v>
      </c>
      <c r="BS49" s="328">
        <f t="shared" si="37"/>
        <v>0</v>
      </c>
      <c r="BT49" s="328">
        <f t="shared" si="38"/>
        <v>0</v>
      </c>
      <c r="BU49" s="376"/>
      <c r="BV49" s="328">
        <f t="shared" si="21"/>
        <v>0.5</v>
      </c>
      <c r="BW49" s="328">
        <f t="shared" si="22"/>
        <v>0.9375</v>
      </c>
      <c r="BX49" s="373">
        <f t="shared" si="39"/>
        <v>0.65618451244660314</v>
      </c>
      <c r="BY49" s="311">
        <f t="shared" si="23"/>
        <v>58794.13231521564</v>
      </c>
      <c r="BZ49" s="311">
        <f t="shared" si="24"/>
        <v>0</v>
      </c>
      <c r="CA49" s="311">
        <f t="shared" si="40"/>
        <v>138339.13485933092</v>
      </c>
      <c r="CB49" s="307">
        <f t="shared" si="41"/>
        <v>58.794132315215641</v>
      </c>
      <c r="CC49" s="309">
        <f t="shared" si="42"/>
        <v>0.26247380497864126</v>
      </c>
      <c r="CD49" s="379">
        <f t="shared" si="25"/>
        <v>1.7008500008787522</v>
      </c>
    </row>
    <row r="50" spans="1:82" x14ac:dyDescent="0.25">
      <c r="A50" s="315">
        <v>42</v>
      </c>
      <c r="B50" s="315" t="s">
        <v>609</v>
      </c>
      <c r="C50" s="315" t="s">
        <v>654</v>
      </c>
      <c r="D50" s="315" t="s">
        <v>598</v>
      </c>
      <c r="E50" s="341" t="s">
        <v>668</v>
      </c>
      <c r="F50" s="315" t="s">
        <v>485</v>
      </c>
      <c r="G50" s="321">
        <v>2400</v>
      </c>
      <c r="H50" s="321">
        <f t="shared" si="90"/>
        <v>1200</v>
      </c>
      <c r="I50" s="321">
        <v>1600</v>
      </c>
      <c r="J50" s="329">
        <f t="shared" si="91"/>
        <v>3840000</v>
      </c>
      <c r="K50" s="321">
        <v>140</v>
      </c>
      <c r="L50" s="329">
        <f t="shared" si="92"/>
        <v>1280</v>
      </c>
      <c r="M50" s="319">
        <f t="shared" si="93"/>
        <v>1.5</v>
      </c>
      <c r="N50" s="319">
        <f t="shared" si="29"/>
        <v>0.75</v>
      </c>
      <c r="O50" s="319">
        <f t="shared" si="4"/>
        <v>0.75</v>
      </c>
      <c r="P50" s="316">
        <f>(4*390/2*K50)+(I50-4*390/2)*(30)*2</f>
        <v>158400</v>
      </c>
      <c r="Q50" s="329">
        <f t="shared" si="5"/>
        <v>224000</v>
      </c>
      <c r="R50" s="319">
        <f t="shared" si="6"/>
        <v>0.70714285714285718</v>
      </c>
      <c r="S50" s="322">
        <v>400</v>
      </c>
      <c r="T50" s="322">
        <v>600</v>
      </c>
      <c r="U50" s="318" t="s">
        <v>413</v>
      </c>
      <c r="V50" s="318" t="s">
        <v>413</v>
      </c>
      <c r="W50" s="387">
        <f t="shared" si="30"/>
        <v>0</v>
      </c>
      <c r="X50" s="315">
        <v>26</v>
      </c>
      <c r="Y50" s="387">
        <f t="shared" si="31"/>
        <v>26</v>
      </c>
      <c r="Z50" s="421" t="s">
        <v>413</v>
      </c>
      <c r="AA50" s="320">
        <v>14.9</v>
      </c>
      <c r="AB50" s="367">
        <v>16</v>
      </c>
      <c r="AC50" s="315">
        <v>3</v>
      </c>
      <c r="AD50" s="330">
        <f>(3*190+2*10)/K50</f>
        <v>4.2142857142857144</v>
      </c>
      <c r="AE50" s="315">
        <v>4</v>
      </c>
      <c r="AF50" s="324">
        <f t="shared" si="98"/>
        <v>0.95519142130789658</v>
      </c>
      <c r="AG50" s="324">
        <f t="shared" si="94"/>
        <v>14.232352177487659</v>
      </c>
      <c r="AH50" s="324">
        <f t="shared" si="95"/>
        <v>15.283062740926345</v>
      </c>
      <c r="AI50" s="318">
        <f t="shared" si="99"/>
        <v>14.898896691169075</v>
      </c>
      <c r="AJ50" s="321" t="s">
        <v>728</v>
      </c>
      <c r="AK50" s="321" t="s">
        <v>728</v>
      </c>
      <c r="AL50" s="321">
        <f>PI()*16^2/4</f>
        <v>201.06192982974676</v>
      </c>
      <c r="AM50" s="321">
        <f>3*(PI()*16^2/4)</f>
        <v>603.18578948924028</v>
      </c>
      <c r="AN50" s="316">
        <f t="shared" si="11"/>
        <v>3.3659921288462071E-3</v>
      </c>
      <c r="AO50" s="315">
        <v>454</v>
      </c>
      <c r="AP50" s="316">
        <f t="shared" si="81"/>
        <v>4.3238095238095244</v>
      </c>
      <c r="AQ50" s="315">
        <v>800</v>
      </c>
      <c r="AR50" s="321" t="s">
        <v>731</v>
      </c>
      <c r="AS50" s="321">
        <f>4*AV50</f>
        <v>452.38934211693021</v>
      </c>
      <c r="AT50" s="321" t="s">
        <v>413</v>
      </c>
      <c r="AU50" s="321">
        <v>0</v>
      </c>
      <c r="AV50" s="321">
        <f t="shared" ref="AV50" si="100">PI()*12^2/4</f>
        <v>113.09733552923255</v>
      </c>
      <c r="AW50" s="322">
        <f>AU50+AS50</f>
        <v>452.38934211693021</v>
      </c>
      <c r="AX50" s="316">
        <f>AV50/BA50/K50</f>
        <v>1.0097976386538622E-3</v>
      </c>
      <c r="AY50" s="321">
        <v>454</v>
      </c>
      <c r="AZ50" s="329">
        <v>0</v>
      </c>
      <c r="BA50" s="315">
        <f>2*400</f>
        <v>800</v>
      </c>
      <c r="BB50" s="315">
        <v>0</v>
      </c>
      <c r="BC50" s="319">
        <v>0</v>
      </c>
      <c r="BD50" s="324">
        <f t="shared" si="33"/>
        <v>0</v>
      </c>
      <c r="BE50" s="319">
        <v>0</v>
      </c>
      <c r="BF50" s="315">
        <v>146</v>
      </c>
      <c r="BG50" s="315">
        <v>152</v>
      </c>
      <c r="BH50" s="321">
        <f>(BF50+BG50)/2</f>
        <v>149</v>
      </c>
      <c r="BI50" s="315">
        <v>1</v>
      </c>
      <c r="BJ50" s="315">
        <f t="shared" si="15"/>
        <v>1</v>
      </c>
      <c r="BK50" s="315">
        <f t="shared" si="16"/>
        <v>1</v>
      </c>
      <c r="BL50" s="321">
        <f t="shared" si="35"/>
        <v>149</v>
      </c>
      <c r="BM50" s="319">
        <f t="shared" si="96"/>
        <v>0.6651785714285714</v>
      </c>
      <c r="BN50" s="319">
        <f t="shared" si="97"/>
        <v>0.94065656565656564</v>
      </c>
      <c r="BO50" s="376"/>
      <c r="BP50" s="330">
        <f t="shared" si="36"/>
        <v>5.1465451956596322</v>
      </c>
      <c r="BQ50" s="330">
        <f t="shared" si="19"/>
        <v>0</v>
      </c>
      <c r="BR50" s="330">
        <f t="shared" si="49"/>
        <v>0.61514358439156402</v>
      </c>
      <c r="BS50" s="330">
        <f t="shared" si="37"/>
        <v>0</v>
      </c>
      <c r="BT50" s="330">
        <f t="shared" si="38"/>
        <v>0</v>
      </c>
      <c r="BU50" s="376"/>
      <c r="BV50" s="328">
        <f t="shared" si="21"/>
        <v>0.5</v>
      </c>
      <c r="BW50" s="328">
        <f t="shared" si="22"/>
        <v>0.9375</v>
      </c>
      <c r="BX50" s="373">
        <f t="shared" si="39"/>
        <v>0.65618451244660314</v>
      </c>
      <c r="BY50" s="311">
        <f t="shared" si="23"/>
        <v>58794.13231521564</v>
      </c>
      <c r="BZ50" s="311">
        <f t="shared" si="24"/>
        <v>197169.37086824287</v>
      </c>
      <c r="CA50" s="311">
        <f t="shared" si="40"/>
        <v>138339.13485933092</v>
      </c>
      <c r="CB50" s="307">
        <f t="shared" si="41"/>
        <v>138.33913485933093</v>
      </c>
      <c r="CC50" s="309">
        <f t="shared" si="42"/>
        <v>0.61758542347915601</v>
      </c>
      <c r="CD50" s="379">
        <f t="shared" si="25"/>
        <v>1.0770632630564698</v>
      </c>
    </row>
    <row r="51" spans="1:82" ht="14.25" customHeight="1" x14ac:dyDescent="0.25">
      <c r="A51" s="305">
        <v>43</v>
      </c>
      <c r="B51" s="298" t="s">
        <v>99</v>
      </c>
      <c r="C51" s="298" t="s">
        <v>103</v>
      </c>
      <c r="D51" s="298" t="s">
        <v>598</v>
      </c>
      <c r="E51" s="298" t="s">
        <v>668</v>
      </c>
      <c r="F51" s="298" t="s">
        <v>485</v>
      </c>
      <c r="G51" s="311">
        <v>1800</v>
      </c>
      <c r="H51" s="311">
        <f>IF(F51="Cantilever",G51,0.5*G51)</f>
        <v>900</v>
      </c>
      <c r="I51" s="311">
        <v>1720</v>
      </c>
      <c r="J51" s="306">
        <f t="shared" ref="J51:J79" si="101">I51*G51</f>
        <v>3096000</v>
      </c>
      <c r="K51" s="311">
        <v>150</v>
      </c>
      <c r="L51" s="312">
        <v>1655</v>
      </c>
      <c r="M51" s="309">
        <f>G51/I51</f>
        <v>1.0465116279069768</v>
      </c>
      <c r="N51" s="309">
        <f t="shared" si="29"/>
        <v>0.52325581395348841</v>
      </c>
      <c r="O51" s="309">
        <f t="shared" si="4"/>
        <v>0.52325581395348841</v>
      </c>
      <c r="P51" s="331">
        <f t="shared" ref="P51:P79" si="102">Q51*R51</f>
        <v>180190.47619047618</v>
      </c>
      <c r="Q51" s="327">
        <f t="shared" si="5"/>
        <v>258000</v>
      </c>
      <c r="R51" s="309">
        <f>(BH51/Q51*1000)/((0.66+0.6)/2)</f>
        <v>0.69841269841269837</v>
      </c>
      <c r="S51" s="312">
        <f>G51/5</f>
        <v>360</v>
      </c>
      <c r="T51" s="312">
        <v>400</v>
      </c>
      <c r="U51" s="307" t="s">
        <v>413</v>
      </c>
      <c r="V51" s="307" t="s">
        <v>413</v>
      </c>
      <c r="W51" s="387">
        <f t="shared" si="30"/>
        <v>0</v>
      </c>
      <c r="X51" s="332">
        <f t="shared" ref="X51:X79" si="103">AVERAGE(22,24)</f>
        <v>23</v>
      </c>
      <c r="Y51" s="387">
        <f t="shared" si="31"/>
        <v>23</v>
      </c>
      <c r="Z51" s="418">
        <f>9.5/16.4</f>
        <v>0.5792682926829269</v>
      </c>
      <c r="AA51" s="307">
        <v>16.399999999999999</v>
      </c>
      <c r="AB51" s="307">
        <v>9.5</v>
      </c>
      <c r="AC51" s="295">
        <v>3</v>
      </c>
      <c r="AD51" s="325">
        <f>(190+10+190+10+190)/150</f>
        <v>3.9333333333333331</v>
      </c>
      <c r="AE51" s="295" t="s">
        <v>413</v>
      </c>
      <c r="AF51" s="313">
        <f t="shared" ref="AF51:AF79" si="104">1-0.058*(5-AD51)^1.07</f>
        <v>0.93785320622293622</v>
      </c>
      <c r="AG51" s="413">
        <f t="shared" si="94"/>
        <v>15.380792582056152</v>
      </c>
      <c r="AH51" s="313">
        <f t="shared" ref="AH51:AH79" si="105">AF51*AB51</f>
        <v>8.9096054591178948</v>
      </c>
      <c r="AI51" s="416">
        <f>(P51*AG51+(Q51-P51)*AH51)/(Q51)</f>
        <v>13.429164719582708</v>
      </c>
      <c r="AJ51" s="295" t="s">
        <v>413</v>
      </c>
      <c r="AK51" s="295" t="s">
        <v>413</v>
      </c>
      <c r="AL51" s="295" t="s">
        <v>413</v>
      </c>
      <c r="AM51" s="331">
        <f t="shared" ref="AM51:AM79" si="106">AN51*(K51*L51)</f>
        <v>774.54</v>
      </c>
      <c r="AN51" s="298">
        <v>3.1199999999999999E-3</v>
      </c>
      <c r="AO51" s="332">
        <f t="shared" ref="AO51:AO79" si="107">AVERAGE(320,450)</f>
        <v>385</v>
      </c>
      <c r="AP51" s="332">
        <f t="shared" ref="AP51:AP105" si="108">AN51*AO51</f>
        <v>1.2012</v>
      </c>
      <c r="AQ51" s="343">
        <v>400</v>
      </c>
      <c r="AR51" s="295" t="s">
        <v>413</v>
      </c>
      <c r="AS51" s="327">
        <f t="shared" ref="AS51:AS79" si="109">AX51*G51*K51</f>
        <v>191.69999999999996</v>
      </c>
      <c r="AT51" s="295" t="s">
        <v>413</v>
      </c>
      <c r="AU51" s="327">
        <v>0</v>
      </c>
      <c r="AV51" s="333">
        <f t="shared" ref="AV51:AV79" si="110">AX51*(K51*BA51)</f>
        <v>42.599999999999994</v>
      </c>
      <c r="AW51" s="327">
        <f t="shared" ref="AW51:AW79" si="111">AS51+AU51</f>
        <v>191.69999999999996</v>
      </c>
      <c r="AX51" s="298">
        <v>7.0999999999999991E-4</v>
      </c>
      <c r="AY51" s="332">
        <f t="shared" ref="AY51:AY56" si="112">AVERAGE(320,450)</f>
        <v>385</v>
      </c>
      <c r="AZ51" s="332">
        <f t="shared" ref="AZ51:AZ89" si="113">AX51*AY51</f>
        <v>0.27334999999999998</v>
      </c>
      <c r="BA51" s="266">
        <v>400</v>
      </c>
      <c r="BB51" s="334">
        <v>0</v>
      </c>
      <c r="BC51" s="298">
        <v>0</v>
      </c>
      <c r="BD51" s="313">
        <f t="shared" si="33"/>
        <v>0</v>
      </c>
      <c r="BE51" s="298">
        <v>0</v>
      </c>
      <c r="BF51" s="310">
        <f>0.42*Q51/1000</f>
        <v>108.36</v>
      </c>
      <c r="BG51" s="310">
        <f>0.46*Q51/1000</f>
        <v>118.68</v>
      </c>
      <c r="BH51" s="311">
        <f t="shared" ref="BH51:BH79" si="114">(BF51+BG51)/2</f>
        <v>113.52000000000001</v>
      </c>
      <c r="BI51" s="312">
        <v>1</v>
      </c>
      <c r="BJ51" s="360">
        <f t="shared" si="15"/>
        <v>1</v>
      </c>
      <c r="BK51" s="360">
        <f t="shared" si="16"/>
        <v>1</v>
      </c>
      <c r="BL51" s="311">
        <f t="shared" si="35"/>
        <v>113.52000000000001</v>
      </c>
      <c r="BM51" s="309">
        <f t="shared" si="96"/>
        <v>0.44</v>
      </c>
      <c r="BN51" s="309">
        <f t="shared" si="97"/>
        <v>0.63000000000000012</v>
      </c>
      <c r="BO51" s="376"/>
      <c r="BP51" s="328">
        <f t="shared" si="36"/>
        <v>7.0034242864696505</v>
      </c>
      <c r="BQ51" s="328">
        <f t="shared" si="19"/>
        <v>0.27334999999999998</v>
      </c>
      <c r="BR51" s="328">
        <f t="shared" si="49"/>
        <v>0.29359514982369855</v>
      </c>
      <c r="BS51" s="328">
        <f t="shared" si="37"/>
        <v>1.3381234037335459</v>
      </c>
      <c r="BT51" s="328">
        <f t="shared" si="38"/>
        <v>0</v>
      </c>
      <c r="BU51" s="376"/>
      <c r="BV51" s="328">
        <f t="shared" si="21"/>
        <v>0.5</v>
      </c>
      <c r="BW51" s="328">
        <f t="shared" si="22"/>
        <v>0.54380664652567978</v>
      </c>
      <c r="BX51" s="373">
        <f t="shared" si="39"/>
        <v>0.85381450304799689</v>
      </c>
      <c r="BY51" s="311">
        <f t="shared" si="23"/>
        <v>105979.72519083261</v>
      </c>
      <c r="BZ51" s="311">
        <f t="shared" si="24"/>
        <v>183219.67124999996</v>
      </c>
      <c r="CA51" s="311">
        <f t="shared" si="40"/>
        <v>181946.51990749792</v>
      </c>
      <c r="CB51" s="307">
        <f t="shared" si="41"/>
        <v>181.94651990749793</v>
      </c>
      <c r="CC51" s="309">
        <f t="shared" si="42"/>
        <v>0.70521906940890666</v>
      </c>
      <c r="CD51" s="379">
        <f t="shared" si="25"/>
        <v>0.623919600428268</v>
      </c>
    </row>
    <row r="52" spans="1:82" x14ac:dyDescent="0.25">
      <c r="A52" s="305">
        <v>44</v>
      </c>
      <c r="B52" s="298" t="s">
        <v>99</v>
      </c>
      <c r="C52" s="298" t="s">
        <v>119</v>
      </c>
      <c r="D52" s="298" t="s">
        <v>598</v>
      </c>
      <c r="E52" s="298" t="s">
        <v>668</v>
      </c>
      <c r="F52" s="298" t="s">
        <v>485</v>
      </c>
      <c r="G52" s="311">
        <v>1800</v>
      </c>
      <c r="H52" s="311">
        <f t="shared" ref="H52:H79" si="115">IF(F52="Cantilever",G52,0.5*G52)</f>
        <v>900</v>
      </c>
      <c r="I52" s="311">
        <v>1720</v>
      </c>
      <c r="J52" s="306">
        <f t="shared" si="101"/>
        <v>3096000</v>
      </c>
      <c r="K52" s="311">
        <v>150</v>
      </c>
      <c r="L52" s="312">
        <v>1655</v>
      </c>
      <c r="M52" s="309">
        <f t="shared" ref="M52:M79" si="116">G52/I52</f>
        <v>1.0465116279069768</v>
      </c>
      <c r="N52" s="309">
        <f t="shared" si="29"/>
        <v>0.52325581395348841</v>
      </c>
      <c r="O52" s="309">
        <f t="shared" si="4"/>
        <v>0.52325581395348841</v>
      </c>
      <c r="P52" s="331">
        <f t="shared" si="102"/>
        <v>180896.55172413794</v>
      </c>
      <c r="Q52" s="327">
        <f t="shared" si="5"/>
        <v>258000</v>
      </c>
      <c r="R52" s="309">
        <f>(BH52/Q52*1000)/((0.87+0.87)/2)</f>
        <v>0.70114942528735635</v>
      </c>
      <c r="S52" s="312">
        <f>G52/5</f>
        <v>360</v>
      </c>
      <c r="T52" s="312">
        <v>400</v>
      </c>
      <c r="U52" s="307" t="s">
        <v>413</v>
      </c>
      <c r="V52" s="307" t="s">
        <v>413</v>
      </c>
      <c r="W52" s="387">
        <f t="shared" si="30"/>
        <v>0</v>
      </c>
      <c r="X52" s="332">
        <f t="shared" si="103"/>
        <v>23</v>
      </c>
      <c r="Y52" s="387">
        <f t="shared" si="31"/>
        <v>23</v>
      </c>
      <c r="Z52" s="418">
        <f t="shared" ref="Z52:Z79" si="117">9.5/16.4</f>
        <v>0.5792682926829269</v>
      </c>
      <c r="AA52" s="307">
        <v>27</v>
      </c>
      <c r="AB52" s="307">
        <v>15.6</v>
      </c>
      <c r="AC52" s="295">
        <v>3</v>
      </c>
      <c r="AD52" s="325">
        <f t="shared" ref="AD52:AD79" si="118">(190+10+190+10+190)/150</f>
        <v>3.9333333333333331</v>
      </c>
      <c r="AE52" s="295" t="s">
        <v>413</v>
      </c>
      <c r="AF52" s="313">
        <f t="shared" si="104"/>
        <v>0.93785320622293622</v>
      </c>
      <c r="AG52" s="313">
        <f t="shared" si="94"/>
        <v>25.322036568019278</v>
      </c>
      <c r="AH52" s="313">
        <f t="shared" si="105"/>
        <v>14.630510017077805</v>
      </c>
      <c r="AI52" s="308">
        <f t="shared" ref="AI52:AI79" si="119">(P52*AG52+(Q52-P52)*AH52)/(Q52)</f>
        <v>22.12686771371493</v>
      </c>
      <c r="AJ52" s="295" t="s">
        <v>413</v>
      </c>
      <c r="AK52" s="295" t="s">
        <v>413</v>
      </c>
      <c r="AL52" s="295" t="s">
        <v>413</v>
      </c>
      <c r="AM52" s="331">
        <f t="shared" si="106"/>
        <v>955.76250000000005</v>
      </c>
      <c r="AN52" s="298">
        <v>3.8500000000000001E-3</v>
      </c>
      <c r="AO52" s="332">
        <f t="shared" si="107"/>
        <v>385</v>
      </c>
      <c r="AP52" s="332">
        <f t="shared" si="108"/>
        <v>1.4822500000000001</v>
      </c>
      <c r="AQ52" s="343">
        <v>400</v>
      </c>
      <c r="AR52" s="295" t="s">
        <v>413</v>
      </c>
      <c r="AS52" s="327">
        <f t="shared" si="109"/>
        <v>191.69999999999996</v>
      </c>
      <c r="AT52" s="295" t="s">
        <v>413</v>
      </c>
      <c r="AU52" s="327">
        <v>0</v>
      </c>
      <c r="AV52" s="333">
        <f t="shared" si="110"/>
        <v>42.599999999999994</v>
      </c>
      <c r="AW52" s="327">
        <f t="shared" si="111"/>
        <v>191.69999999999996</v>
      </c>
      <c r="AX52" s="298">
        <v>7.0999999999999991E-4</v>
      </c>
      <c r="AY52" s="332">
        <f t="shared" si="112"/>
        <v>385</v>
      </c>
      <c r="AZ52" s="332">
        <f t="shared" si="113"/>
        <v>0.27334999999999998</v>
      </c>
      <c r="BA52" s="266">
        <v>400</v>
      </c>
      <c r="BB52" s="334">
        <v>0</v>
      </c>
      <c r="BC52" s="298">
        <v>0</v>
      </c>
      <c r="BD52" s="313">
        <f t="shared" si="33"/>
        <v>0</v>
      </c>
      <c r="BE52" s="298">
        <v>0</v>
      </c>
      <c r="BF52" s="310">
        <f>0.61*Q52/1000</f>
        <v>157.38</v>
      </c>
      <c r="BG52" s="310">
        <f>0.61*Q52/1000</f>
        <v>157.38</v>
      </c>
      <c r="BH52" s="311">
        <f t="shared" si="114"/>
        <v>157.38</v>
      </c>
      <c r="BI52" s="312">
        <v>1</v>
      </c>
      <c r="BJ52" s="360">
        <f t="shared" si="15"/>
        <v>1</v>
      </c>
      <c r="BK52" s="360">
        <f t="shared" si="16"/>
        <v>1</v>
      </c>
      <c r="BL52" s="311">
        <f t="shared" si="35"/>
        <v>157.38</v>
      </c>
      <c r="BM52" s="309">
        <f t="shared" si="96"/>
        <v>0.61</v>
      </c>
      <c r="BN52" s="309">
        <f t="shared" si="97"/>
        <v>0.86999999999999988</v>
      </c>
      <c r="BO52" s="376"/>
      <c r="BP52" s="328">
        <f t="shared" si="36"/>
        <v>8.9897146608924405</v>
      </c>
      <c r="BQ52" s="328">
        <f t="shared" si="19"/>
        <v>0.27334999999999998</v>
      </c>
      <c r="BR52" s="328">
        <f t="shared" si="49"/>
        <v>0.36228888680167931</v>
      </c>
      <c r="BS52" s="328">
        <f t="shared" si="37"/>
        <v>1.7243685415273806</v>
      </c>
      <c r="BT52" s="328">
        <f t="shared" si="38"/>
        <v>0</v>
      </c>
      <c r="BU52" s="376"/>
      <c r="BV52" s="328">
        <f t="shared" si="21"/>
        <v>0.5</v>
      </c>
      <c r="BW52" s="328">
        <f t="shared" si="22"/>
        <v>0.54380664652567978</v>
      </c>
      <c r="BX52" s="373">
        <f t="shared" si="39"/>
        <v>1.0959708339479075</v>
      </c>
      <c r="BY52" s="311">
        <f t="shared" si="23"/>
        <v>136037.379763784</v>
      </c>
      <c r="BZ52" s="311">
        <f t="shared" si="24"/>
        <v>183219.67124999996</v>
      </c>
      <c r="CA52" s="311">
        <f t="shared" si="40"/>
        <v>233549.6509430109</v>
      </c>
      <c r="CB52" s="307">
        <f t="shared" si="41"/>
        <v>233.5496509430109</v>
      </c>
      <c r="CC52" s="309">
        <f t="shared" si="42"/>
        <v>0.90523120520546863</v>
      </c>
      <c r="CD52" s="379">
        <f t="shared" si="25"/>
        <v>0.67386099428768886</v>
      </c>
    </row>
    <row r="53" spans="1:82" x14ac:dyDescent="0.25">
      <c r="A53" s="305">
        <v>45</v>
      </c>
      <c r="B53" s="298" t="s">
        <v>99</v>
      </c>
      <c r="C53" s="298" t="s">
        <v>120</v>
      </c>
      <c r="D53" s="298" t="s">
        <v>598</v>
      </c>
      <c r="E53" s="298" t="s">
        <v>668</v>
      </c>
      <c r="F53" s="298" t="s">
        <v>485</v>
      </c>
      <c r="G53" s="311">
        <v>1800</v>
      </c>
      <c r="H53" s="311">
        <f t="shared" si="115"/>
        <v>900</v>
      </c>
      <c r="I53" s="311">
        <v>1320</v>
      </c>
      <c r="J53" s="306">
        <f t="shared" si="101"/>
        <v>2376000</v>
      </c>
      <c r="K53" s="311">
        <v>150</v>
      </c>
      <c r="L53" s="312">
        <v>1255</v>
      </c>
      <c r="M53" s="309">
        <f t="shared" si="116"/>
        <v>1.3636363636363635</v>
      </c>
      <c r="N53" s="309">
        <f t="shared" si="29"/>
        <v>0.68181818181818177</v>
      </c>
      <c r="O53" s="309">
        <f t="shared" si="4"/>
        <v>0.68181818181818177</v>
      </c>
      <c r="P53" s="331">
        <f t="shared" si="102"/>
        <v>139674.41860465117</v>
      </c>
      <c r="Q53" s="327">
        <f t="shared" si="5"/>
        <v>198000</v>
      </c>
      <c r="R53" s="309">
        <f>(BH53/Q53*1000)/((0.62+0.67)/2)</f>
        <v>0.70542635658914732</v>
      </c>
      <c r="S53" s="312">
        <f>G53/4</f>
        <v>450</v>
      </c>
      <c r="T53" s="312">
        <v>400</v>
      </c>
      <c r="U53" s="307" t="s">
        <v>413</v>
      </c>
      <c r="V53" s="307" t="s">
        <v>413</v>
      </c>
      <c r="W53" s="387">
        <f t="shared" si="30"/>
        <v>0</v>
      </c>
      <c r="X53" s="332">
        <f t="shared" si="103"/>
        <v>23</v>
      </c>
      <c r="Y53" s="387">
        <f t="shared" si="31"/>
        <v>23</v>
      </c>
      <c r="Z53" s="418">
        <f t="shared" si="117"/>
        <v>0.5792682926829269</v>
      </c>
      <c r="AA53" s="307">
        <v>16.399999999999999</v>
      </c>
      <c r="AB53" s="307">
        <v>9.5</v>
      </c>
      <c r="AC53" s="295">
        <v>3</v>
      </c>
      <c r="AD53" s="325">
        <f t="shared" si="118"/>
        <v>3.9333333333333331</v>
      </c>
      <c r="AE53" s="295" t="s">
        <v>413</v>
      </c>
      <c r="AF53" s="313">
        <f t="shared" si="104"/>
        <v>0.93785320622293622</v>
      </c>
      <c r="AG53" s="313">
        <f t="shared" si="94"/>
        <v>15.380792582056152</v>
      </c>
      <c r="AH53" s="313">
        <f t="shared" si="105"/>
        <v>8.9096054591178948</v>
      </c>
      <c r="AI53" s="308">
        <f t="shared" si="119"/>
        <v>13.474551414058835</v>
      </c>
      <c r="AJ53" s="295" t="s">
        <v>413</v>
      </c>
      <c r="AK53" s="295" t="s">
        <v>413</v>
      </c>
      <c r="AL53" s="295" t="s">
        <v>413</v>
      </c>
      <c r="AM53" s="331">
        <f t="shared" si="106"/>
        <v>773.70749999999998</v>
      </c>
      <c r="AN53" s="298">
        <v>4.1099999999999999E-3</v>
      </c>
      <c r="AO53" s="332">
        <f t="shared" si="107"/>
        <v>385</v>
      </c>
      <c r="AP53" s="332">
        <f t="shared" si="108"/>
        <v>1.5823499999999999</v>
      </c>
      <c r="AQ53" s="343">
        <v>400</v>
      </c>
      <c r="AR53" s="295" t="s">
        <v>413</v>
      </c>
      <c r="AS53" s="327">
        <f t="shared" si="109"/>
        <v>191.69999999999996</v>
      </c>
      <c r="AT53" s="295" t="s">
        <v>413</v>
      </c>
      <c r="AU53" s="327">
        <v>0</v>
      </c>
      <c r="AV53" s="333">
        <f t="shared" si="110"/>
        <v>42.599999999999994</v>
      </c>
      <c r="AW53" s="327">
        <f t="shared" si="111"/>
        <v>191.69999999999996</v>
      </c>
      <c r="AX53" s="298">
        <v>7.0999999999999991E-4</v>
      </c>
      <c r="AY53" s="332">
        <f t="shared" si="112"/>
        <v>385</v>
      </c>
      <c r="AZ53" s="332">
        <f t="shared" si="113"/>
        <v>0.27334999999999998</v>
      </c>
      <c r="BA53" s="266">
        <v>400</v>
      </c>
      <c r="BB53" s="334">
        <v>0</v>
      </c>
      <c r="BC53" s="298">
        <v>0</v>
      </c>
      <c r="BD53" s="313">
        <f t="shared" si="33"/>
        <v>0</v>
      </c>
      <c r="BE53" s="298">
        <v>0</v>
      </c>
      <c r="BF53" s="310">
        <f>0.44*Q53/1000</f>
        <v>87.12</v>
      </c>
      <c r="BG53" s="310">
        <f>0.47*Q53/1000</f>
        <v>93.06</v>
      </c>
      <c r="BH53" s="311">
        <f t="shared" si="114"/>
        <v>90.09</v>
      </c>
      <c r="BI53" s="312">
        <v>1</v>
      </c>
      <c r="BJ53" s="360">
        <f t="shared" si="15"/>
        <v>1</v>
      </c>
      <c r="BK53" s="360">
        <f t="shared" si="16"/>
        <v>1</v>
      </c>
      <c r="BL53" s="311">
        <f t="shared" si="35"/>
        <v>90.09</v>
      </c>
      <c r="BM53" s="309">
        <f t="shared" si="96"/>
        <v>0.45500000000000002</v>
      </c>
      <c r="BN53" s="309">
        <f t="shared" si="97"/>
        <v>0.64499999999999991</v>
      </c>
      <c r="BO53" s="376"/>
      <c r="BP53" s="328">
        <f t="shared" si="36"/>
        <v>5.3837958044506014</v>
      </c>
      <c r="BQ53" s="328">
        <f t="shared" si="19"/>
        <v>0.27334999999999998</v>
      </c>
      <c r="BR53" s="328">
        <f t="shared" si="49"/>
        <v>0.38675514928698751</v>
      </c>
      <c r="BS53" s="328">
        <f t="shared" si="37"/>
        <v>1.3538432346240798</v>
      </c>
      <c r="BT53" s="328">
        <f t="shared" si="38"/>
        <v>0</v>
      </c>
      <c r="BU53" s="376"/>
      <c r="BV53" s="328">
        <f t="shared" si="21"/>
        <v>0.5</v>
      </c>
      <c r="BW53" s="328">
        <f t="shared" si="22"/>
        <v>0.71713147410358558</v>
      </c>
      <c r="BX53" s="373">
        <f t="shared" si="39"/>
        <v>0.75345842044176481</v>
      </c>
      <c r="BY53" s="311">
        <f t="shared" si="23"/>
        <v>70919.273824081116</v>
      </c>
      <c r="BZ53" s="311">
        <f t="shared" si="24"/>
        <v>138936.97124999997</v>
      </c>
      <c r="CA53" s="311">
        <f t="shared" si="40"/>
        <v>138204.48548015804</v>
      </c>
      <c r="CB53" s="307">
        <f t="shared" si="41"/>
        <v>138.20448548015804</v>
      </c>
      <c r="CC53" s="309">
        <f t="shared" si="42"/>
        <v>0.69800245191999011</v>
      </c>
      <c r="CD53" s="379">
        <f t="shared" si="25"/>
        <v>0.65186017434241805</v>
      </c>
    </row>
    <row r="54" spans="1:82" x14ac:dyDescent="0.25">
      <c r="A54" s="305">
        <v>46</v>
      </c>
      <c r="B54" s="298" t="s">
        <v>99</v>
      </c>
      <c r="C54" s="298" t="s">
        <v>121</v>
      </c>
      <c r="D54" s="298" t="s">
        <v>598</v>
      </c>
      <c r="E54" s="298" t="s">
        <v>668</v>
      </c>
      <c r="F54" s="298" t="s">
        <v>485</v>
      </c>
      <c r="G54" s="311">
        <v>1800</v>
      </c>
      <c r="H54" s="311">
        <f t="shared" si="115"/>
        <v>900</v>
      </c>
      <c r="I54" s="311">
        <v>1320</v>
      </c>
      <c r="J54" s="306">
        <f t="shared" si="101"/>
        <v>2376000</v>
      </c>
      <c r="K54" s="311">
        <v>150</v>
      </c>
      <c r="L54" s="312">
        <v>1255</v>
      </c>
      <c r="M54" s="309">
        <f t="shared" si="116"/>
        <v>1.3636363636363635</v>
      </c>
      <c r="N54" s="309">
        <f t="shared" si="29"/>
        <v>0.68181818181818177</v>
      </c>
      <c r="O54" s="309">
        <f t="shared" si="4"/>
        <v>0.68181818181818177</v>
      </c>
      <c r="P54" s="331">
        <f t="shared" si="102"/>
        <v>139420.1183431953</v>
      </c>
      <c r="Q54" s="327">
        <f t="shared" si="5"/>
        <v>198000</v>
      </c>
      <c r="R54" s="309">
        <f>(BH54/Q54*1000)/((1.02+0.67)/2)</f>
        <v>0.70414201183431968</v>
      </c>
      <c r="S54" s="312">
        <f>G54/4</f>
        <v>450</v>
      </c>
      <c r="T54" s="312">
        <v>400</v>
      </c>
      <c r="U54" s="307" t="s">
        <v>413</v>
      </c>
      <c r="V54" s="307" t="s">
        <v>413</v>
      </c>
      <c r="W54" s="387">
        <f t="shared" si="30"/>
        <v>0</v>
      </c>
      <c r="X54" s="332">
        <f t="shared" si="103"/>
        <v>23</v>
      </c>
      <c r="Y54" s="387">
        <f t="shared" si="31"/>
        <v>23</v>
      </c>
      <c r="Z54" s="418">
        <f t="shared" si="117"/>
        <v>0.5792682926829269</v>
      </c>
      <c r="AA54" s="307">
        <v>27</v>
      </c>
      <c r="AB54" s="307">
        <v>15.6</v>
      </c>
      <c r="AC54" s="295">
        <v>3</v>
      </c>
      <c r="AD54" s="325">
        <f t="shared" si="118"/>
        <v>3.9333333333333331</v>
      </c>
      <c r="AE54" s="295" t="s">
        <v>413</v>
      </c>
      <c r="AF54" s="313">
        <f t="shared" si="104"/>
        <v>0.93785320622293622</v>
      </c>
      <c r="AG54" s="313">
        <f t="shared" si="94"/>
        <v>25.322036568019278</v>
      </c>
      <c r="AH54" s="313">
        <f t="shared" si="105"/>
        <v>14.630510017077805</v>
      </c>
      <c r="AI54" s="308">
        <f t="shared" si="119"/>
        <v>22.158863032237779</v>
      </c>
      <c r="AJ54" s="295" t="s">
        <v>413</v>
      </c>
      <c r="AK54" s="295" t="s">
        <v>413</v>
      </c>
      <c r="AL54" s="295" t="s">
        <v>413</v>
      </c>
      <c r="AM54" s="331">
        <f t="shared" si="106"/>
        <v>705.9375</v>
      </c>
      <c r="AN54" s="298">
        <v>3.7499999999999999E-3</v>
      </c>
      <c r="AO54" s="332">
        <f t="shared" si="107"/>
        <v>385</v>
      </c>
      <c r="AP54" s="332">
        <f t="shared" si="108"/>
        <v>1.4437499999999999</v>
      </c>
      <c r="AQ54" s="343">
        <v>400</v>
      </c>
      <c r="AR54" s="295" t="s">
        <v>413</v>
      </c>
      <c r="AS54" s="327">
        <f t="shared" si="109"/>
        <v>191.69999999999996</v>
      </c>
      <c r="AT54" s="295" t="s">
        <v>413</v>
      </c>
      <c r="AU54" s="327">
        <v>0</v>
      </c>
      <c r="AV54" s="333">
        <f t="shared" si="110"/>
        <v>42.599999999999994</v>
      </c>
      <c r="AW54" s="327">
        <f t="shared" si="111"/>
        <v>191.69999999999996</v>
      </c>
      <c r="AX54" s="298">
        <v>7.0999999999999991E-4</v>
      </c>
      <c r="AY54" s="332">
        <f t="shared" si="112"/>
        <v>385</v>
      </c>
      <c r="AZ54" s="332">
        <f t="shared" si="113"/>
        <v>0.27334999999999998</v>
      </c>
      <c r="BA54" s="266">
        <v>400</v>
      </c>
      <c r="BB54" s="334">
        <v>0</v>
      </c>
      <c r="BC54" s="298">
        <v>0</v>
      </c>
      <c r="BD54" s="313">
        <f t="shared" si="33"/>
        <v>0</v>
      </c>
      <c r="BE54" s="298">
        <v>0</v>
      </c>
      <c r="BF54" s="310">
        <f>0.72*Q54/1000</f>
        <v>142.56</v>
      </c>
      <c r="BG54" s="310">
        <f>0.47*Q54/1000</f>
        <v>93.06</v>
      </c>
      <c r="BH54" s="311">
        <f t="shared" si="114"/>
        <v>117.81</v>
      </c>
      <c r="BI54" s="312">
        <v>1</v>
      </c>
      <c r="BJ54" s="360">
        <f t="shared" si="15"/>
        <v>1</v>
      </c>
      <c r="BK54" s="360">
        <f t="shared" si="16"/>
        <v>1</v>
      </c>
      <c r="BL54" s="311">
        <f t="shared" si="35"/>
        <v>117.81</v>
      </c>
      <c r="BM54" s="309">
        <f t="shared" si="96"/>
        <v>0.59500000000000008</v>
      </c>
      <c r="BN54" s="309">
        <f t="shared" si="97"/>
        <v>0.84499999999999986</v>
      </c>
      <c r="BO54" s="376"/>
      <c r="BP54" s="328">
        <f t="shared" si="36"/>
        <v>6.9040695591973833</v>
      </c>
      <c r="BQ54" s="328">
        <f t="shared" si="19"/>
        <v>0.27334999999999998</v>
      </c>
      <c r="BR54" s="328">
        <f t="shared" si="49"/>
        <v>0.35287878584579147</v>
      </c>
      <c r="BS54" s="328">
        <f t="shared" si="37"/>
        <v>1.7329799273163686</v>
      </c>
      <c r="BT54" s="328">
        <f t="shared" si="38"/>
        <v>0</v>
      </c>
      <c r="BU54" s="376"/>
      <c r="BV54" s="328">
        <f t="shared" si="21"/>
        <v>0.5</v>
      </c>
      <c r="BW54" s="328">
        <f t="shared" si="22"/>
        <v>0.71713147410358558</v>
      </c>
      <c r="BX54" s="373">
        <f t="shared" si="39"/>
        <v>0.96621965870114779</v>
      </c>
      <c r="BY54" s="311">
        <f t="shared" si="23"/>
        <v>90945.425375245541</v>
      </c>
      <c r="BZ54" s="311">
        <f t="shared" si="24"/>
        <v>138936.97124999997</v>
      </c>
      <c r="CA54" s="311">
        <f t="shared" si="40"/>
        <v>177230.60379803283</v>
      </c>
      <c r="CB54" s="307">
        <f t="shared" si="41"/>
        <v>177.23060379803283</v>
      </c>
      <c r="CC54" s="309">
        <f t="shared" si="42"/>
        <v>0.89510405958602435</v>
      </c>
      <c r="CD54" s="379">
        <f t="shared" si="25"/>
        <v>0.66472718297711764</v>
      </c>
    </row>
    <row r="55" spans="1:82" x14ac:dyDescent="0.25">
      <c r="A55" s="305">
        <v>47</v>
      </c>
      <c r="B55" s="298" t="s">
        <v>99</v>
      </c>
      <c r="C55" s="298" t="s">
        <v>122</v>
      </c>
      <c r="D55" s="298" t="s">
        <v>598</v>
      </c>
      <c r="E55" s="298" t="s">
        <v>668</v>
      </c>
      <c r="F55" s="298" t="s">
        <v>485</v>
      </c>
      <c r="G55" s="311">
        <v>1800</v>
      </c>
      <c r="H55" s="311">
        <f t="shared" si="115"/>
        <v>900</v>
      </c>
      <c r="I55" s="311">
        <v>920</v>
      </c>
      <c r="J55" s="306">
        <f t="shared" si="101"/>
        <v>1656000</v>
      </c>
      <c r="K55" s="311">
        <v>150</v>
      </c>
      <c r="L55" s="312">
        <v>855</v>
      </c>
      <c r="M55" s="309">
        <f t="shared" si="116"/>
        <v>1.9565217391304348</v>
      </c>
      <c r="N55" s="309">
        <f t="shared" si="29"/>
        <v>0.97826086956521741</v>
      </c>
      <c r="O55" s="309">
        <f t="shared" si="4"/>
        <v>0.97826086956521741</v>
      </c>
      <c r="P55" s="331">
        <f t="shared" si="102"/>
        <v>98943.39622641509</v>
      </c>
      <c r="Q55" s="327">
        <f t="shared" si="5"/>
        <v>138000</v>
      </c>
      <c r="R55" s="309">
        <f>(BH55/Q55*1000)/((0.85+0.74)/2)</f>
        <v>0.71698113207547165</v>
      </c>
      <c r="S55" s="312">
        <f>G55/3</f>
        <v>600</v>
      </c>
      <c r="T55" s="312">
        <v>400</v>
      </c>
      <c r="U55" s="307" t="s">
        <v>413</v>
      </c>
      <c r="V55" s="307" t="s">
        <v>413</v>
      </c>
      <c r="W55" s="387">
        <f t="shared" si="30"/>
        <v>0</v>
      </c>
      <c r="X55" s="332">
        <f t="shared" si="103"/>
        <v>23</v>
      </c>
      <c r="Y55" s="387">
        <f t="shared" si="31"/>
        <v>23</v>
      </c>
      <c r="Z55" s="418">
        <f t="shared" si="117"/>
        <v>0.5792682926829269</v>
      </c>
      <c r="AA55" s="307">
        <v>16.399999999999999</v>
      </c>
      <c r="AB55" s="307">
        <v>9.5</v>
      </c>
      <c r="AC55" s="295">
        <v>3</v>
      </c>
      <c r="AD55" s="325">
        <f t="shared" si="118"/>
        <v>3.9333333333333331</v>
      </c>
      <c r="AE55" s="295" t="s">
        <v>413</v>
      </c>
      <c r="AF55" s="313">
        <f t="shared" si="104"/>
        <v>0.93785320622293622</v>
      </c>
      <c r="AG55" s="313">
        <f t="shared" si="94"/>
        <v>15.380792582056152</v>
      </c>
      <c r="AH55" s="313">
        <f t="shared" si="105"/>
        <v>8.9096054591178948</v>
      </c>
      <c r="AI55" s="308">
        <f t="shared" si="119"/>
        <v>13.549324528394381</v>
      </c>
      <c r="AJ55" s="295" t="s">
        <v>413</v>
      </c>
      <c r="AK55" s="295" t="s">
        <v>413</v>
      </c>
      <c r="AL55" s="295" t="s">
        <v>413</v>
      </c>
      <c r="AM55" s="331">
        <f t="shared" si="106"/>
        <v>774.63</v>
      </c>
      <c r="AN55" s="298">
        <v>6.0400000000000002E-3</v>
      </c>
      <c r="AO55" s="332">
        <f t="shared" si="107"/>
        <v>385</v>
      </c>
      <c r="AP55" s="332">
        <f t="shared" si="108"/>
        <v>2.3254000000000001</v>
      </c>
      <c r="AQ55" s="343">
        <v>400</v>
      </c>
      <c r="AR55" s="295" t="s">
        <v>413</v>
      </c>
      <c r="AS55" s="327">
        <f t="shared" si="109"/>
        <v>191.69999999999996</v>
      </c>
      <c r="AT55" s="295" t="s">
        <v>413</v>
      </c>
      <c r="AU55" s="327">
        <v>0</v>
      </c>
      <c r="AV55" s="333">
        <f t="shared" si="110"/>
        <v>42.599999999999994</v>
      </c>
      <c r="AW55" s="327">
        <f t="shared" si="111"/>
        <v>191.69999999999996</v>
      </c>
      <c r="AX55" s="298">
        <v>7.0999999999999991E-4</v>
      </c>
      <c r="AY55" s="332">
        <f t="shared" si="112"/>
        <v>385</v>
      </c>
      <c r="AZ55" s="332">
        <f t="shared" si="113"/>
        <v>0.27334999999999998</v>
      </c>
      <c r="BA55" s="266">
        <v>400</v>
      </c>
      <c r="BB55" s="334">
        <v>0</v>
      </c>
      <c r="BC55" s="298">
        <v>0</v>
      </c>
      <c r="BD55" s="313">
        <f t="shared" si="33"/>
        <v>0</v>
      </c>
      <c r="BE55" s="298">
        <v>0</v>
      </c>
      <c r="BF55" s="310">
        <f>0.61*Q55/1000</f>
        <v>84.18</v>
      </c>
      <c r="BG55" s="310">
        <f>0.53*Q55/1000</f>
        <v>73.14</v>
      </c>
      <c r="BH55" s="311">
        <f t="shared" si="114"/>
        <v>78.66</v>
      </c>
      <c r="BI55" s="312">
        <v>1</v>
      </c>
      <c r="BJ55" s="360">
        <f t="shared" si="15"/>
        <v>1</v>
      </c>
      <c r="BK55" s="360">
        <f t="shared" si="16"/>
        <v>1</v>
      </c>
      <c r="BL55" s="311">
        <f t="shared" si="35"/>
        <v>78.66</v>
      </c>
      <c r="BM55" s="309">
        <f t="shared" si="96"/>
        <v>0.56999999999999995</v>
      </c>
      <c r="BN55" s="309">
        <f t="shared" si="97"/>
        <v>0.79500000000000004</v>
      </c>
      <c r="BO55" s="376"/>
      <c r="BP55" s="328">
        <f t="shared" si="36"/>
        <v>3.762739394924238</v>
      </c>
      <c r="BQ55" s="328">
        <f t="shared" si="19"/>
        <v>0.27334999999999998</v>
      </c>
      <c r="BR55" s="328">
        <f t="shared" si="49"/>
        <v>0.56837009773562153</v>
      </c>
      <c r="BS55" s="328">
        <f t="shared" si="37"/>
        <v>1.3798316062179463</v>
      </c>
      <c r="BT55" s="328">
        <f t="shared" si="38"/>
        <v>0</v>
      </c>
      <c r="BU55" s="376"/>
      <c r="BV55" s="328">
        <f t="shared" si="21"/>
        <v>0.5</v>
      </c>
      <c r="BW55" s="328">
        <f t="shared" si="22"/>
        <v>1</v>
      </c>
      <c r="BX55" s="373">
        <f t="shared" si="39"/>
        <v>0.58895051398814158</v>
      </c>
      <c r="BY55" s="311">
        <f t="shared" si="23"/>
        <v>37766.451709489578</v>
      </c>
      <c r="BZ55" s="311">
        <f t="shared" si="24"/>
        <v>94654.271249999976</v>
      </c>
      <c r="CA55" s="311">
        <f t="shared" si="40"/>
        <v>94416.129273723956</v>
      </c>
      <c r="CB55" s="307">
        <f t="shared" si="41"/>
        <v>94.416129273723953</v>
      </c>
      <c r="CC55" s="309">
        <f t="shared" si="42"/>
        <v>0.68417484980959387</v>
      </c>
      <c r="CD55" s="379">
        <f t="shared" si="25"/>
        <v>0.83312036412713975</v>
      </c>
    </row>
    <row r="56" spans="1:82" x14ac:dyDescent="0.25">
      <c r="A56" s="305">
        <v>48</v>
      </c>
      <c r="B56" s="298" t="s">
        <v>99</v>
      </c>
      <c r="C56" s="298" t="s">
        <v>123</v>
      </c>
      <c r="D56" s="298" t="s">
        <v>598</v>
      </c>
      <c r="E56" s="298" t="s">
        <v>668</v>
      </c>
      <c r="F56" s="298" t="s">
        <v>485</v>
      </c>
      <c r="G56" s="311">
        <v>1800</v>
      </c>
      <c r="H56" s="311">
        <f t="shared" si="115"/>
        <v>900</v>
      </c>
      <c r="I56" s="311">
        <v>920</v>
      </c>
      <c r="J56" s="306">
        <f t="shared" si="101"/>
        <v>1656000</v>
      </c>
      <c r="K56" s="311">
        <v>150</v>
      </c>
      <c r="L56" s="312">
        <v>855</v>
      </c>
      <c r="M56" s="309">
        <f t="shared" si="116"/>
        <v>1.9565217391304348</v>
      </c>
      <c r="N56" s="309">
        <f t="shared" si="29"/>
        <v>0.97826086956521741</v>
      </c>
      <c r="O56" s="309">
        <f t="shared" si="4"/>
        <v>0.97826086956521741</v>
      </c>
      <c r="P56" s="331">
        <f t="shared" si="102"/>
        <v>98837.83783783784</v>
      </c>
      <c r="Q56" s="327">
        <f t="shared" si="5"/>
        <v>138000</v>
      </c>
      <c r="R56" s="309">
        <f>(BH56/Q56*1000)/((0.74+0.74)/2)</f>
        <v>0.71621621621621623</v>
      </c>
      <c r="S56" s="312">
        <f>G56/3</f>
        <v>600</v>
      </c>
      <c r="T56" s="312">
        <v>400</v>
      </c>
      <c r="U56" s="307" t="s">
        <v>413</v>
      </c>
      <c r="V56" s="307" t="s">
        <v>413</v>
      </c>
      <c r="W56" s="387">
        <f t="shared" si="30"/>
        <v>0</v>
      </c>
      <c r="X56" s="332">
        <f t="shared" si="103"/>
        <v>23</v>
      </c>
      <c r="Y56" s="387">
        <f t="shared" si="31"/>
        <v>23</v>
      </c>
      <c r="Z56" s="418">
        <f t="shared" si="117"/>
        <v>0.5792682926829269</v>
      </c>
      <c r="AA56" s="307">
        <v>27</v>
      </c>
      <c r="AB56" s="307">
        <v>15.6</v>
      </c>
      <c r="AC56" s="295">
        <v>3</v>
      </c>
      <c r="AD56" s="325">
        <f t="shared" si="118"/>
        <v>3.9333333333333331</v>
      </c>
      <c r="AE56" s="295" t="s">
        <v>413</v>
      </c>
      <c r="AF56" s="313">
        <f t="shared" si="104"/>
        <v>0.93785320622293622</v>
      </c>
      <c r="AG56" s="313">
        <f t="shared" si="94"/>
        <v>25.322036568019278</v>
      </c>
      <c r="AH56" s="313">
        <f t="shared" si="105"/>
        <v>14.630510017077805</v>
      </c>
      <c r="AI56" s="308">
        <f t="shared" si="119"/>
        <v>22.287954708968318</v>
      </c>
      <c r="AJ56" s="295" t="s">
        <v>413</v>
      </c>
      <c r="AK56" s="295" t="s">
        <v>413</v>
      </c>
      <c r="AL56" s="295" t="s">
        <v>413</v>
      </c>
      <c r="AM56" s="331">
        <f t="shared" si="106"/>
        <v>506.58750000000003</v>
      </c>
      <c r="AN56" s="298">
        <v>3.9500000000000004E-3</v>
      </c>
      <c r="AO56" s="332">
        <f t="shared" si="107"/>
        <v>385</v>
      </c>
      <c r="AP56" s="332">
        <f t="shared" si="108"/>
        <v>1.52075</v>
      </c>
      <c r="AQ56" s="343">
        <v>400</v>
      </c>
      <c r="AR56" s="295" t="s">
        <v>413</v>
      </c>
      <c r="AS56" s="327">
        <f t="shared" si="109"/>
        <v>191.69999999999996</v>
      </c>
      <c r="AT56" s="295" t="s">
        <v>413</v>
      </c>
      <c r="AU56" s="327">
        <v>0</v>
      </c>
      <c r="AV56" s="333">
        <f t="shared" si="110"/>
        <v>42.599999999999994</v>
      </c>
      <c r="AW56" s="327">
        <f t="shared" si="111"/>
        <v>191.69999999999996</v>
      </c>
      <c r="AX56" s="298">
        <v>7.0999999999999991E-4</v>
      </c>
      <c r="AY56" s="332">
        <f t="shared" si="112"/>
        <v>385</v>
      </c>
      <c r="AZ56" s="332">
        <f t="shared" si="113"/>
        <v>0.27334999999999998</v>
      </c>
      <c r="BA56" s="266">
        <v>400</v>
      </c>
      <c r="BB56" s="334">
        <v>0</v>
      </c>
      <c r="BC56" s="298">
        <v>0</v>
      </c>
      <c r="BD56" s="313">
        <f t="shared" si="33"/>
        <v>0</v>
      </c>
      <c r="BE56" s="298">
        <v>0</v>
      </c>
      <c r="BF56" s="310">
        <f>0.53*Q56/1000</f>
        <v>73.14</v>
      </c>
      <c r="BG56" s="310">
        <f>0.53*Q56/1000</f>
        <v>73.14</v>
      </c>
      <c r="BH56" s="311">
        <f t="shared" si="114"/>
        <v>73.14</v>
      </c>
      <c r="BI56" s="312">
        <v>1</v>
      </c>
      <c r="BJ56" s="360">
        <f t="shared" si="15"/>
        <v>1</v>
      </c>
      <c r="BK56" s="360">
        <f t="shared" si="16"/>
        <v>1</v>
      </c>
      <c r="BL56" s="311">
        <f t="shared" si="35"/>
        <v>73.14</v>
      </c>
      <c r="BM56" s="309">
        <f t="shared" si="96"/>
        <v>0.53</v>
      </c>
      <c r="BN56" s="309">
        <f t="shared" si="97"/>
        <v>0.74</v>
      </c>
      <c r="BO56" s="376"/>
      <c r="BP56" s="328">
        <f t="shared" si="36"/>
        <v>4.8259234216052889</v>
      </c>
      <c r="BQ56" s="328">
        <f t="shared" si="19"/>
        <v>0.27334999999999998</v>
      </c>
      <c r="BR56" s="328">
        <f t="shared" si="49"/>
        <v>0.3716989877575671</v>
      </c>
      <c r="BS56" s="328">
        <f t="shared" si="37"/>
        <v>1.7678230705763065</v>
      </c>
      <c r="BT56" s="328">
        <f t="shared" si="38"/>
        <v>0</v>
      </c>
      <c r="BU56" s="376"/>
      <c r="BV56" s="328">
        <f t="shared" si="21"/>
        <v>0.5</v>
      </c>
      <c r="BW56" s="328">
        <f t="shared" si="22"/>
        <v>1</v>
      </c>
      <c r="BX56" s="373">
        <f t="shared" si="39"/>
        <v>0.75536192685995829</v>
      </c>
      <c r="BY56" s="311">
        <f t="shared" si="23"/>
        <v>48437.583559894825</v>
      </c>
      <c r="BZ56" s="311">
        <f t="shared" si="24"/>
        <v>94654.271249999976</v>
      </c>
      <c r="CA56" s="311">
        <f t="shared" si="40"/>
        <v>121093.95889973707</v>
      </c>
      <c r="CB56" s="307">
        <f t="shared" si="41"/>
        <v>121.09395889973707</v>
      </c>
      <c r="CC56" s="309">
        <f t="shared" si="42"/>
        <v>0.87749245579519619</v>
      </c>
      <c r="CD56" s="379">
        <f t="shared" si="25"/>
        <v>0.60399379675544496</v>
      </c>
    </row>
    <row r="57" spans="1:82" x14ac:dyDescent="0.25">
      <c r="A57" s="305">
        <v>49</v>
      </c>
      <c r="B57" s="298" t="s">
        <v>99</v>
      </c>
      <c r="C57" s="298" t="s">
        <v>124</v>
      </c>
      <c r="D57" s="298" t="s">
        <v>598</v>
      </c>
      <c r="E57" s="298" t="s">
        <v>668</v>
      </c>
      <c r="F57" s="298" t="s">
        <v>485</v>
      </c>
      <c r="G57" s="311">
        <v>1800</v>
      </c>
      <c r="H57" s="311">
        <f t="shared" si="115"/>
        <v>900</v>
      </c>
      <c r="I57" s="311">
        <v>1320</v>
      </c>
      <c r="J57" s="306">
        <f t="shared" si="101"/>
        <v>2376000</v>
      </c>
      <c r="K57" s="311">
        <v>150</v>
      </c>
      <c r="L57" s="312">
        <v>1255</v>
      </c>
      <c r="M57" s="309">
        <f t="shared" si="116"/>
        <v>1.3636363636363635</v>
      </c>
      <c r="N57" s="309">
        <f t="shared" si="29"/>
        <v>0.68181818181818177</v>
      </c>
      <c r="O57" s="309">
        <f t="shared" si="4"/>
        <v>0.68181818181818177</v>
      </c>
      <c r="P57" s="331">
        <f t="shared" si="102"/>
        <v>139071.42857142855</v>
      </c>
      <c r="Q57" s="327">
        <f t="shared" si="5"/>
        <v>198000</v>
      </c>
      <c r="R57" s="309">
        <f>(BH57/Q57*1000)/((0.43+0.41)/2)</f>
        <v>0.70238095238095233</v>
      </c>
      <c r="S57" s="312">
        <f t="shared" ref="S57:S73" si="120">G57/4</f>
        <v>450</v>
      </c>
      <c r="T57" s="312">
        <v>400</v>
      </c>
      <c r="U57" s="307" t="s">
        <v>413</v>
      </c>
      <c r="V57" s="307" t="s">
        <v>413</v>
      </c>
      <c r="W57" s="387">
        <f t="shared" si="30"/>
        <v>0</v>
      </c>
      <c r="X57" s="332">
        <f t="shared" si="103"/>
        <v>23</v>
      </c>
      <c r="Y57" s="387">
        <f t="shared" si="31"/>
        <v>23</v>
      </c>
      <c r="Z57" s="418">
        <f t="shared" si="117"/>
        <v>0.5792682926829269</v>
      </c>
      <c r="AA57" s="307">
        <v>16.399999999999999</v>
      </c>
      <c r="AB57" s="307">
        <v>9.5</v>
      </c>
      <c r="AC57" s="295">
        <v>3</v>
      </c>
      <c r="AD57" s="325">
        <f t="shared" si="118"/>
        <v>3.9333333333333331</v>
      </c>
      <c r="AE57" s="295" t="s">
        <v>413</v>
      </c>
      <c r="AF57" s="313">
        <f t="shared" si="104"/>
        <v>0.93785320622293622</v>
      </c>
      <c r="AG57" s="313">
        <f t="shared" si="94"/>
        <v>15.380792582056152</v>
      </c>
      <c r="AH57" s="313">
        <f t="shared" si="105"/>
        <v>8.9096054591178948</v>
      </c>
      <c r="AI57" s="308">
        <f t="shared" si="119"/>
        <v>13.454844033562621</v>
      </c>
      <c r="AJ57" s="295" t="s">
        <v>413</v>
      </c>
      <c r="AK57" s="295" t="s">
        <v>413</v>
      </c>
      <c r="AL57" s="295" t="s">
        <v>413</v>
      </c>
      <c r="AM57" s="331">
        <f t="shared" si="106"/>
        <v>773.70749999999998</v>
      </c>
      <c r="AN57" s="298">
        <v>4.1099999999999999E-3</v>
      </c>
      <c r="AO57" s="332">
        <f t="shared" si="107"/>
        <v>385</v>
      </c>
      <c r="AP57" s="332">
        <f t="shared" si="108"/>
        <v>1.5823499999999999</v>
      </c>
      <c r="AQ57" s="343">
        <v>400</v>
      </c>
      <c r="AR57" s="295" t="s">
        <v>413</v>
      </c>
      <c r="AS57" s="327">
        <f t="shared" si="109"/>
        <v>0</v>
      </c>
      <c r="AT57" s="295" t="s">
        <v>413</v>
      </c>
      <c r="AU57" s="327">
        <v>0</v>
      </c>
      <c r="AV57" s="333">
        <f t="shared" si="110"/>
        <v>0</v>
      </c>
      <c r="AW57" s="327">
        <f t="shared" si="111"/>
        <v>0</v>
      </c>
      <c r="AX57" s="298">
        <v>0</v>
      </c>
      <c r="AY57" s="336">
        <v>0</v>
      </c>
      <c r="AZ57" s="332">
        <f t="shared" si="113"/>
        <v>0</v>
      </c>
      <c r="BA57" s="266">
        <v>400</v>
      </c>
      <c r="BB57" s="334">
        <v>0</v>
      </c>
      <c r="BC57" s="298">
        <v>0</v>
      </c>
      <c r="BD57" s="313">
        <f t="shared" si="33"/>
        <v>0</v>
      </c>
      <c r="BE57" s="298">
        <v>0</v>
      </c>
      <c r="BF57" s="310">
        <f>0.3*Q57/1000</f>
        <v>59.4</v>
      </c>
      <c r="BG57" s="310">
        <f>0.29*Q57/1000</f>
        <v>57.419999999999995</v>
      </c>
      <c r="BH57" s="311">
        <f t="shared" si="114"/>
        <v>58.41</v>
      </c>
      <c r="BI57" s="312">
        <v>1</v>
      </c>
      <c r="BJ57" s="360">
        <f t="shared" si="15"/>
        <v>1</v>
      </c>
      <c r="BK57" s="360">
        <f t="shared" si="16"/>
        <v>1</v>
      </c>
      <c r="BL57" s="311">
        <f t="shared" si="35"/>
        <v>58.41</v>
      </c>
      <c r="BM57" s="309">
        <f t="shared" si="96"/>
        <v>0.29499999999999998</v>
      </c>
      <c r="BN57" s="309">
        <f t="shared" si="97"/>
        <v>0.42000000000000004</v>
      </c>
      <c r="BO57" s="376"/>
      <c r="BP57" s="328">
        <f t="shared" si="36"/>
        <v>5.3798572935407494</v>
      </c>
      <c r="BQ57" s="328">
        <f t="shared" si="19"/>
        <v>0</v>
      </c>
      <c r="BR57" s="328">
        <f t="shared" si="49"/>
        <v>0.38675514928698751</v>
      </c>
      <c r="BS57" s="328">
        <f t="shared" si="37"/>
        <v>0</v>
      </c>
      <c r="BT57" s="328">
        <f t="shared" si="38"/>
        <v>0</v>
      </c>
      <c r="BU57" s="376"/>
      <c r="BV57" s="328">
        <f t="shared" si="21"/>
        <v>0.5</v>
      </c>
      <c r="BW57" s="328">
        <f t="shared" si="22"/>
        <v>0.71713147410358558</v>
      </c>
      <c r="BX57" s="373">
        <f t="shared" si="39"/>
        <v>0.75290722862156678</v>
      </c>
      <c r="BY57" s="311">
        <f t="shared" si="23"/>
        <v>70867.392894004966</v>
      </c>
      <c r="BZ57" s="311">
        <f t="shared" si="24"/>
        <v>0</v>
      </c>
      <c r="CA57" s="311">
        <f t="shared" si="40"/>
        <v>138103.38211486989</v>
      </c>
      <c r="CB57" s="307">
        <f t="shared" si="41"/>
        <v>70.867392894004965</v>
      </c>
      <c r="CC57" s="309">
        <f t="shared" si="42"/>
        <v>0.35791612572729781</v>
      </c>
      <c r="CD57" s="379">
        <f t="shared" si="25"/>
        <v>0.82421544824377468</v>
      </c>
    </row>
    <row r="58" spans="1:82" x14ac:dyDescent="0.25">
      <c r="A58" s="305">
        <v>50</v>
      </c>
      <c r="B58" s="298" t="s">
        <v>99</v>
      </c>
      <c r="C58" s="298" t="s">
        <v>125</v>
      </c>
      <c r="D58" s="298" t="s">
        <v>598</v>
      </c>
      <c r="E58" s="298" t="s">
        <v>668</v>
      </c>
      <c r="F58" s="298" t="s">
        <v>485</v>
      </c>
      <c r="G58" s="311">
        <v>1800</v>
      </c>
      <c r="H58" s="311">
        <f t="shared" si="115"/>
        <v>900</v>
      </c>
      <c r="I58" s="311">
        <v>1320</v>
      </c>
      <c r="J58" s="306">
        <f t="shared" si="101"/>
        <v>2376000</v>
      </c>
      <c r="K58" s="311">
        <v>150</v>
      </c>
      <c r="L58" s="312">
        <v>1255</v>
      </c>
      <c r="M58" s="309">
        <f t="shared" si="116"/>
        <v>1.3636363636363635</v>
      </c>
      <c r="N58" s="309">
        <f t="shared" si="29"/>
        <v>0.68181818181818177</v>
      </c>
      <c r="O58" s="309">
        <f t="shared" si="4"/>
        <v>0.68181818181818177</v>
      </c>
      <c r="P58" s="331">
        <f t="shared" si="102"/>
        <v>138980.76923076925</v>
      </c>
      <c r="Q58" s="327">
        <f t="shared" si="5"/>
        <v>198000</v>
      </c>
      <c r="R58" s="309">
        <f>(BH58/Q58*1000)/((0.57+0.47)/2)</f>
        <v>0.70192307692307698</v>
      </c>
      <c r="S58" s="312">
        <f t="shared" si="120"/>
        <v>450</v>
      </c>
      <c r="T58" s="312">
        <v>400</v>
      </c>
      <c r="U58" s="307" t="s">
        <v>413</v>
      </c>
      <c r="V58" s="307" t="s">
        <v>413</v>
      </c>
      <c r="W58" s="387">
        <f t="shared" si="30"/>
        <v>0</v>
      </c>
      <c r="X58" s="332">
        <f t="shared" si="103"/>
        <v>23</v>
      </c>
      <c r="Y58" s="387">
        <f t="shared" si="31"/>
        <v>23</v>
      </c>
      <c r="Z58" s="418">
        <f t="shared" si="117"/>
        <v>0.5792682926829269</v>
      </c>
      <c r="AA58" s="307">
        <v>16.399999999999999</v>
      </c>
      <c r="AB58" s="307">
        <v>9.5</v>
      </c>
      <c r="AC58" s="295">
        <v>3</v>
      </c>
      <c r="AD58" s="325">
        <f t="shared" si="118"/>
        <v>3.9333333333333331</v>
      </c>
      <c r="AE58" s="295" t="s">
        <v>413</v>
      </c>
      <c r="AF58" s="313">
        <f t="shared" si="104"/>
        <v>0.93785320622293622</v>
      </c>
      <c r="AG58" s="313">
        <f t="shared" si="94"/>
        <v>15.380792582056152</v>
      </c>
      <c r="AH58" s="313">
        <f t="shared" si="105"/>
        <v>8.9096054591178948</v>
      </c>
      <c r="AI58" s="308">
        <f t="shared" si="119"/>
        <v>13.45188103579571</v>
      </c>
      <c r="AJ58" s="295" t="s">
        <v>413</v>
      </c>
      <c r="AK58" s="295" t="s">
        <v>413</v>
      </c>
      <c r="AL58" s="295" t="s">
        <v>413</v>
      </c>
      <c r="AM58" s="331">
        <f t="shared" si="106"/>
        <v>773.70749999999998</v>
      </c>
      <c r="AN58" s="298">
        <v>4.1099999999999999E-3</v>
      </c>
      <c r="AO58" s="332">
        <f t="shared" si="107"/>
        <v>385</v>
      </c>
      <c r="AP58" s="332">
        <f t="shared" si="108"/>
        <v>1.5823499999999999</v>
      </c>
      <c r="AQ58" s="343">
        <v>400</v>
      </c>
      <c r="AR58" s="295" t="s">
        <v>413</v>
      </c>
      <c r="AS58" s="327">
        <f t="shared" si="109"/>
        <v>0</v>
      </c>
      <c r="AT58" s="295" t="s">
        <v>413</v>
      </c>
      <c r="AU58" s="327">
        <v>0</v>
      </c>
      <c r="AV58" s="333">
        <f t="shared" si="110"/>
        <v>0</v>
      </c>
      <c r="AW58" s="327">
        <f t="shared" si="111"/>
        <v>0</v>
      </c>
      <c r="AX58" s="298">
        <v>0</v>
      </c>
      <c r="AY58" s="336">
        <v>0</v>
      </c>
      <c r="AZ58" s="332">
        <f t="shared" si="113"/>
        <v>0</v>
      </c>
      <c r="BA58" s="266">
        <v>400</v>
      </c>
      <c r="BB58" s="334">
        <v>0</v>
      </c>
      <c r="BC58" s="298">
        <v>0</v>
      </c>
      <c r="BD58" s="313">
        <f t="shared" si="33"/>
        <v>0</v>
      </c>
      <c r="BE58" s="298">
        <v>0</v>
      </c>
      <c r="BF58" s="310">
        <f>0.4*Q58/1000</f>
        <v>79.2</v>
      </c>
      <c r="BG58" s="310">
        <f>0.33*Q58/1000</f>
        <v>65.34</v>
      </c>
      <c r="BH58" s="311">
        <f t="shared" si="114"/>
        <v>72.27000000000001</v>
      </c>
      <c r="BI58" s="312">
        <v>1</v>
      </c>
      <c r="BJ58" s="360">
        <f t="shared" si="15"/>
        <v>1</v>
      </c>
      <c r="BK58" s="360">
        <f t="shared" si="16"/>
        <v>1</v>
      </c>
      <c r="BL58" s="311">
        <f t="shared" si="35"/>
        <v>72.27000000000001</v>
      </c>
      <c r="BM58" s="309">
        <f t="shared" si="96"/>
        <v>0.36500000000000005</v>
      </c>
      <c r="BN58" s="309">
        <f t="shared" si="97"/>
        <v>0.51999999999999991</v>
      </c>
      <c r="BO58" s="376"/>
      <c r="BP58" s="328">
        <f t="shared" si="36"/>
        <v>5.3792648904329852</v>
      </c>
      <c r="BQ58" s="328">
        <f t="shared" si="19"/>
        <v>0</v>
      </c>
      <c r="BR58" s="328">
        <f t="shared" si="49"/>
        <v>0.38675514928698751</v>
      </c>
      <c r="BS58" s="328">
        <f t="shared" si="37"/>
        <v>0</v>
      </c>
      <c r="BT58" s="328">
        <f t="shared" si="38"/>
        <v>0</v>
      </c>
      <c r="BU58" s="376"/>
      <c r="BV58" s="328">
        <f t="shared" si="21"/>
        <v>0.5</v>
      </c>
      <c r="BW58" s="328">
        <f t="shared" si="22"/>
        <v>0.71713147410358558</v>
      </c>
      <c r="BX58" s="373">
        <f t="shared" si="39"/>
        <v>0.75282432222502926</v>
      </c>
      <c r="BY58" s="311">
        <f t="shared" si="23"/>
        <v>70859.589329430877</v>
      </c>
      <c r="BZ58" s="311">
        <f t="shared" si="24"/>
        <v>0</v>
      </c>
      <c r="CA58" s="311">
        <f t="shared" si="40"/>
        <v>138088.17485781948</v>
      </c>
      <c r="CB58" s="307">
        <f t="shared" si="41"/>
        <v>70.859589329430875</v>
      </c>
      <c r="CC58" s="309">
        <f t="shared" si="42"/>
        <v>0.35787671378500446</v>
      </c>
      <c r="CD58" s="379">
        <f t="shared" si="25"/>
        <v>1.0199043020699998</v>
      </c>
    </row>
    <row r="59" spans="1:82" x14ac:dyDescent="0.25">
      <c r="A59" s="305">
        <v>51</v>
      </c>
      <c r="B59" s="298" t="s">
        <v>99</v>
      </c>
      <c r="C59" s="298" t="s">
        <v>126</v>
      </c>
      <c r="D59" s="298" t="s">
        <v>598</v>
      </c>
      <c r="E59" s="298" t="s">
        <v>668</v>
      </c>
      <c r="F59" s="298" t="s">
        <v>485</v>
      </c>
      <c r="G59" s="311">
        <v>1800</v>
      </c>
      <c r="H59" s="311">
        <f t="shared" si="115"/>
        <v>900</v>
      </c>
      <c r="I59" s="311">
        <v>1320</v>
      </c>
      <c r="J59" s="306">
        <f t="shared" si="101"/>
        <v>2376000</v>
      </c>
      <c r="K59" s="311">
        <v>150</v>
      </c>
      <c r="L59" s="312">
        <v>1255</v>
      </c>
      <c r="M59" s="309">
        <f t="shared" si="116"/>
        <v>1.3636363636363635</v>
      </c>
      <c r="N59" s="309">
        <f t="shared" si="29"/>
        <v>0.68181818181818177</v>
      </c>
      <c r="O59" s="309">
        <f t="shared" si="4"/>
        <v>0.68181818181818177</v>
      </c>
      <c r="P59" s="331">
        <f t="shared" si="102"/>
        <v>140461.53846153847</v>
      </c>
      <c r="Q59" s="327">
        <f t="shared" si="5"/>
        <v>198000</v>
      </c>
      <c r="R59" s="309">
        <f>(BH59/Q59*1000)/((0.72+0.45)/2)</f>
        <v>0.70940170940170943</v>
      </c>
      <c r="S59" s="312">
        <f t="shared" si="120"/>
        <v>450</v>
      </c>
      <c r="T59" s="312">
        <v>400</v>
      </c>
      <c r="U59" s="307" t="s">
        <v>413</v>
      </c>
      <c r="V59" s="307" t="s">
        <v>413</v>
      </c>
      <c r="W59" s="387">
        <f t="shared" si="30"/>
        <v>0</v>
      </c>
      <c r="X59" s="332">
        <f t="shared" si="103"/>
        <v>23</v>
      </c>
      <c r="Y59" s="387">
        <f t="shared" si="31"/>
        <v>23</v>
      </c>
      <c r="Z59" s="418">
        <f t="shared" si="117"/>
        <v>0.5792682926829269</v>
      </c>
      <c r="AA59" s="307">
        <v>16.399999999999999</v>
      </c>
      <c r="AB59" s="307">
        <v>9.5</v>
      </c>
      <c r="AC59" s="295">
        <v>3</v>
      </c>
      <c r="AD59" s="325">
        <f t="shared" si="118"/>
        <v>3.9333333333333331</v>
      </c>
      <c r="AE59" s="295" t="s">
        <v>413</v>
      </c>
      <c r="AF59" s="313">
        <f t="shared" si="104"/>
        <v>0.93785320622293622</v>
      </c>
      <c r="AG59" s="313">
        <f t="shared" si="94"/>
        <v>15.380792582056152</v>
      </c>
      <c r="AH59" s="313">
        <f t="shared" si="105"/>
        <v>8.9096054591178948</v>
      </c>
      <c r="AI59" s="308">
        <f t="shared" si="119"/>
        <v>13.500276665988626</v>
      </c>
      <c r="AJ59" s="295" t="s">
        <v>413</v>
      </c>
      <c r="AK59" s="295" t="s">
        <v>413</v>
      </c>
      <c r="AL59" s="295" t="s">
        <v>413</v>
      </c>
      <c r="AM59" s="331">
        <f t="shared" si="106"/>
        <v>773.70749999999998</v>
      </c>
      <c r="AN59" s="298">
        <v>4.1099999999999999E-3</v>
      </c>
      <c r="AO59" s="332">
        <f t="shared" si="107"/>
        <v>385</v>
      </c>
      <c r="AP59" s="332">
        <f t="shared" si="108"/>
        <v>1.5823499999999999</v>
      </c>
      <c r="AQ59" s="343">
        <v>400</v>
      </c>
      <c r="AR59" s="295" t="s">
        <v>413</v>
      </c>
      <c r="AS59" s="327">
        <f t="shared" si="109"/>
        <v>191.69999999999996</v>
      </c>
      <c r="AT59" s="295" t="s">
        <v>413</v>
      </c>
      <c r="AU59" s="327">
        <v>0</v>
      </c>
      <c r="AV59" s="333">
        <f t="shared" si="110"/>
        <v>42.599999999999994</v>
      </c>
      <c r="AW59" s="327">
        <f t="shared" si="111"/>
        <v>191.69999999999996</v>
      </c>
      <c r="AX59" s="298">
        <v>7.0999999999999991E-4</v>
      </c>
      <c r="AY59" s="336">
        <f t="shared" ref="AY59:AY64" si="121">AVERAGE(320,450)</f>
        <v>385</v>
      </c>
      <c r="AZ59" s="332">
        <f t="shared" si="113"/>
        <v>0.27334999999999998</v>
      </c>
      <c r="BA59" s="266">
        <v>400</v>
      </c>
      <c r="BB59" s="334">
        <v>0</v>
      </c>
      <c r="BC59" s="298">
        <v>0</v>
      </c>
      <c r="BD59" s="313">
        <f t="shared" si="33"/>
        <v>0</v>
      </c>
      <c r="BE59" s="298">
        <v>0</v>
      </c>
      <c r="BF59" s="310">
        <f>0.51*Q59/1000</f>
        <v>100.98</v>
      </c>
      <c r="BG59" s="310">
        <f>0.32*Q59/1000</f>
        <v>63.36</v>
      </c>
      <c r="BH59" s="311">
        <f t="shared" si="114"/>
        <v>82.17</v>
      </c>
      <c r="BI59" s="312">
        <v>1</v>
      </c>
      <c r="BJ59" s="360">
        <f t="shared" si="15"/>
        <v>1</v>
      </c>
      <c r="BK59" s="360">
        <f t="shared" si="16"/>
        <v>1</v>
      </c>
      <c r="BL59" s="311">
        <f t="shared" si="35"/>
        <v>82.17</v>
      </c>
      <c r="BM59" s="309">
        <f t="shared" si="96"/>
        <v>0.41499999999999998</v>
      </c>
      <c r="BN59" s="309">
        <f t="shared" si="97"/>
        <v>0.58499999999999996</v>
      </c>
      <c r="BO59" s="376"/>
      <c r="BP59" s="328">
        <f t="shared" si="36"/>
        <v>5.3889326530661155</v>
      </c>
      <c r="BQ59" s="328">
        <f t="shared" si="19"/>
        <v>0.27334999999999998</v>
      </c>
      <c r="BR59" s="328">
        <f t="shared" si="49"/>
        <v>0.38675514928698751</v>
      </c>
      <c r="BS59" s="328">
        <f t="shared" si="37"/>
        <v>1.3627716934106435</v>
      </c>
      <c r="BT59" s="328">
        <f t="shared" si="38"/>
        <v>0</v>
      </c>
      <c r="BU59" s="376"/>
      <c r="BV59" s="328">
        <f t="shared" si="21"/>
        <v>0.5</v>
      </c>
      <c r="BW59" s="328">
        <f t="shared" si="22"/>
        <v>0.71713147410358558</v>
      </c>
      <c r="BX59" s="373">
        <f t="shared" si="39"/>
        <v>0.75417731877752525</v>
      </c>
      <c r="BY59" s="311">
        <f t="shared" si="23"/>
        <v>70986.940129934563</v>
      </c>
      <c r="BZ59" s="311">
        <f t="shared" si="24"/>
        <v>138936.97124999997</v>
      </c>
      <c r="CA59" s="311">
        <f t="shared" si="40"/>
        <v>138336.35071904949</v>
      </c>
      <c r="CB59" s="307">
        <f t="shared" si="41"/>
        <v>138.33635071904948</v>
      </c>
      <c r="CC59" s="309">
        <f t="shared" si="42"/>
        <v>0.69866843797499734</v>
      </c>
      <c r="CD59" s="379">
        <f t="shared" si="25"/>
        <v>0.59398704370105126</v>
      </c>
    </row>
    <row r="60" spans="1:82" x14ac:dyDescent="0.25">
      <c r="A60" s="305">
        <v>52</v>
      </c>
      <c r="B60" s="298" t="s">
        <v>99</v>
      </c>
      <c r="C60" s="298" t="s">
        <v>127</v>
      </c>
      <c r="D60" s="298" t="s">
        <v>598</v>
      </c>
      <c r="E60" s="298" t="s">
        <v>668</v>
      </c>
      <c r="F60" s="298" t="s">
        <v>485</v>
      </c>
      <c r="G60" s="311">
        <v>1800</v>
      </c>
      <c r="H60" s="311">
        <f t="shared" si="115"/>
        <v>900</v>
      </c>
      <c r="I60" s="311">
        <v>1320</v>
      </c>
      <c r="J60" s="306">
        <f t="shared" si="101"/>
        <v>2376000</v>
      </c>
      <c r="K60" s="311">
        <v>150</v>
      </c>
      <c r="L60" s="312">
        <v>1255</v>
      </c>
      <c r="M60" s="309">
        <f t="shared" si="116"/>
        <v>1.3636363636363635</v>
      </c>
      <c r="N60" s="309">
        <f t="shared" si="29"/>
        <v>0.68181818181818177</v>
      </c>
      <c r="O60" s="309">
        <f t="shared" si="4"/>
        <v>0.68181818181818177</v>
      </c>
      <c r="P60" s="331">
        <f t="shared" si="102"/>
        <v>140314.96062992126</v>
      </c>
      <c r="Q60" s="327">
        <f t="shared" si="5"/>
        <v>198000</v>
      </c>
      <c r="R60" s="309">
        <f>(BH60/Q60*1000)/((0.75+0.52)/2)</f>
        <v>0.70866141732283461</v>
      </c>
      <c r="S60" s="312">
        <f t="shared" si="120"/>
        <v>450</v>
      </c>
      <c r="T60" s="312">
        <v>400</v>
      </c>
      <c r="U60" s="307" t="s">
        <v>413</v>
      </c>
      <c r="V60" s="307" t="s">
        <v>413</v>
      </c>
      <c r="W60" s="387">
        <f t="shared" si="30"/>
        <v>0</v>
      </c>
      <c r="X60" s="332">
        <f t="shared" si="103"/>
        <v>23</v>
      </c>
      <c r="Y60" s="387">
        <f t="shared" si="31"/>
        <v>23</v>
      </c>
      <c r="Z60" s="418">
        <f t="shared" si="117"/>
        <v>0.5792682926829269</v>
      </c>
      <c r="AA60" s="307">
        <v>16.399999999999999</v>
      </c>
      <c r="AB60" s="307">
        <v>9.5</v>
      </c>
      <c r="AC60" s="295">
        <v>3</v>
      </c>
      <c r="AD60" s="325">
        <f t="shared" si="118"/>
        <v>3.9333333333333331</v>
      </c>
      <c r="AE60" s="295" t="s">
        <v>413</v>
      </c>
      <c r="AF60" s="313">
        <f t="shared" si="104"/>
        <v>0.93785320622293622</v>
      </c>
      <c r="AG60" s="313">
        <f t="shared" si="94"/>
        <v>15.380792582056152</v>
      </c>
      <c r="AH60" s="313">
        <f t="shared" si="105"/>
        <v>8.9096054591178948</v>
      </c>
      <c r="AI60" s="308">
        <f t="shared" si="119"/>
        <v>13.495486097420596</v>
      </c>
      <c r="AJ60" s="295" t="s">
        <v>413</v>
      </c>
      <c r="AK60" s="295" t="s">
        <v>413</v>
      </c>
      <c r="AL60" s="295" t="s">
        <v>413</v>
      </c>
      <c r="AM60" s="331">
        <f t="shared" si="106"/>
        <v>773.70749999999998</v>
      </c>
      <c r="AN60" s="298">
        <v>4.1099999999999999E-3</v>
      </c>
      <c r="AO60" s="332">
        <f t="shared" si="107"/>
        <v>385</v>
      </c>
      <c r="AP60" s="332">
        <f t="shared" si="108"/>
        <v>1.5823499999999999</v>
      </c>
      <c r="AQ60" s="343">
        <v>400</v>
      </c>
      <c r="AR60" s="295" t="s">
        <v>413</v>
      </c>
      <c r="AS60" s="327">
        <f t="shared" si="109"/>
        <v>399.6</v>
      </c>
      <c r="AT60" s="295" t="s">
        <v>413</v>
      </c>
      <c r="AU60" s="327">
        <v>0</v>
      </c>
      <c r="AV60" s="333">
        <f t="shared" si="110"/>
        <v>88.8</v>
      </c>
      <c r="AW60" s="327">
        <f t="shared" si="111"/>
        <v>399.6</v>
      </c>
      <c r="AX60" s="298">
        <v>1.48E-3</v>
      </c>
      <c r="AY60" s="336">
        <f t="shared" si="121"/>
        <v>385</v>
      </c>
      <c r="AZ60" s="332">
        <f t="shared" si="113"/>
        <v>0.56979999999999997</v>
      </c>
      <c r="BA60" s="266">
        <v>400</v>
      </c>
      <c r="BB60" s="334">
        <v>0</v>
      </c>
      <c r="BC60" s="298">
        <v>0</v>
      </c>
      <c r="BD60" s="313">
        <f t="shared" si="33"/>
        <v>0</v>
      </c>
      <c r="BE60" s="298">
        <v>0</v>
      </c>
      <c r="BF60" s="310">
        <f>0.53*Q60/1000</f>
        <v>104.94</v>
      </c>
      <c r="BG60" s="310">
        <f>0.37*Q60/1000</f>
        <v>73.260000000000005</v>
      </c>
      <c r="BH60" s="311">
        <f t="shared" si="114"/>
        <v>89.1</v>
      </c>
      <c r="BI60" s="312">
        <v>1</v>
      </c>
      <c r="BJ60" s="360">
        <f t="shared" si="15"/>
        <v>1</v>
      </c>
      <c r="BK60" s="360">
        <f t="shared" si="16"/>
        <v>1</v>
      </c>
      <c r="BL60" s="311">
        <f t="shared" si="35"/>
        <v>89.1</v>
      </c>
      <c r="BM60" s="309">
        <f t="shared" si="96"/>
        <v>0.45</v>
      </c>
      <c r="BN60" s="309">
        <f t="shared" si="97"/>
        <v>0.6349999999999999</v>
      </c>
      <c r="BO60" s="376"/>
      <c r="BP60" s="328">
        <f t="shared" si="36"/>
        <v>5.387976437773923</v>
      </c>
      <c r="BQ60" s="328">
        <f t="shared" si="19"/>
        <v>0.56979999999999997</v>
      </c>
      <c r="BR60" s="328">
        <f t="shared" si="49"/>
        <v>0.38675514928698751</v>
      </c>
      <c r="BS60" s="328">
        <f t="shared" si="37"/>
        <v>1.9651435352883613</v>
      </c>
      <c r="BT60" s="328">
        <f t="shared" si="38"/>
        <v>0</v>
      </c>
      <c r="BU60" s="376"/>
      <c r="BV60" s="328">
        <f t="shared" si="21"/>
        <v>0.5</v>
      </c>
      <c r="BW60" s="328">
        <f t="shared" si="22"/>
        <v>0.71713147410358558</v>
      </c>
      <c r="BX60" s="373">
        <f t="shared" si="39"/>
        <v>0.75404349712272511</v>
      </c>
      <c r="BY60" s="311">
        <f t="shared" si="23"/>
        <v>70974.344166676499</v>
      </c>
      <c r="BZ60" s="311">
        <f t="shared" si="24"/>
        <v>289615.09499999997</v>
      </c>
      <c r="CA60" s="311">
        <f t="shared" si="40"/>
        <v>138311.8042378556</v>
      </c>
      <c r="CB60" s="307">
        <f t="shared" si="41"/>
        <v>138.3118042378556</v>
      </c>
      <c r="CC60" s="309">
        <f t="shared" si="42"/>
        <v>0.69854446584775554</v>
      </c>
      <c r="CD60" s="379">
        <f t="shared" si="25"/>
        <v>0.64419664316412373</v>
      </c>
    </row>
    <row r="61" spans="1:82" x14ac:dyDescent="0.25">
      <c r="A61" s="305">
        <v>53</v>
      </c>
      <c r="B61" s="298" t="s">
        <v>99</v>
      </c>
      <c r="C61" s="298" t="s">
        <v>128</v>
      </c>
      <c r="D61" s="298" t="s">
        <v>598</v>
      </c>
      <c r="E61" s="298" t="s">
        <v>668</v>
      </c>
      <c r="F61" s="298" t="s">
        <v>485</v>
      </c>
      <c r="G61" s="311">
        <v>1800</v>
      </c>
      <c r="H61" s="311">
        <f t="shared" si="115"/>
        <v>900</v>
      </c>
      <c r="I61" s="311">
        <v>1320</v>
      </c>
      <c r="J61" s="306">
        <f t="shared" si="101"/>
        <v>2376000</v>
      </c>
      <c r="K61" s="311">
        <v>150</v>
      </c>
      <c r="L61" s="312">
        <v>1255</v>
      </c>
      <c r="M61" s="309">
        <f t="shared" si="116"/>
        <v>1.3636363636363635</v>
      </c>
      <c r="N61" s="309">
        <f t="shared" si="29"/>
        <v>0.68181818181818177</v>
      </c>
      <c r="O61" s="309">
        <f t="shared" si="4"/>
        <v>0.68181818181818177</v>
      </c>
      <c r="P61" s="331">
        <f t="shared" si="102"/>
        <v>139471.69811320753</v>
      </c>
      <c r="Q61" s="327">
        <f t="shared" si="5"/>
        <v>198000</v>
      </c>
      <c r="R61" s="309">
        <f>(BH61/Q61*1000)/((0.95+0.64)/2)</f>
        <v>0.70440251572327039</v>
      </c>
      <c r="S61" s="312">
        <f t="shared" si="120"/>
        <v>450</v>
      </c>
      <c r="T61" s="312">
        <v>400</v>
      </c>
      <c r="U61" s="307" t="s">
        <v>413</v>
      </c>
      <c r="V61" s="307" t="s">
        <v>413</v>
      </c>
      <c r="W61" s="387">
        <f t="shared" si="30"/>
        <v>0</v>
      </c>
      <c r="X61" s="332">
        <f t="shared" si="103"/>
        <v>23</v>
      </c>
      <c r="Y61" s="387">
        <f t="shared" si="31"/>
        <v>23</v>
      </c>
      <c r="Z61" s="418">
        <f t="shared" si="117"/>
        <v>0.5792682926829269</v>
      </c>
      <c r="AA61" s="307">
        <v>16.399999999999999</v>
      </c>
      <c r="AB61" s="307">
        <v>9.5</v>
      </c>
      <c r="AC61" s="295">
        <v>3</v>
      </c>
      <c r="AD61" s="325">
        <f t="shared" si="118"/>
        <v>3.9333333333333331</v>
      </c>
      <c r="AE61" s="295" t="s">
        <v>413</v>
      </c>
      <c r="AF61" s="313">
        <f t="shared" si="104"/>
        <v>0.93785320622293622</v>
      </c>
      <c r="AG61" s="313">
        <f t="shared" si="94"/>
        <v>15.380792582056152</v>
      </c>
      <c r="AH61" s="313">
        <f t="shared" si="105"/>
        <v>8.9096054591178948</v>
      </c>
      <c r="AI61" s="308">
        <f t="shared" si="119"/>
        <v>13.467925948231636</v>
      </c>
      <c r="AJ61" s="295" t="s">
        <v>413</v>
      </c>
      <c r="AK61" s="295" t="s">
        <v>413</v>
      </c>
      <c r="AL61" s="295" t="s">
        <v>413</v>
      </c>
      <c r="AM61" s="331">
        <f t="shared" si="106"/>
        <v>773.70749999999998</v>
      </c>
      <c r="AN61" s="298">
        <v>4.1099999999999999E-3</v>
      </c>
      <c r="AO61" s="332">
        <f t="shared" si="107"/>
        <v>385</v>
      </c>
      <c r="AP61" s="332">
        <f t="shared" si="108"/>
        <v>1.5823499999999999</v>
      </c>
      <c r="AQ61" s="343">
        <v>400</v>
      </c>
      <c r="AR61" s="295" t="s">
        <v>413</v>
      </c>
      <c r="AS61" s="327">
        <f t="shared" si="109"/>
        <v>599.40000000000009</v>
      </c>
      <c r="AT61" s="295" t="s">
        <v>413</v>
      </c>
      <c r="AU61" s="327">
        <v>0</v>
      </c>
      <c r="AV61" s="333">
        <f t="shared" si="110"/>
        <v>133.20000000000002</v>
      </c>
      <c r="AW61" s="327">
        <f t="shared" si="111"/>
        <v>599.40000000000009</v>
      </c>
      <c r="AX61" s="298">
        <v>2.2200000000000002E-3</v>
      </c>
      <c r="AY61" s="336">
        <f t="shared" si="121"/>
        <v>385</v>
      </c>
      <c r="AZ61" s="332">
        <f t="shared" si="113"/>
        <v>0.85470000000000013</v>
      </c>
      <c r="BA61" s="266">
        <v>400</v>
      </c>
      <c r="BB61" s="334">
        <v>0</v>
      </c>
      <c r="BC61" s="298">
        <v>0</v>
      </c>
      <c r="BD61" s="313">
        <f t="shared" si="33"/>
        <v>0</v>
      </c>
      <c r="BE61" s="298">
        <v>0</v>
      </c>
      <c r="BF61" s="310">
        <f>0.67*Q61/1000</f>
        <v>132.66</v>
      </c>
      <c r="BG61" s="310">
        <f>0.45*Q61/1000</f>
        <v>89.1</v>
      </c>
      <c r="BH61" s="311">
        <f t="shared" si="114"/>
        <v>110.88</v>
      </c>
      <c r="BI61" s="312">
        <v>1</v>
      </c>
      <c r="BJ61" s="360">
        <f t="shared" si="15"/>
        <v>1</v>
      </c>
      <c r="BK61" s="360">
        <f t="shared" si="16"/>
        <v>1</v>
      </c>
      <c r="BL61" s="311">
        <f t="shared" si="35"/>
        <v>110.88</v>
      </c>
      <c r="BM61" s="309">
        <f t="shared" si="96"/>
        <v>0.55999999999999994</v>
      </c>
      <c r="BN61" s="309">
        <f t="shared" si="97"/>
        <v>0.79500000000000004</v>
      </c>
      <c r="BO61" s="376"/>
      <c r="BP61" s="328">
        <f t="shared" si="36"/>
        <v>5.3824720297334308</v>
      </c>
      <c r="BQ61" s="328">
        <f t="shared" si="19"/>
        <v>0.85470000000000013</v>
      </c>
      <c r="BR61" s="328">
        <f t="shared" si="49"/>
        <v>0.38675514928698751</v>
      </c>
      <c r="BS61" s="328">
        <f t="shared" si="37"/>
        <v>2.3898910906441349</v>
      </c>
      <c r="BT61" s="328">
        <f t="shared" si="38"/>
        <v>0</v>
      </c>
      <c r="BU61" s="376"/>
      <c r="BV61" s="328">
        <f t="shared" si="21"/>
        <v>0.5</v>
      </c>
      <c r="BW61" s="328">
        <f t="shared" si="22"/>
        <v>0.71713147410358558</v>
      </c>
      <c r="BX61" s="373">
        <f t="shared" si="39"/>
        <v>0.75327315910503367</v>
      </c>
      <c r="BY61" s="311">
        <f t="shared" si="23"/>
        <v>70901.836100761298</v>
      </c>
      <c r="BZ61" s="311">
        <f t="shared" si="24"/>
        <v>434422.64250000007</v>
      </c>
      <c r="CA61" s="311">
        <f t="shared" si="40"/>
        <v>138170.5035814525</v>
      </c>
      <c r="CB61" s="307">
        <f t="shared" si="41"/>
        <v>138.17050358145249</v>
      </c>
      <c r="CC61" s="309">
        <f t="shared" si="42"/>
        <v>0.69783082616895198</v>
      </c>
      <c r="CD61" s="379">
        <f t="shared" si="25"/>
        <v>0.802486761833617</v>
      </c>
    </row>
    <row r="62" spans="1:82" x14ac:dyDescent="0.25">
      <c r="A62" s="305">
        <v>54</v>
      </c>
      <c r="B62" s="298" t="s">
        <v>99</v>
      </c>
      <c r="C62" s="298" t="s">
        <v>129</v>
      </c>
      <c r="D62" s="298" t="s">
        <v>598</v>
      </c>
      <c r="E62" s="298" t="s">
        <v>668</v>
      </c>
      <c r="F62" s="298" t="s">
        <v>485</v>
      </c>
      <c r="G62" s="311">
        <v>1800</v>
      </c>
      <c r="H62" s="311">
        <f t="shared" si="115"/>
        <v>900</v>
      </c>
      <c r="I62" s="311">
        <v>1320</v>
      </c>
      <c r="J62" s="306">
        <f t="shared" si="101"/>
        <v>2376000</v>
      </c>
      <c r="K62" s="311">
        <v>150</v>
      </c>
      <c r="L62" s="312">
        <v>1255</v>
      </c>
      <c r="M62" s="309">
        <f t="shared" si="116"/>
        <v>1.3636363636363635</v>
      </c>
      <c r="N62" s="309">
        <f t="shared" si="29"/>
        <v>0.68181818181818177</v>
      </c>
      <c r="O62" s="309">
        <f t="shared" si="4"/>
        <v>0.68181818181818177</v>
      </c>
      <c r="P62" s="331">
        <f t="shared" si="102"/>
        <v>140123.07692307694</v>
      </c>
      <c r="Q62" s="327">
        <f t="shared" si="5"/>
        <v>198000</v>
      </c>
      <c r="R62" s="309">
        <f>(BH62/Q62*1000)/((1.23+0.72)/2)</f>
        <v>0.70769230769230773</v>
      </c>
      <c r="S62" s="312">
        <f t="shared" si="120"/>
        <v>450</v>
      </c>
      <c r="T62" s="312">
        <v>400</v>
      </c>
      <c r="U62" s="307" t="s">
        <v>413</v>
      </c>
      <c r="V62" s="307" t="s">
        <v>413</v>
      </c>
      <c r="W62" s="387">
        <f t="shared" si="30"/>
        <v>0</v>
      </c>
      <c r="X62" s="332">
        <f t="shared" si="103"/>
        <v>23</v>
      </c>
      <c r="Y62" s="387">
        <f t="shared" si="31"/>
        <v>23</v>
      </c>
      <c r="Z62" s="418">
        <f t="shared" si="117"/>
        <v>0.5792682926829269</v>
      </c>
      <c r="AA62" s="307">
        <v>27</v>
      </c>
      <c r="AB62" s="307">
        <v>15.6</v>
      </c>
      <c r="AC62" s="295">
        <v>3</v>
      </c>
      <c r="AD62" s="325">
        <f t="shared" si="118"/>
        <v>3.9333333333333331</v>
      </c>
      <c r="AE62" s="295" t="s">
        <v>413</v>
      </c>
      <c r="AF62" s="313">
        <f t="shared" si="104"/>
        <v>0.93785320622293622</v>
      </c>
      <c r="AG62" s="313">
        <f t="shared" si="94"/>
        <v>25.322036568019278</v>
      </c>
      <c r="AH62" s="313">
        <f t="shared" si="105"/>
        <v>14.630510017077805</v>
      </c>
      <c r="AI62" s="308">
        <f t="shared" si="119"/>
        <v>22.196821114667156</v>
      </c>
      <c r="AJ62" s="295" t="s">
        <v>413</v>
      </c>
      <c r="AK62" s="295" t="s">
        <v>413</v>
      </c>
      <c r="AL62" s="295" t="s">
        <v>413</v>
      </c>
      <c r="AM62" s="331">
        <f t="shared" si="106"/>
        <v>773.70749999999998</v>
      </c>
      <c r="AN62" s="298">
        <v>4.1099999999999999E-3</v>
      </c>
      <c r="AO62" s="332">
        <f t="shared" si="107"/>
        <v>385</v>
      </c>
      <c r="AP62" s="332">
        <f t="shared" si="108"/>
        <v>1.5823499999999999</v>
      </c>
      <c r="AQ62" s="343">
        <v>400</v>
      </c>
      <c r="AR62" s="295" t="s">
        <v>413</v>
      </c>
      <c r="AS62" s="327">
        <f t="shared" si="109"/>
        <v>191.69999999999996</v>
      </c>
      <c r="AT62" s="295" t="s">
        <v>413</v>
      </c>
      <c r="AU62" s="327">
        <v>0</v>
      </c>
      <c r="AV62" s="333">
        <f t="shared" si="110"/>
        <v>42.599999999999994</v>
      </c>
      <c r="AW62" s="327">
        <f t="shared" si="111"/>
        <v>191.69999999999996</v>
      </c>
      <c r="AX62" s="298">
        <v>7.0999999999999991E-4</v>
      </c>
      <c r="AY62" s="336">
        <f t="shared" si="121"/>
        <v>385</v>
      </c>
      <c r="AZ62" s="332">
        <f t="shared" si="113"/>
        <v>0.27334999999999998</v>
      </c>
      <c r="BA62" s="266">
        <v>400</v>
      </c>
      <c r="BB62" s="335">
        <f t="shared" ref="BB62:BB79" si="122">BC62*(K61*I61)/1000</f>
        <v>97.02</v>
      </c>
      <c r="BC62" s="298">
        <v>0.49</v>
      </c>
      <c r="BD62" s="313">
        <f t="shared" si="33"/>
        <v>2.207523309165289E-2</v>
      </c>
      <c r="BE62" s="298">
        <v>0.69</v>
      </c>
      <c r="BF62" s="310">
        <f>0.87*Q62/1000</f>
        <v>172.26</v>
      </c>
      <c r="BG62" s="310">
        <f>0.51*Q62/1000</f>
        <v>100.98</v>
      </c>
      <c r="BH62" s="311">
        <f t="shared" si="114"/>
        <v>136.62</v>
      </c>
      <c r="BI62" s="312">
        <v>1</v>
      </c>
      <c r="BJ62" s="360">
        <f t="shared" si="15"/>
        <v>1</v>
      </c>
      <c r="BK62" s="360">
        <f t="shared" si="16"/>
        <v>1</v>
      </c>
      <c r="BL62" s="311">
        <f t="shared" si="35"/>
        <v>136.62</v>
      </c>
      <c r="BM62" s="309">
        <f t="shared" si="96"/>
        <v>0.69000000000000006</v>
      </c>
      <c r="BN62" s="309">
        <f t="shared" si="97"/>
        <v>0.97499999999999998</v>
      </c>
      <c r="BO62" s="376"/>
      <c r="BP62" s="328">
        <f t="shared" si="36"/>
        <v>6.9099803567815048</v>
      </c>
      <c r="BQ62" s="328">
        <f t="shared" si="19"/>
        <v>0.27334999999999998</v>
      </c>
      <c r="BR62" s="328">
        <f t="shared" si="49"/>
        <v>0.38675514928698751</v>
      </c>
      <c r="BS62" s="328">
        <f t="shared" si="37"/>
        <v>1.7432087821254536</v>
      </c>
      <c r="BT62" s="328">
        <f t="shared" si="38"/>
        <v>0.49</v>
      </c>
      <c r="BU62" s="376"/>
      <c r="BV62" s="328">
        <f t="shared" si="21"/>
        <v>0.5</v>
      </c>
      <c r="BW62" s="328">
        <f t="shared" si="22"/>
        <v>0.71713147410358558</v>
      </c>
      <c r="BX62" s="373">
        <f t="shared" si="39"/>
        <v>0.96704687064845118</v>
      </c>
      <c r="BY62" s="311">
        <f t="shared" si="23"/>
        <v>103150.78669978546</v>
      </c>
      <c r="BZ62" s="311">
        <f t="shared" si="24"/>
        <v>138936.97124999997</v>
      </c>
      <c r="CA62" s="311">
        <f t="shared" si="40"/>
        <v>177382.33665874338</v>
      </c>
      <c r="CB62" s="307">
        <f t="shared" si="41"/>
        <v>177.38233665874338</v>
      </c>
      <c r="CC62" s="309">
        <f t="shared" si="42"/>
        <v>0.8958703871653706</v>
      </c>
      <c r="CD62" s="379">
        <f t="shared" si="25"/>
        <v>0.7702007007768541</v>
      </c>
    </row>
    <row r="63" spans="1:82" x14ac:dyDescent="0.25">
      <c r="A63" s="305">
        <v>55</v>
      </c>
      <c r="B63" s="298" t="s">
        <v>99</v>
      </c>
      <c r="C63" s="298" t="s">
        <v>138</v>
      </c>
      <c r="D63" s="298" t="s">
        <v>598</v>
      </c>
      <c r="E63" s="298" t="s">
        <v>668</v>
      </c>
      <c r="F63" s="298" t="s">
        <v>485</v>
      </c>
      <c r="G63" s="311">
        <v>1800</v>
      </c>
      <c r="H63" s="311">
        <f t="shared" si="115"/>
        <v>900</v>
      </c>
      <c r="I63" s="311">
        <v>1320</v>
      </c>
      <c r="J63" s="306">
        <f t="shared" si="101"/>
        <v>2376000</v>
      </c>
      <c r="K63" s="311">
        <v>150</v>
      </c>
      <c r="L63" s="312">
        <v>1255</v>
      </c>
      <c r="M63" s="309">
        <f t="shared" si="116"/>
        <v>1.3636363636363635</v>
      </c>
      <c r="N63" s="309">
        <f t="shared" si="29"/>
        <v>0.68181818181818177</v>
      </c>
      <c r="O63" s="309">
        <f t="shared" si="4"/>
        <v>0.68181818181818177</v>
      </c>
      <c r="P63" s="331">
        <f t="shared" si="102"/>
        <v>139764.70588235295</v>
      </c>
      <c r="Q63" s="327">
        <f t="shared" si="5"/>
        <v>198000</v>
      </c>
      <c r="R63" s="309">
        <f>(BH63/Q63*1000)/((1.06+0.98)/2)</f>
        <v>0.70588235294117652</v>
      </c>
      <c r="S63" s="312">
        <f t="shared" si="120"/>
        <v>450</v>
      </c>
      <c r="T63" s="312">
        <v>400</v>
      </c>
      <c r="U63" s="307" t="s">
        <v>413</v>
      </c>
      <c r="V63" s="307" t="s">
        <v>413</v>
      </c>
      <c r="W63" s="387">
        <f t="shared" si="30"/>
        <v>0</v>
      </c>
      <c r="X63" s="332">
        <f t="shared" si="103"/>
        <v>23</v>
      </c>
      <c r="Y63" s="387">
        <f t="shared" si="31"/>
        <v>23</v>
      </c>
      <c r="Z63" s="418">
        <f t="shared" si="117"/>
        <v>0.5792682926829269</v>
      </c>
      <c r="AA63" s="307">
        <v>27</v>
      </c>
      <c r="AB63" s="307">
        <v>15.6</v>
      </c>
      <c r="AC63" s="295">
        <v>3</v>
      </c>
      <c r="AD63" s="325">
        <f t="shared" si="118"/>
        <v>3.9333333333333331</v>
      </c>
      <c r="AE63" s="295" t="s">
        <v>413</v>
      </c>
      <c r="AF63" s="313">
        <f t="shared" si="104"/>
        <v>0.93785320622293622</v>
      </c>
      <c r="AG63" s="313">
        <f t="shared" si="94"/>
        <v>25.322036568019278</v>
      </c>
      <c r="AH63" s="313">
        <f t="shared" si="105"/>
        <v>14.630510017077805</v>
      </c>
      <c r="AI63" s="308">
        <f t="shared" si="119"/>
        <v>22.177469935389432</v>
      </c>
      <c r="AJ63" s="295" t="s">
        <v>413</v>
      </c>
      <c r="AK63" s="295" t="s">
        <v>413</v>
      </c>
      <c r="AL63" s="295" t="s">
        <v>413</v>
      </c>
      <c r="AM63" s="331">
        <f t="shared" si="106"/>
        <v>773.70749999999998</v>
      </c>
      <c r="AN63" s="298">
        <v>4.1099999999999999E-3</v>
      </c>
      <c r="AO63" s="332">
        <f t="shared" si="107"/>
        <v>385</v>
      </c>
      <c r="AP63" s="332">
        <f t="shared" si="108"/>
        <v>1.5823499999999999</v>
      </c>
      <c r="AQ63" s="343">
        <v>400</v>
      </c>
      <c r="AR63" s="295" t="s">
        <v>413</v>
      </c>
      <c r="AS63" s="327">
        <f t="shared" si="109"/>
        <v>191.69999999999996</v>
      </c>
      <c r="AT63" s="295" t="s">
        <v>413</v>
      </c>
      <c r="AU63" s="327">
        <v>0</v>
      </c>
      <c r="AV63" s="333">
        <f t="shared" si="110"/>
        <v>42.599999999999994</v>
      </c>
      <c r="AW63" s="327">
        <f t="shared" si="111"/>
        <v>191.69999999999996</v>
      </c>
      <c r="AX63" s="298">
        <v>7.0999999999999991E-4</v>
      </c>
      <c r="AY63" s="336">
        <f t="shared" si="121"/>
        <v>385</v>
      </c>
      <c r="AZ63" s="332">
        <f t="shared" si="113"/>
        <v>0.27334999999999998</v>
      </c>
      <c r="BA63" s="266">
        <v>400</v>
      </c>
      <c r="BB63" s="335">
        <f t="shared" si="122"/>
        <v>194.04</v>
      </c>
      <c r="BC63" s="298">
        <v>0.98</v>
      </c>
      <c r="BD63" s="313">
        <f t="shared" si="33"/>
        <v>4.4188990126244145E-2</v>
      </c>
      <c r="BE63" s="298">
        <v>1.39</v>
      </c>
      <c r="BF63" s="310">
        <f>0.75*Q63/1000</f>
        <v>148.5</v>
      </c>
      <c r="BG63" s="310">
        <f>0.69*Q63/1000</f>
        <v>136.62</v>
      </c>
      <c r="BH63" s="311">
        <f t="shared" si="114"/>
        <v>142.56</v>
      </c>
      <c r="BI63" s="312">
        <v>1</v>
      </c>
      <c r="BJ63" s="360">
        <f t="shared" si="15"/>
        <v>1</v>
      </c>
      <c r="BK63" s="360">
        <f t="shared" si="16"/>
        <v>1</v>
      </c>
      <c r="BL63" s="311">
        <f t="shared" si="35"/>
        <v>142.56</v>
      </c>
      <c r="BM63" s="309">
        <f t="shared" si="96"/>
        <v>0.72000000000000008</v>
      </c>
      <c r="BN63" s="309">
        <f t="shared" si="97"/>
        <v>1.0199999999999998</v>
      </c>
      <c r="BO63" s="376"/>
      <c r="BP63" s="328">
        <f t="shared" si="36"/>
        <v>6.9069676410382028</v>
      </c>
      <c r="BQ63" s="328">
        <f t="shared" si="19"/>
        <v>0.27334999999999998</v>
      </c>
      <c r="BR63" s="328">
        <f t="shared" si="49"/>
        <v>0.38675514928698751</v>
      </c>
      <c r="BS63" s="328">
        <f t="shared" si="37"/>
        <v>1.7379923614303425</v>
      </c>
      <c r="BT63" s="328">
        <f t="shared" si="38"/>
        <v>0.98</v>
      </c>
      <c r="BU63" s="376"/>
      <c r="BV63" s="328">
        <f t="shared" si="21"/>
        <v>0.5</v>
      </c>
      <c r="BW63" s="328">
        <f t="shared" si="22"/>
        <v>0.71713147410358558</v>
      </c>
      <c r="BX63" s="373">
        <f t="shared" si="39"/>
        <v>0.96662524320795429</v>
      </c>
      <c r="BY63" s="311">
        <f t="shared" si="23"/>
        <v>115238.6010169487</v>
      </c>
      <c r="BZ63" s="311">
        <f t="shared" si="24"/>
        <v>138936.97124999997</v>
      </c>
      <c r="CA63" s="311">
        <f t="shared" si="40"/>
        <v>177304.99887619657</v>
      </c>
      <c r="CB63" s="307">
        <f t="shared" si="41"/>
        <v>177.30499887619658</v>
      </c>
      <c r="CC63" s="309">
        <f t="shared" si="42"/>
        <v>0.89547979230402308</v>
      </c>
      <c r="CD63" s="379">
        <f t="shared" si="25"/>
        <v>0.80403824428854764</v>
      </c>
    </row>
    <row r="64" spans="1:82" x14ac:dyDescent="0.25">
      <c r="A64" s="305">
        <v>56</v>
      </c>
      <c r="B64" s="298" t="s">
        <v>99</v>
      </c>
      <c r="C64" s="298" t="s">
        <v>139</v>
      </c>
      <c r="D64" s="298" t="s">
        <v>598</v>
      </c>
      <c r="E64" s="298" t="s">
        <v>668</v>
      </c>
      <c r="F64" s="298" t="s">
        <v>485</v>
      </c>
      <c r="G64" s="311">
        <v>1800</v>
      </c>
      <c r="H64" s="311">
        <f t="shared" si="115"/>
        <v>900</v>
      </c>
      <c r="I64" s="311">
        <v>1320</v>
      </c>
      <c r="J64" s="306">
        <f t="shared" si="101"/>
        <v>2376000</v>
      </c>
      <c r="K64" s="311">
        <v>150</v>
      </c>
      <c r="L64" s="312">
        <v>1255</v>
      </c>
      <c r="M64" s="309">
        <f t="shared" si="116"/>
        <v>1.3636363636363635</v>
      </c>
      <c r="N64" s="309">
        <f t="shared" si="29"/>
        <v>0.68181818181818177</v>
      </c>
      <c r="O64" s="309">
        <f t="shared" si="4"/>
        <v>0.68181818181818177</v>
      </c>
      <c r="P64" s="331">
        <f t="shared" si="102"/>
        <v>139992.1875</v>
      </c>
      <c r="Q64" s="327">
        <f t="shared" si="5"/>
        <v>198000</v>
      </c>
      <c r="R64" s="309">
        <f>(BH64/Q64*1000)/((1.37+1.19)/2)</f>
        <v>0.70703125</v>
      </c>
      <c r="S64" s="312">
        <f t="shared" si="120"/>
        <v>450</v>
      </c>
      <c r="T64" s="312">
        <v>400</v>
      </c>
      <c r="U64" s="307" t="s">
        <v>413</v>
      </c>
      <c r="V64" s="307" t="s">
        <v>413</v>
      </c>
      <c r="W64" s="387">
        <f t="shared" si="30"/>
        <v>0</v>
      </c>
      <c r="X64" s="332">
        <f t="shared" si="103"/>
        <v>23</v>
      </c>
      <c r="Y64" s="387">
        <f t="shared" si="31"/>
        <v>23</v>
      </c>
      <c r="Z64" s="418">
        <f t="shared" si="117"/>
        <v>0.5792682926829269</v>
      </c>
      <c r="AA64" s="307">
        <v>27</v>
      </c>
      <c r="AB64" s="307">
        <v>15.6</v>
      </c>
      <c r="AC64" s="295">
        <v>3</v>
      </c>
      <c r="AD64" s="325">
        <f t="shared" si="118"/>
        <v>3.9333333333333331</v>
      </c>
      <c r="AE64" s="295" t="s">
        <v>413</v>
      </c>
      <c r="AF64" s="313">
        <f t="shared" si="104"/>
        <v>0.93785320622293622</v>
      </c>
      <c r="AG64" s="313">
        <f t="shared" si="94"/>
        <v>25.322036568019278</v>
      </c>
      <c r="AH64" s="313">
        <f t="shared" si="105"/>
        <v>14.630510017077805</v>
      </c>
      <c r="AI64" s="308">
        <f t="shared" si="119"/>
        <v>22.189753398798143</v>
      </c>
      <c r="AJ64" s="295" t="s">
        <v>413</v>
      </c>
      <c r="AK64" s="295" t="s">
        <v>413</v>
      </c>
      <c r="AL64" s="295" t="s">
        <v>413</v>
      </c>
      <c r="AM64" s="331">
        <f t="shared" si="106"/>
        <v>773.70749999999998</v>
      </c>
      <c r="AN64" s="298">
        <v>4.1099999999999999E-3</v>
      </c>
      <c r="AO64" s="332">
        <f t="shared" si="107"/>
        <v>385</v>
      </c>
      <c r="AP64" s="332">
        <f t="shared" si="108"/>
        <v>1.5823499999999999</v>
      </c>
      <c r="AQ64" s="343">
        <v>400</v>
      </c>
      <c r="AR64" s="295" t="s">
        <v>413</v>
      </c>
      <c r="AS64" s="327">
        <f t="shared" si="109"/>
        <v>191.69999999999996</v>
      </c>
      <c r="AT64" s="295" t="s">
        <v>413</v>
      </c>
      <c r="AU64" s="327">
        <v>0</v>
      </c>
      <c r="AV64" s="333">
        <f t="shared" si="110"/>
        <v>42.599999999999994</v>
      </c>
      <c r="AW64" s="327">
        <f t="shared" si="111"/>
        <v>191.69999999999996</v>
      </c>
      <c r="AX64" s="298">
        <v>7.0999999999999991E-4</v>
      </c>
      <c r="AY64" s="336">
        <f t="shared" si="121"/>
        <v>385</v>
      </c>
      <c r="AZ64" s="332">
        <f t="shared" si="113"/>
        <v>0.27334999999999998</v>
      </c>
      <c r="BA64" s="266">
        <v>400</v>
      </c>
      <c r="BB64" s="335">
        <f t="shared" si="122"/>
        <v>291.06</v>
      </c>
      <c r="BC64" s="298">
        <v>1.47</v>
      </c>
      <c r="BD64" s="313">
        <f t="shared" si="33"/>
        <v>6.6246792994086146E-2</v>
      </c>
      <c r="BE64" s="298">
        <v>2.08</v>
      </c>
      <c r="BF64" s="310">
        <f>0.97*Q64/1000</f>
        <v>192.06</v>
      </c>
      <c r="BG64" s="310">
        <f>0.84*Q64/1000</f>
        <v>166.32</v>
      </c>
      <c r="BH64" s="311">
        <f t="shared" si="114"/>
        <v>179.19</v>
      </c>
      <c r="BI64" s="312">
        <v>1</v>
      </c>
      <c r="BJ64" s="360">
        <f t="shared" si="15"/>
        <v>1</v>
      </c>
      <c r="BK64" s="360">
        <f t="shared" si="16"/>
        <v>1</v>
      </c>
      <c r="BL64" s="311">
        <f t="shared" si="35"/>
        <v>179.19</v>
      </c>
      <c r="BM64" s="309">
        <f t="shared" si="96"/>
        <v>0.90500000000000003</v>
      </c>
      <c r="BN64" s="309">
        <f t="shared" si="97"/>
        <v>1.2799999999999998</v>
      </c>
      <c r="BO64" s="376"/>
      <c r="BP64" s="328">
        <f t="shared" si="36"/>
        <v>6.9088801617172537</v>
      </c>
      <c r="BQ64" s="328">
        <f t="shared" si="19"/>
        <v>0.27334999999999998</v>
      </c>
      <c r="BR64" s="328">
        <f t="shared" si="49"/>
        <v>0.38675514928698751</v>
      </c>
      <c r="BS64" s="328">
        <f t="shared" si="37"/>
        <v>1.7413031537057386</v>
      </c>
      <c r="BT64" s="328">
        <f t="shared" si="38"/>
        <v>1.47</v>
      </c>
      <c r="BU64" s="376"/>
      <c r="BV64" s="328">
        <f t="shared" si="21"/>
        <v>0.5</v>
      </c>
      <c r="BW64" s="328">
        <f t="shared" si="22"/>
        <v>0.71713147410358558</v>
      </c>
      <c r="BX64" s="373">
        <f t="shared" si="39"/>
        <v>0.96689289912623955</v>
      </c>
      <c r="BY64" s="311">
        <f t="shared" si="23"/>
        <v>127391.2941302573</v>
      </c>
      <c r="BZ64" s="311">
        <f t="shared" si="24"/>
        <v>138936.97124999997</v>
      </c>
      <c r="CA64" s="311">
        <f t="shared" si="40"/>
        <v>177354.09415135538</v>
      </c>
      <c r="CB64" s="307">
        <f t="shared" si="41"/>
        <v>177.35409415135538</v>
      </c>
      <c r="CC64" s="309">
        <f t="shared" si="42"/>
        <v>0.89572774823916856</v>
      </c>
      <c r="CD64" s="379">
        <f t="shared" si="25"/>
        <v>1.0103516406397579</v>
      </c>
    </row>
    <row r="65" spans="1:82" x14ac:dyDescent="0.25">
      <c r="A65" s="305">
        <v>57</v>
      </c>
      <c r="B65" s="298" t="s">
        <v>99</v>
      </c>
      <c r="C65" s="298" t="s">
        <v>130</v>
      </c>
      <c r="D65" s="298" t="s">
        <v>598</v>
      </c>
      <c r="E65" s="298" t="s">
        <v>668</v>
      </c>
      <c r="F65" s="298" t="s">
        <v>485</v>
      </c>
      <c r="G65" s="311">
        <v>1800</v>
      </c>
      <c r="H65" s="311">
        <f t="shared" si="115"/>
        <v>900</v>
      </c>
      <c r="I65" s="311">
        <v>1370</v>
      </c>
      <c r="J65" s="306">
        <f t="shared" si="101"/>
        <v>2466000</v>
      </c>
      <c r="K65" s="311">
        <v>150</v>
      </c>
      <c r="L65" s="312">
        <v>1293</v>
      </c>
      <c r="M65" s="309">
        <f t="shared" si="116"/>
        <v>1.3138686131386861</v>
      </c>
      <c r="N65" s="309">
        <f t="shared" si="29"/>
        <v>0.65693430656934304</v>
      </c>
      <c r="O65" s="309">
        <f t="shared" si="4"/>
        <v>0.65693430656934304</v>
      </c>
      <c r="P65" s="331">
        <f t="shared" si="102"/>
        <v>147458.01526717556</v>
      </c>
      <c r="Q65" s="327">
        <f t="shared" si="5"/>
        <v>205500</v>
      </c>
      <c r="R65" s="309">
        <f>(BH65/Q65*1000)/((0.74+0.57)/2)</f>
        <v>0.71755725190839692</v>
      </c>
      <c r="S65" s="312">
        <f t="shared" si="120"/>
        <v>450</v>
      </c>
      <c r="T65" s="312">
        <v>400</v>
      </c>
      <c r="U65" s="307" t="s">
        <v>413</v>
      </c>
      <c r="V65" s="307" t="s">
        <v>413</v>
      </c>
      <c r="W65" s="387">
        <f t="shared" si="30"/>
        <v>0</v>
      </c>
      <c r="X65" s="332">
        <f t="shared" si="103"/>
        <v>23</v>
      </c>
      <c r="Y65" s="387">
        <f t="shared" si="31"/>
        <v>23</v>
      </c>
      <c r="Z65" s="418">
        <f t="shared" si="117"/>
        <v>0.5792682926829269</v>
      </c>
      <c r="AA65" s="307">
        <v>14</v>
      </c>
      <c r="AB65" s="307">
        <v>8.1</v>
      </c>
      <c r="AC65" s="295">
        <v>3</v>
      </c>
      <c r="AD65" s="325">
        <f t="shared" si="118"/>
        <v>3.9333333333333331</v>
      </c>
      <c r="AE65" s="295" t="s">
        <v>413</v>
      </c>
      <c r="AF65" s="313">
        <f t="shared" si="104"/>
        <v>0.93785320622293622</v>
      </c>
      <c r="AG65" s="313">
        <f t="shared" si="94"/>
        <v>13.129944887121107</v>
      </c>
      <c r="AH65" s="313">
        <f t="shared" si="105"/>
        <v>7.5966109704057834</v>
      </c>
      <c r="AI65" s="308">
        <f t="shared" si="119"/>
        <v>11.567094849575557</v>
      </c>
      <c r="AJ65" s="295" t="s">
        <v>413</v>
      </c>
      <c r="AK65" s="295" t="s">
        <v>413</v>
      </c>
      <c r="AL65" s="295" t="s">
        <v>413</v>
      </c>
      <c r="AM65" s="331">
        <f t="shared" si="106"/>
        <v>773.86050000000012</v>
      </c>
      <c r="AN65" s="298">
        <v>3.9900000000000005E-3</v>
      </c>
      <c r="AO65" s="332">
        <f t="shared" si="107"/>
        <v>385</v>
      </c>
      <c r="AP65" s="332">
        <f t="shared" si="108"/>
        <v>1.5361500000000001</v>
      </c>
      <c r="AQ65" s="343">
        <v>400</v>
      </c>
      <c r="AR65" s="295" t="s">
        <v>413</v>
      </c>
      <c r="AS65" s="327">
        <f t="shared" si="109"/>
        <v>0</v>
      </c>
      <c r="AT65" s="295" t="s">
        <v>413</v>
      </c>
      <c r="AU65" s="327">
        <v>0</v>
      </c>
      <c r="AV65" s="333">
        <f t="shared" si="110"/>
        <v>0</v>
      </c>
      <c r="AW65" s="327">
        <f t="shared" si="111"/>
        <v>0</v>
      </c>
      <c r="AX65" s="298">
        <v>0</v>
      </c>
      <c r="AY65" s="336">
        <v>0</v>
      </c>
      <c r="AZ65" s="332">
        <f t="shared" si="113"/>
        <v>0</v>
      </c>
      <c r="BA65" s="266">
        <v>400</v>
      </c>
      <c r="BB65" s="335">
        <f t="shared" si="122"/>
        <v>97.02</v>
      </c>
      <c r="BC65" s="298">
        <v>0.49</v>
      </c>
      <c r="BD65" s="313">
        <f t="shared" si="33"/>
        <v>4.23615442228331E-2</v>
      </c>
      <c r="BE65" s="298">
        <v>0.68</v>
      </c>
      <c r="BF65" s="310">
        <f>0.53*Q65/1000</f>
        <v>108.91500000000001</v>
      </c>
      <c r="BG65" s="310">
        <f>0.41*Q65/1000</f>
        <v>84.254999999999995</v>
      </c>
      <c r="BH65" s="311">
        <f t="shared" si="114"/>
        <v>96.585000000000008</v>
      </c>
      <c r="BI65" s="312">
        <v>1</v>
      </c>
      <c r="BJ65" s="360">
        <f t="shared" si="15"/>
        <v>1</v>
      </c>
      <c r="BK65" s="360">
        <f t="shared" si="16"/>
        <v>1</v>
      </c>
      <c r="BL65" s="311">
        <f t="shared" si="35"/>
        <v>96.585000000000008</v>
      </c>
      <c r="BM65" s="309">
        <f t="shared" si="96"/>
        <v>0.47000000000000003</v>
      </c>
      <c r="BN65" s="309">
        <f t="shared" si="97"/>
        <v>0.65500000000000014</v>
      </c>
      <c r="BO65" s="376"/>
      <c r="BP65" s="328">
        <f t="shared" si="36"/>
        <v>5.1771435380707871</v>
      </c>
      <c r="BQ65" s="328">
        <f t="shared" si="19"/>
        <v>0</v>
      </c>
      <c r="BR65" s="328">
        <f t="shared" si="49"/>
        <v>0.37546302813992222</v>
      </c>
      <c r="BS65" s="328">
        <f t="shared" si="37"/>
        <v>0</v>
      </c>
      <c r="BT65" s="328">
        <f t="shared" si="38"/>
        <v>0.49</v>
      </c>
      <c r="BU65" s="376"/>
      <c r="BV65" s="328">
        <f t="shared" si="21"/>
        <v>0.5</v>
      </c>
      <c r="BW65" s="328">
        <f t="shared" si="22"/>
        <v>0.69605568445475641</v>
      </c>
      <c r="BX65" s="373">
        <f t="shared" si="39"/>
        <v>0.70956335165036777</v>
      </c>
      <c r="BY65" s="311">
        <f t="shared" si="23"/>
        <v>80937.406026294411</v>
      </c>
      <c r="BZ65" s="311">
        <f t="shared" si="24"/>
        <v>0</v>
      </c>
      <c r="CA65" s="311">
        <f t="shared" si="40"/>
        <v>131926.4657354666</v>
      </c>
      <c r="CB65" s="307">
        <f t="shared" si="41"/>
        <v>80.937406026294411</v>
      </c>
      <c r="CC65" s="309">
        <f t="shared" si="42"/>
        <v>0.39385599039559327</v>
      </c>
      <c r="CD65" s="379">
        <f t="shared" si="25"/>
        <v>1.1933295708614891</v>
      </c>
    </row>
    <row r="66" spans="1:82" x14ac:dyDescent="0.25">
      <c r="A66" s="305">
        <v>58</v>
      </c>
      <c r="B66" s="298" t="s">
        <v>99</v>
      </c>
      <c r="C66" s="298" t="s">
        <v>131</v>
      </c>
      <c r="D66" s="298" t="s">
        <v>598</v>
      </c>
      <c r="E66" s="298" t="s">
        <v>668</v>
      </c>
      <c r="F66" s="298" t="s">
        <v>485</v>
      </c>
      <c r="G66" s="311">
        <v>1800</v>
      </c>
      <c r="H66" s="311">
        <f t="shared" si="115"/>
        <v>900</v>
      </c>
      <c r="I66" s="311">
        <v>1370</v>
      </c>
      <c r="J66" s="306">
        <f t="shared" si="101"/>
        <v>2466000</v>
      </c>
      <c r="K66" s="311">
        <v>150</v>
      </c>
      <c r="L66" s="312">
        <v>1293</v>
      </c>
      <c r="M66" s="309">
        <f t="shared" si="116"/>
        <v>1.3138686131386861</v>
      </c>
      <c r="N66" s="309">
        <f t="shared" si="29"/>
        <v>0.65693430656934304</v>
      </c>
      <c r="O66" s="309">
        <f t="shared" si="4"/>
        <v>0.65693430656934304</v>
      </c>
      <c r="P66" s="331">
        <f t="shared" si="102"/>
        <v>146927.53623188403</v>
      </c>
      <c r="Q66" s="327">
        <f t="shared" si="5"/>
        <v>205500</v>
      </c>
      <c r="R66" s="309">
        <f>(BH66/Q66*1000)/((1.05+1.02)/2)</f>
        <v>0.71497584541062786</v>
      </c>
      <c r="S66" s="312">
        <f t="shared" si="120"/>
        <v>450</v>
      </c>
      <c r="T66" s="312">
        <v>400</v>
      </c>
      <c r="U66" s="307" t="s">
        <v>413</v>
      </c>
      <c r="V66" s="307" t="s">
        <v>413</v>
      </c>
      <c r="W66" s="387">
        <f t="shared" si="30"/>
        <v>0</v>
      </c>
      <c r="X66" s="332">
        <f t="shared" si="103"/>
        <v>23</v>
      </c>
      <c r="Y66" s="387">
        <f t="shared" si="31"/>
        <v>23</v>
      </c>
      <c r="Z66" s="418">
        <f t="shared" si="117"/>
        <v>0.5792682926829269</v>
      </c>
      <c r="AA66" s="307">
        <v>14</v>
      </c>
      <c r="AB66" s="307">
        <v>8.1</v>
      </c>
      <c r="AC66" s="295">
        <v>3</v>
      </c>
      <c r="AD66" s="325">
        <f t="shared" si="118"/>
        <v>3.9333333333333331</v>
      </c>
      <c r="AE66" s="295" t="s">
        <v>413</v>
      </c>
      <c r="AF66" s="313">
        <f t="shared" si="104"/>
        <v>0.93785320622293622</v>
      </c>
      <c r="AG66" s="313">
        <f t="shared" si="94"/>
        <v>13.129944887121107</v>
      </c>
      <c r="AH66" s="313">
        <f t="shared" si="105"/>
        <v>7.5966109704057834</v>
      </c>
      <c r="AI66" s="308">
        <f t="shared" si="119"/>
        <v>11.552811065448624</v>
      </c>
      <c r="AJ66" s="295" t="s">
        <v>413</v>
      </c>
      <c r="AK66" s="295" t="s">
        <v>413</v>
      </c>
      <c r="AL66" s="295" t="s">
        <v>413</v>
      </c>
      <c r="AM66" s="331">
        <f t="shared" si="106"/>
        <v>773.86050000000012</v>
      </c>
      <c r="AN66" s="298">
        <v>3.9900000000000005E-3</v>
      </c>
      <c r="AO66" s="332">
        <f t="shared" si="107"/>
        <v>385</v>
      </c>
      <c r="AP66" s="332">
        <f t="shared" si="108"/>
        <v>1.5361500000000001</v>
      </c>
      <c r="AQ66" s="343">
        <v>400</v>
      </c>
      <c r="AR66" s="295" t="s">
        <v>413</v>
      </c>
      <c r="AS66" s="327">
        <f t="shared" si="109"/>
        <v>399.6</v>
      </c>
      <c r="AT66" s="295" t="s">
        <v>413</v>
      </c>
      <c r="AU66" s="327">
        <v>0</v>
      </c>
      <c r="AV66" s="333">
        <f t="shared" si="110"/>
        <v>88.8</v>
      </c>
      <c r="AW66" s="327">
        <f t="shared" si="111"/>
        <v>399.6</v>
      </c>
      <c r="AX66" s="298">
        <v>1.48E-3</v>
      </c>
      <c r="AY66" s="336">
        <f>AVERAGE(320,450)</f>
        <v>385</v>
      </c>
      <c r="AZ66" s="332">
        <f t="shared" si="113"/>
        <v>0.56979999999999997</v>
      </c>
      <c r="BA66" s="266">
        <v>400</v>
      </c>
      <c r="BB66" s="335">
        <f t="shared" si="122"/>
        <v>100.69499999999999</v>
      </c>
      <c r="BC66" s="298">
        <v>0.49</v>
      </c>
      <c r="BD66" s="313">
        <f t="shared" si="33"/>
        <v>4.2413919627358854E-2</v>
      </c>
      <c r="BE66" s="298">
        <v>0.68</v>
      </c>
      <c r="BF66" s="310">
        <f>0.75*Q66/1000</f>
        <v>154.125</v>
      </c>
      <c r="BG66" s="310">
        <f>0.73*Q66/1000</f>
        <v>150.01499999999999</v>
      </c>
      <c r="BH66" s="311">
        <f t="shared" si="114"/>
        <v>152.07</v>
      </c>
      <c r="BI66" s="312">
        <v>1</v>
      </c>
      <c r="BJ66" s="360">
        <f t="shared" si="15"/>
        <v>1</v>
      </c>
      <c r="BK66" s="360">
        <f t="shared" si="16"/>
        <v>1</v>
      </c>
      <c r="BL66" s="311">
        <f t="shared" si="35"/>
        <v>152.07</v>
      </c>
      <c r="BM66" s="309">
        <f t="shared" si="96"/>
        <v>0.74</v>
      </c>
      <c r="BN66" s="309">
        <f t="shared" si="97"/>
        <v>1.0350000000000001</v>
      </c>
      <c r="BO66" s="376"/>
      <c r="BP66" s="328">
        <f t="shared" si="36"/>
        <v>5.1739460176452194</v>
      </c>
      <c r="BQ66" s="328">
        <f t="shared" si="19"/>
        <v>0.56979999999999997</v>
      </c>
      <c r="BR66" s="328">
        <f t="shared" si="49"/>
        <v>0.37546302813992222</v>
      </c>
      <c r="BS66" s="328">
        <f t="shared" si="37"/>
        <v>1.834410078772625</v>
      </c>
      <c r="BT66" s="328">
        <f t="shared" si="38"/>
        <v>0.49</v>
      </c>
      <c r="BU66" s="376"/>
      <c r="BV66" s="328">
        <f t="shared" si="21"/>
        <v>0.5</v>
      </c>
      <c r="BW66" s="328">
        <f t="shared" si="22"/>
        <v>0.69605568445475641</v>
      </c>
      <c r="BX66" s="373">
        <f t="shared" si="39"/>
        <v>0.70912510934677853</v>
      </c>
      <c r="BY66" s="311">
        <f t="shared" si="23"/>
        <v>81354.282478903842</v>
      </c>
      <c r="BZ66" s="311">
        <f t="shared" si="24"/>
        <v>298384.31699999998</v>
      </c>
      <c r="CA66" s="311">
        <f t="shared" si="40"/>
        <v>131844.98497957099</v>
      </c>
      <c r="CB66" s="307">
        <f t="shared" si="41"/>
        <v>131.844984979571</v>
      </c>
      <c r="CC66" s="309">
        <f t="shared" si="42"/>
        <v>0.64158143542370316</v>
      </c>
      <c r="CD66" s="379">
        <f t="shared" si="25"/>
        <v>1.1533999569537121</v>
      </c>
    </row>
    <row r="67" spans="1:82" x14ac:dyDescent="0.25">
      <c r="A67" s="305">
        <v>59</v>
      </c>
      <c r="B67" s="298" t="s">
        <v>99</v>
      </c>
      <c r="C67" s="298" t="s">
        <v>140</v>
      </c>
      <c r="D67" s="298" t="s">
        <v>598</v>
      </c>
      <c r="E67" s="298" t="s">
        <v>668</v>
      </c>
      <c r="F67" s="298" t="s">
        <v>485</v>
      </c>
      <c r="G67" s="311">
        <v>1800</v>
      </c>
      <c r="H67" s="311">
        <f t="shared" si="115"/>
        <v>900</v>
      </c>
      <c r="I67" s="311">
        <v>1370</v>
      </c>
      <c r="J67" s="306">
        <f t="shared" si="101"/>
        <v>2466000</v>
      </c>
      <c r="K67" s="311">
        <v>150</v>
      </c>
      <c r="L67" s="312">
        <v>1293</v>
      </c>
      <c r="M67" s="309">
        <f t="shared" si="116"/>
        <v>1.3138686131386861</v>
      </c>
      <c r="N67" s="309">
        <f t="shared" si="29"/>
        <v>0.65693430656934304</v>
      </c>
      <c r="O67" s="309">
        <f t="shared" si="4"/>
        <v>0.65693430656934304</v>
      </c>
      <c r="P67" s="331">
        <f t="shared" si="102"/>
        <v>146910.63829787236</v>
      </c>
      <c r="Q67" s="327">
        <f t="shared" si="5"/>
        <v>205500</v>
      </c>
      <c r="R67" s="309">
        <f>(BH67/Q67*1000)/((1.09+1.26)/2)</f>
        <v>0.71489361702127663</v>
      </c>
      <c r="S67" s="312">
        <f t="shared" si="120"/>
        <v>450</v>
      </c>
      <c r="T67" s="312">
        <v>400</v>
      </c>
      <c r="U67" s="307" t="s">
        <v>413</v>
      </c>
      <c r="V67" s="307" t="s">
        <v>413</v>
      </c>
      <c r="W67" s="387">
        <f t="shared" si="30"/>
        <v>0</v>
      </c>
      <c r="X67" s="332">
        <f t="shared" si="103"/>
        <v>23</v>
      </c>
      <c r="Y67" s="387">
        <f t="shared" si="31"/>
        <v>23</v>
      </c>
      <c r="Z67" s="418">
        <f t="shared" si="117"/>
        <v>0.5792682926829269</v>
      </c>
      <c r="AA67" s="307">
        <v>14</v>
      </c>
      <c r="AB67" s="307">
        <v>8.1</v>
      </c>
      <c r="AC67" s="295">
        <v>3</v>
      </c>
      <c r="AD67" s="325">
        <f t="shared" si="118"/>
        <v>3.9333333333333331</v>
      </c>
      <c r="AE67" s="295" t="s">
        <v>413</v>
      </c>
      <c r="AF67" s="313">
        <f t="shared" si="104"/>
        <v>0.93785320622293622</v>
      </c>
      <c r="AG67" s="313">
        <f t="shared" si="94"/>
        <v>13.129944887121107</v>
      </c>
      <c r="AH67" s="313">
        <f t="shared" si="105"/>
        <v>7.5966109704057834</v>
      </c>
      <c r="AI67" s="308">
        <f t="shared" si="119"/>
        <v>11.552356068312909</v>
      </c>
      <c r="AJ67" s="295" t="s">
        <v>413</v>
      </c>
      <c r="AK67" s="295" t="s">
        <v>413</v>
      </c>
      <c r="AL67" s="295" t="s">
        <v>413</v>
      </c>
      <c r="AM67" s="331">
        <f t="shared" si="106"/>
        <v>773.86050000000012</v>
      </c>
      <c r="AN67" s="298">
        <v>3.9900000000000005E-3</v>
      </c>
      <c r="AO67" s="332">
        <f t="shared" si="107"/>
        <v>385</v>
      </c>
      <c r="AP67" s="332">
        <f t="shared" si="108"/>
        <v>1.5361500000000001</v>
      </c>
      <c r="AQ67" s="343">
        <v>400</v>
      </c>
      <c r="AR67" s="295" t="s">
        <v>413</v>
      </c>
      <c r="AS67" s="327">
        <f t="shared" si="109"/>
        <v>599.40000000000009</v>
      </c>
      <c r="AT67" s="295" t="s">
        <v>413</v>
      </c>
      <c r="AU67" s="327">
        <v>0</v>
      </c>
      <c r="AV67" s="333">
        <f t="shared" si="110"/>
        <v>133.20000000000002</v>
      </c>
      <c r="AW67" s="327">
        <f t="shared" si="111"/>
        <v>599.40000000000009</v>
      </c>
      <c r="AX67" s="298">
        <v>2.2200000000000002E-3</v>
      </c>
      <c r="AY67" s="336">
        <f>AVERAGE(320,450)</f>
        <v>385</v>
      </c>
      <c r="AZ67" s="332">
        <f t="shared" si="113"/>
        <v>0.85470000000000013</v>
      </c>
      <c r="BA67" s="266">
        <v>400</v>
      </c>
      <c r="BB67" s="335">
        <f t="shared" si="122"/>
        <v>100.69499999999999</v>
      </c>
      <c r="BC67" s="298">
        <v>0.49</v>
      </c>
      <c r="BD67" s="313">
        <f t="shared" si="33"/>
        <v>4.2415590127456916E-2</v>
      </c>
      <c r="BE67" s="298">
        <v>0.68</v>
      </c>
      <c r="BF67" s="310">
        <f>0.78*Q67/1000</f>
        <v>160.29</v>
      </c>
      <c r="BG67" s="310">
        <f>0.9*Q67/1000</f>
        <v>184.95</v>
      </c>
      <c r="BH67" s="311">
        <f t="shared" si="114"/>
        <v>172.62</v>
      </c>
      <c r="BI67" s="312">
        <v>1</v>
      </c>
      <c r="BJ67" s="360">
        <f t="shared" si="15"/>
        <v>1</v>
      </c>
      <c r="BK67" s="360">
        <f t="shared" si="16"/>
        <v>1</v>
      </c>
      <c r="BL67" s="311">
        <f t="shared" si="35"/>
        <v>172.62</v>
      </c>
      <c r="BM67" s="309">
        <f t="shared" si="96"/>
        <v>0.84000000000000008</v>
      </c>
      <c r="BN67" s="309">
        <f t="shared" si="97"/>
        <v>1.1749999999999998</v>
      </c>
      <c r="BO67" s="376"/>
      <c r="BP67" s="328">
        <f t="shared" si="36"/>
        <v>5.1738441310228058</v>
      </c>
      <c r="BQ67" s="328">
        <f t="shared" si="19"/>
        <v>0.85470000000000013</v>
      </c>
      <c r="BR67" s="328">
        <f t="shared" si="49"/>
        <v>0.37546302813992222</v>
      </c>
      <c r="BS67" s="328">
        <f t="shared" si="37"/>
        <v>2.2463817107536648</v>
      </c>
      <c r="BT67" s="328">
        <f t="shared" si="38"/>
        <v>0.49</v>
      </c>
      <c r="BU67" s="376"/>
      <c r="BV67" s="328">
        <f t="shared" si="21"/>
        <v>0.5</v>
      </c>
      <c r="BW67" s="328">
        <f t="shared" si="22"/>
        <v>0.69605568445475641</v>
      </c>
      <c r="BX67" s="373">
        <f t="shared" si="39"/>
        <v>0.70911114508004414</v>
      </c>
      <c r="BY67" s="311">
        <f t="shared" si="23"/>
        <v>81352.92829413728</v>
      </c>
      <c r="BZ67" s="311">
        <f t="shared" si="24"/>
        <v>447576.47550000006</v>
      </c>
      <c r="CA67" s="311">
        <f t="shared" si="40"/>
        <v>131842.38865557461</v>
      </c>
      <c r="CB67" s="307">
        <f t="shared" si="41"/>
        <v>131.84238865557461</v>
      </c>
      <c r="CC67" s="309">
        <f t="shared" si="42"/>
        <v>0.64156880124367199</v>
      </c>
      <c r="CD67" s="379">
        <f t="shared" si="25"/>
        <v>1.3092905988752443</v>
      </c>
    </row>
    <row r="68" spans="1:82" x14ac:dyDescent="0.25">
      <c r="A68" s="305">
        <v>60</v>
      </c>
      <c r="B68" s="298" t="s">
        <v>99</v>
      </c>
      <c r="C68" s="298" t="s">
        <v>132</v>
      </c>
      <c r="D68" s="298" t="s">
        <v>598</v>
      </c>
      <c r="E68" s="298" t="s">
        <v>668</v>
      </c>
      <c r="F68" s="298" t="s">
        <v>485</v>
      </c>
      <c r="G68" s="311">
        <v>1800</v>
      </c>
      <c r="H68" s="311">
        <f t="shared" si="115"/>
        <v>900</v>
      </c>
      <c r="I68" s="311">
        <v>1370</v>
      </c>
      <c r="J68" s="306">
        <f t="shared" si="101"/>
        <v>2466000</v>
      </c>
      <c r="K68" s="311">
        <v>150</v>
      </c>
      <c r="L68" s="312">
        <v>1293</v>
      </c>
      <c r="M68" s="309">
        <f t="shared" si="116"/>
        <v>1.3138686131386861</v>
      </c>
      <c r="N68" s="309">
        <f t="shared" si="29"/>
        <v>0.65693430656934304</v>
      </c>
      <c r="O68" s="309">
        <f t="shared" si="4"/>
        <v>0.65693430656934304</v>
      </c>
      <c r="P68" s="331">
        <f t="shared" si="102"/>
        <v>147339.62264150943</v>
      </c>
      <c r="Q68" s="327">
        <f t="shared" si="5"/>
        <v>205500</v>
      </c>
      <c r="R68" s="309">
        <f>(BH68/Q68*1000)/((1.69+0.96)/2)</f>
        <v>0.71698113207547165</v>
      </c>
      <c r="S68" s="312">
        <f t="shared" si="120"/>
        <v>450</v>
      </c>
      <c r="T68" s="312">
        <v>400</v>
      </c>
      <c r="U68" s="307" t="s">
        <v>413</v>
      </c>
      <c r="V68" s="307" t="s">
        <v>413</v>
      </c>
      <c r="W68" s="387">
        <f t="shared" si="30"/>
        <v>0</v>
      </c>
      <c r="X68" s="332">
        <f t="shared" si="103"/>
        <v>23</v>
      </c>
      <c r="Y68" s="387">
        <f t="shared" si="31"/>
        <v>23</v>
      </c>
      <c r="Z68" s="418">
        <f t="shared" si="117"/>
        <v>0.5792682926829269</v>
      </c>
      <c r="AA68" s="307">
        <v>14</v>
      </c>
      <c r="AB68" s="307">
        <v>8.1</v>
      </c>
      <c r="AC68" s="295">
        <v>3</v>
      </c>
      <c r="AD68" s="325">
        <f t="shared" si="118"/>
        <v>3.9333333333333331</v>
      </c>
      <c r="AE68" s="295" t="s">
        <v>413</v>
      </c>
      <c r="AF68" s="313">
        <f t="shared" si="104"/>
        <v>0.93785320622293622</v>
      </c>
      <c r="AG68" s="313">
        <f t="shared" si="94"/>
        <v>13.129944887121107</v>
      </c>
      <c r="AH68" s="313">
        <f t="shared" si="105"/>
        <v>7.5966109704057834</v>
      </c>
      <c r="AI68" s="308">
        <f t="shared" si="119"/>
        <v>11.563906986163941</v>
      </c>
      <c r="AJ68" s="295" t="s">
        <v>413</v>
      </c>
      <c r="AK68" s="295" t="s">
        <v>413</v>
      </c>
      <c r="AL68" s="295" t="s">
        <v>413</v>
      </c>
      <c r="AM68" s="331">
        <f t="shared" si="106"/>
        <v>773.86050000000012</v>
      </c>
      <c r="AN68" s="298">
        <v>3.9900000000000005E-3</v>
      </c>
      <c r="AO68" s="332">
        <f t="shared" si="107"/>
        <v>385</v>
      </c>
      <c r="AP68" s="332">
        <f t="shared" si="108"/>
        <v>1.5361500000000001</v>
      </c>
      <c r="AQ68" s="343">
        <v>400</v>
      </c>
      <c r="AR68" s="295" t="s">
        <v>413</v>
      </c>
      <c r="AS68" s="327">
        <f t="shared" si="109"/>
        <v>904.5</v>
      </c>
      <c r="AT68" s="295" t="s">
        <v>413</v>
      </c>
      <c r="AU68" s="327">
        <v>0</v>
      </c>
      <c r="AV68" s="333">
        <f t="shared" si="110"/>
        <v>201</v>
      </c>
      <c r="AW68" s="327">
        <f t="shared" si="111"/>
        <v>904.5</v>
      </c>
      <c r="AX68" s="298">
        <v>3.3500000000000001E-3</v>
      </c>
      <c r="AY68" s="336">
        <f>AVERAGE(320,450)</f>
        <v>385</v>
      </c>
      <c r="AZ68" s="332">
        <f t="shared" si="113"/>
        <v>1.28975</v>
      </c>
      <c r="BA68" s="266">
        <v>400</v>
      </c>
      <c r="BB68" s="335">
        <f t="shared" si="122"/>
        <v>100.69499999999999</v>
      </c>
      <c r="BC68" s="298">
        <v>0.49</v>
      </c>
      <c r="BD68" s="313">
        <f t="shared" si="33"/>
        <v>4.2373222180555274E-2</v>
      </c>
      <c r="BE68" s="298">
        <v>0.68</v>
      </c>
      <c r="BF68" s="310">
        <f>1.21*Q68/1000</f>
        <v>248.655</v>
      </c>
      <c r="BG68" s="310">
        <f>0.69*Q68/1000</f>
        <v>141.79499999999999</v>
      </c>
      <c r="BH68" s="311">
        <f t="shared" si="114"/>
        <v>195.22499999999999</v>
      </c>
      <c r="BI68" s="312">
        <v>1</v>
      </c>
      <c r="BJ68" s="360">
        <f t="shared" si="15"/>
        <v>1</v>
      </c>
      <c r="BK68" s="360">
        <f t="shared" si="16"/>
        <v>1</v>
      </c>
      <c r="BL68" s="311">
        <f t="shared" si="35"/>
        <v>195.22499999999999</v>
      </c>
      <c r="BM68" s="309">
        <f t="shared" si="96"/>
        <v>0.95</v>
      </c>
      <c r="BN68" s="309">
        <f t="shared" si="97"/>
        <v>1.325</v>
      </c>
      <c r="BO68" s="376"/>
      <c r="BP68" s="328">
        <f t="shared" si="36"/>
        <v>5.1764300847814981</v>
      </c>
      <c r="BQ68" s="328">
        <f t="shared" si="19"/>
        <v>1.28975</v>
      </c>
      <c r="BR68" s="328">
        <f t="shared" si="49"/>
        <v>0.37546302813992222</v>
      </c>
      <c r="BS68" s="328">
        <f t="shared" si="37"/>
        <v>2.768935186552429</v>
      </c>
      <c r="BT68" s="328">
        <f t="shared" si="38"/>
        <v>0.49</v>
      </c>
      <c r="BU68" s="376"/>
      <c r="BV68" s="328">
        <f t="shared" si="21"/>
        <v>0.5</v>
      </c>
      <c r="BW68" s="328">
        <f t="shared" si="22"/>
        <v>0.69605568445475641</v>
      </c>
      <c r="BX68" s="373">
        <f t="shared" si="39"/>
        <v>0.70946556793943316</v>
      </c>
      <c r="BY68" s="311">
        <f t="shared" si="23"/>
        <v>81387.298450926537</v>
      </c>
      <c r="BZ68" s="311">
        <f t="shared" si="24"/>
        <v>675396.93374999985</v>
      </c>
      <c r="CA68" s="311">
        <f t="shared" si="40"/>
        <v>131908.28517504153</v>
      </c>
      <c r="CB68" s="307">
        <f t="shared" si="41"/>
        <v>131.90828517504153</v>
      </c>
      <c r="CC68" s="309">
        <f t="shared" si="42"/>
        <v>0.64188946557197823</v>
      </c>
      <c r="CD68" s="379">
        <f t="shared" si="25"/>
        <v>1.480005594348661</v>
      </c>
    </row>
    <row r="69" spans="1:82" x14ac:dyDescent="0.25">
      <c r="A69" s="305">
        <v>61</v>
      </c>
      <c r="B69" s="298" t="s">
        <v>99</v>
      </c>
      <c r="C69" s="298" t="s">
        <v>133</v>
      </c>
      <c r="D69" s="298" t="s">
        <v>598</v>
      </c>
      <c r="E69" s="298" t="s">
        <v>668</v>
      </c>
      <c r="F69" s="298" t="s">
        <v>485</v>
      </c>
      <c r="G69" s="311">
        <v>1800</v>
      </c>
      <c r="H69" s="311">
        <f t="shared" si="115"/>
        <v>900</v>
      </c>
      <c r="I69" s="311">
        <v>1370</v>
      </c>
      <c r="J69" s="306">
        <f t="shared" si="101"/>
        <v>2466000</v>
      </c>
      <c r="K69" s="311">
        <v>150</v>
      </c>
      <c r="L69" s="312">
        <v>1293</v>
      </c>
      <c r="M69" s="309">
        <f t="shared" si="116"/>
        <v>1.3138686131386861</v>
      </c>
      <c r="N69" s="309">
        <f t="shared" si="29"/>
        <v>0.65693430656934304</v>
      </c>
      <c r="O69" s="309">
        <f t="shared" si="4"/>
        <v>0.65693430656934304</v>
      </c>
      <c r="P69" s="331">
        <f t="shared" si="102"/>
        <v>147566.48936170214</v>
      </c>
      <c r="Q69" s="327">
        <f t="shared" si="5"/>
        <v>205500</v>
      </c>
      <c r="R69" s="309">
        <f>(BH69/Q69*1000)/((1+0.88)/2)</f>
        <v>0.71808510638297884</v>
      </c>
      <c r="S69" s="312">
        <f t="shared" si="120"/>
        <v>450</v>
      </c>
      <c r="T69" s="312">
        <v>400</v>
      </c>
      <c r="U69" s="307" t="s">
        <v>413</v>
      </c>
      <c r="V69" s="307" t="s">
        <v>413</v>
      </c>
      <c r="W69" s="387">
        <f t="shared" si="30"/>
        <v>0</v>
      </c>
      <c r="X69" s="332">
        <f t="shared" si="103"/>
        <v>23</v>
      </c>
      <c r="Y69" s="387">
        <f t="shared" si="31"/>
        <v>23</v>
      </c>
      <c r="Z69" s="418">
        <f t="shared" si="117"/>
        <v>0.5792682926829269</v>
      </c>
      <c r="AA69" s="307">
        <v>14</v>
      </c>
      <c r="AB69" s="307">
        <v>8.1</v>
      </c>
      <c r="AC69" s="295">
        <v>3</v>
      </c>
      <c r="AD69" s="325">
        <f t="shared" si="118"/>
        <v>3.9333333333333331</v>
      </c>
      <c r="AE69" s="295" t="s">
        <v>413</v>
      </c>
      <c r="AF69" s="313">
        <f t="shared" si="104"/>
        <v>0.93785320622293622</v>
      </c>
      <c r="AG69" s="313">
        <f t="shared" si="94"/>
        <v>13.129944887121107</v>
      </c>
      <c r="AH69" s="313">
        <f t="shared" si="105"/>
        <v>7.5966109704057834</v>
      </c>
      <c r="AI69" s="308">
        <f t="shared" si="119"/>
        <v>11.570015644642851</v>
      </c>
      <c r="AJ69" s="295" t="s">
        <v>413</v>
      </c>
      <c r="AK69" s="295" t="s">
        <v>413</v>
      </c>
      <c r="AL69" s="295" t="s">
        <v>413</v>
      </c>
      <c r="AM69" s="331">
        <f t="shared" si="106"/>
        <v>287.04599999999999</v>
      </c>
      <c r="AN69" s="298">
        <v>1.48E-3</v>
      </c>
      <c r="AO69" s="332">
        <f t="shared" si="107"/>
        <v>385</v>
      </c>
      <c r="AP69" s="332">
        <f t="shared" si="108"/>
        <v>0.56979999999999997</v>
      </c>
      <c r="AQ69" s="343">
        <v>400</v>
      </c>
      <c r="AR69" s="295" t="s">
        <v>413</v>
      </c>
      <c r="AS69" s="327">
        <f t="shared" si="109"/>
        <v>191.69999999999996</v>
      </c>
      <c r="AT69" s="295" t="s">
        <v>413</v>
      </c>
      <c r="AU69" s="327">
        <v>0</v>
      </c>
      <c r="AV69" s="333">
        <f t="shared" si="110"/>
        <v>42.599999999999994</v>
      </c>
      <c r="AW69" s="327">
        <f t="shared" si="111"/>
        <v>191.69999999999996</v>
      </c>
      <c r="AX69" s="298">
        <v>7.0999999999999991E-4</v>
      </c>
      <c r="AY69" s="336">
        <f>AVERAGE(320,450)</f>
        <v>385</v>
      </c>
      <c r="AZ69" s="332">
        <f t="shared" si="113"/>
        <v>0.27334999999999998</v>
      </c>
      <c r="BA69" s="266">
        <v>400</v>
      </c>
      <c r="BB69" s="335">
        <f t="shared" si="122"/>
        <v>100.69499999999999</v>
      </c>
      <c r="BC69" s="298">
        <v>0.49</v>
      </c>
      <c r="BD69" s="313">
        <f t="shared" si="33"/>
        <v>4.2350850253766059E-2</v>
      </c>
      <c r="BE69" s="298">
        <v>0.68</v>
      </c>
      <c r="BF69" s="310">
        <f>0.72*Q69/1000</f>
        <v>147.96</v>
      </c>
      <c r="BG69" s="310">
        <f>0.63*Q69/1000</f>
        <v>129.465</v>
      </c>
      <c r="BH69" s="311">
        <f t="shared" si="114"/>
        <v>138.71250000000001</v>
      </c>
      <c r="BI69" s="312">
        <v>1</v>
      </c>
      <c r="BJ69" s="360">
        <f t="shared" si="15"/>
        <v>1</v>
      </c>
      <c r="BK69" s="360">
        <f t="shared" si="16"/>
        <v>1</v>
      </c>
      <c r="BL69" s="311">
        <f t="shared" si="35"/>
        <v>138.71250000000001</v>
      </c>
      <c r="BM69" s="309">
        <f t="shared" si="96"/>
        <v>0.67500000000000004</v>
      </c>
      <c r="BN69" s="309">
        <f t="shared" si="97"/>
        <v>0.94</v>
      </c>
      <c r="BO69" s="376"/>
      <c r="BP69" s="328">
        <f t="shared" si="36"/>
        <v>5.1777971343737104</v>
      </c>
      <c r="BQ69" s="328">
        <f t="shared" si="19"/>
        <v>0.27334999999999998</v>
      </c>
      <c r="BR69" s="328">
        <f t="shared" si="49"/>
        <v>0.13926949414713904</v>
      </c>
      <c r="BS69" s="328">
        <f t="shared" si="37"/>
        <v>1.2770339155608863</v>
      </c>
      <c r="BT69" s="328">
        <f t="shared" si="38"/>
        <v>0.49</v>
      </c>
      <c r="BU69" s="376"/>
      <c r="BV69" s="328">
        <f t="shared" si="21"/>
        <v>0.5</v>
      </c>
      <c r="BW69" s="328">
        <f t="shared" si="22"/>
        <v>0.69605568445475641</v>
      </c>
      <c r="BX69" s="373">
        <f t="shared" si="39"/>
        <v>0.70965293154706521</v>
      </c>
      <c r="BY69" s="311">
        <f t="shared" si="23"/>
        <v>81405.468036776641</v>
      </c>
      <c r="BZ69" s="311">
        <f t="shared" si="24"/>
        <v>143143.82774999997</v>
      </c>
      <c r="CA69" s="311">
        <f t="shared" si="40"/>
        <v>131943.12099132888</v>
      </c>
      <c r="CB69" s="307">
        <f t="shared" si="41"/>
        <v>131.94312099132887</v>
      </c>
      <c r="CC69" s="309">
        <f t="shared" si="42"/>
        <v>0.64205898292617447</v>
      </c>
      <c r="CD69" s="379">
        <f t="shared" si="25"/>
        <v>1.0513052818351629</v>
      </c>
    </row>
    <row r="70" spans="1:82" x14ac:dyDescent="0.25">
      <c r="A70" s="305">
        <v>62</v>
      </c>
      <c r="B70" s="298" t="s">
        <v>99</v>
      </c>
      <c r="C70" s="298" t="s">
        <v>134</v>
      </c>
      <c r="D70" s="298" t="s">
        <v>598</v>
      </c>
      <c r="E70" s="298" t="s">
        <v>668</v>
      </c>
      <c r="F70" s="298" t="s">
        <v>485</v>
      </c>
      <c r="G70" s="311">
        <v>1800</v>
      </c>
      <c r="H70" s="311">
        <f t="shared" si="115"/>
        <v>900</v>
      </c>
      <c r="I70" s="311">
        <v>1320</v>
      </c>
      <c r="J70" s="306">
        <f t="shared" si="101"/>
        <v>2376000</v>
      </c>
      <c r="K70" s="311">
        <v>150</v>
      </c>
      <c r="L70" s="312">
        <v>1255</v>
      </c>
      <c r="M70" s="309">
        <f t="shared" si="116"/>
        <v>1.3636363636363635</v>
      </c>
      <c r="N70" s="309">
        <f t="shared" si="29"/>
        <v>0.68181818181818177</v>
      </c>
      <c r="O70" s="309">
        <f t="shared" si="4"/>
        <v>0.68181818181818177</v>
      </c>
      <c r="P70" s="331">
        <f t="shared" si="102"/>
        <v>139559.47136563878</v>
      </c>
      <c r="Q70" s="327">
        <f t="shared" si="5"/>
        <v>198000</v>
      </c>
      <c r="R70" s="309">
        <f>(BH70/Q70*1000)/((1.29+0.98)/2)</f>
        <v>0.70484581497797361</v>
      </c>
      <c r="S70" s="312">
        <f t="shared" si="120"/>
        <v>450</v>
      </c>
      <c r="T70" s="312">
        <v>400</v>
      </c>
      <c r="U70" s="307" t="s">
        <v>413</v>
      </c>
      <c r="V70" s="307" t="s">
        <v>413</v>
      </c>
      <c r="W70" s="387">
        <f t="shared" si="30"/>
        <v>0</v>
      </c>
      <c r="X70" s="332">
        <f t="shared" si="103"/>
        <v>23</v>
      </c>
      <c r="Y70" s="387">
        <f t="shared" si="31"/>
        <v>23</v>
      </c>
      <c r="Z70" s="418">
        <f t="shared" si="117"/>
        <v>0.5792682926829269</v>
      </c>
      <c r="AA70" s="307">
        <v>27</v>
      </c>
      <c r="AB70" s="307">
        <v>15.6</v>
      </c>
      <c r="AC70" s="295">
        <v>3</v>
      </c>
      <c r="AD70" s="325">
        <f t="shared" si="118"/>
        <v>3.9333333333333331</v>
      </c>
      <c r="AE70" s="295" t="s">
        <v>413</v>
      </c>
      <c r="AF70" s="313">
        <f t="shared" si="104"/>
        <v>0.93785320622293622</v>
      </c>
      <c r="AG70" s="313">
        <f t="shared" si="94"/>
        <v>25.322036568019278</v>
      </c>
      <c r="AH70" s="313">
        <f t="shared" si="105"/>
        <v>14.630510017077805</v>
      </c>
      <c r="AI70" s="308">
        <f t="shared" si="119"/>
        <v>22.166387762234791</v>
      </c>
      <c r="AJ70" s="295" t="s">
        <v>413</v>
      </c>
      <c r="AK70" s="295" t="s">
        <v>413</v>
      </c>
      <c r="AL70" s="295" t="s">
        <v>413</v>
      </c>
      <c r="AM70" s="331">
        <f t="shared" si="106"/>
        <v>773.70749999999998</v>
      </c>
      <c r="AN70" s="298">
        <v>4.1099999999999999E-3</v>
      </c>
      <c r="AO70" s="332">
        <f t="shared" si="107"/>
        <v>385</v>
      </c>
      <c r="AP70" s="332">
        <f t="shared" si="108"/>
        <v>1.5823499999999999</v>
      </c>
      <c r="AQ70" s="343">
        <v>400</v>
      </c>
      <c r="AR70" s="295" t="s">
        <v>413</v>
      </c>
      <c r="AS70" s="327">
        <f t="shared" si="109"/>
        <v>0</v>
      </c>
      <c r="AT70" s="295" t="s">
        <v>413</v>
      </c>
      <c r="AU70" s="327">
        <v>0</v>
      </c>
      <c r="AV70" s="333">
        <f t="shared" si="110"/>
        <v>0</v>
      </c>
      <c r="AW70" s="327">
        <f t="shared" si="111"/>
        <v>0</v>
      </c>
      <c r="AX70" s="298">
        <v>0</v>
      </c>
      <c r="AY70" s="336">
        <v>0</v>
      </c>
      <c r="AZ70" s="332">
        <f t="shared" si="113"/>
        <v>0</v>
      </c>
      <c r="BA70" s="266">
        <v>400</v>
      </c>
      <c r="BB70" s="335">
        <f t="shared" si="122"/>
        <v>201.39</v>
      </c>
      <c r="BC70" s="298">
        <v>0.98</v>
      </c>
      <c r="BD70" s="313">
        <f t="shared" si="33"/>
        <v>4.4211082586475402E-2</v>
      </c>
      <c r="BE70" s="298">
        <v>1.39</v>
      </c>
      <c r="BF70" s="310">
        <f>0.91*Q70/1000</f>
        <v>180.18</v>
      </c>
      <c r="BG70" s="310">
        <f>0.69*Q70/1000</f>
        <v>136.62</v>
      </c>
      <c r="BH70" s="311">
        <f t="shared" si="114"/>
        <v>158.4</v>
      </c>
      <c r="BI70" s="312">
        <v>1</v>
      </c>
      <c r="BJ70" s="360">
        <f t="shared" si="15"/>
        <v>1</v>
      </c>
      <c r="BK70" s="360">
        <f t="shared" si="16"/>
        <v>1</v>
      </c>
      <c r="BL70" s="311">
        <f t="shared" si="35"/>
        <v>158.4</v>
      </c>
      <c r="BM70" s="309">
        <f t="shared" si="96"/>
        <v>0.8</v>
      </c>
      <c r="BN70" s="309">
        <f t="shared" si="97"/>
        <v>1.135</v>
      </c>
      <c r="BO70" s="376"/>
      <c r="BP70" s="328">
        <f t="shared" si="36"/>
        <v>6.905241705294654</v>
      </c>
      <c r="BQ70" s="328">
        <f t="shared" si="19"/>
        <v>0</v>
      </c>
      <c r="BR70" s="328">
        <f t="shared" si="49"/>
        <v>0.38675514928698751</v>
      </c>
      <c r="BS70" s="328">
        <f t="shared" si="37"/>
        <v>0</v>
      </c>
      <c r="BT70" s="328">
        <f t="shared" si="38"/>
        <v>0.98</v>
      </c>
      <c r="BU70" s="376"/>
      <c r="BV70" s="328">
        <f t="shared" si="21"/>
        <v>0.5</v>
      </c>
      <c r="BW70" s="328">
        <f t="shared" si="22"/>
        <v>0.71713147410358558</v>
      </c>
      <c r="BX70" s="373">
        <f t="shared" si="39"/>
        <v>0.96638369971961413</v>
      </c>
      <c r="BY70" s="311">
        <f t="shared" si="23"/>
        <v>116134.61573610867</v>
      </c>
      <c r="BZ70" s="311">
        <f t="shared" si="24"/>
        <v>0</v>
      </c>
      <c r="CA70" s="311">
        <f t="shared" si="40"/>
        <v>177260.69332114345</v>
      </c>
      <c r="CB70" s="307">
        <f t="shared" si="41"/>
        <v>116.13461573610867</v>
      </c>
      <c r="CC70" s="309">
        <f t="shared" si="42"/>
        <v>0.58653846331368009</v>
      </c>
      <c r="CD70" s="379">
        <f t="shared" si="25"/>
        <v>1.3639344221014214</v>
      </c>
    </row>
    <row r="71" spans="1:82" x14ac:dyDescent="0.25">
      <c r="A71" s="305">
        <v>63</v>
      </c>
      <c r="B71" s="298" t="s">
        <v>99</v>
      </c>
      <c r="C71" s="298" t="s">
        <v>135</v>
      </c>
      <c r="D71" s="298" t="s">
        <v>598</v>
      </c>
      <c r="E71" s="298" t="s">
        <v>668</v>
      </c>
      <c r="F71" s="298" t="s">
        <v>485</v>
      </c>
      <c r="G71" s="311">
        <v>1800</v>
      </c>
      <c r="H71" s="311">
        <f t="shared" si="115"/>
        <v>900</v>
      </c>
      <c r="I71" s="311">
        <v>1320</v>
      </c>
      <c r="J71" s="306">
        <f t="shared" si="101"/>
        <v>2376000</v>
      </c>
      <c r="K71" s="311">
        <v>150</v>
      </c>
      <c r="L71" s="312">
        <v>1255</v>
      </c>
      <c r="M71" s="309">
        <f t="shared" si="116"/>
        <v>1.3636363636363635</v>
      </c>
      <c r="N71" s="309">
        <f t="shared" si="29"/>
        <v>0.68181818181818177</v>
      </c>
      <c r="O71" s="309">
        <f t="shared" si="4"/>
        <v>0.68181818181818177</v>
      </c>
      <c r="P71" s="331">
        <f t="shared" si="102"/>
        <v>139392</v>
      </c>
      <c r="Q71" s="327">
        <f t="shared" si="5"/>
        <v>198000</v>
      </c>
      <c r="R71" s="309">
        <f>(BH71/Q71*1000)/((0.68+0.57)/2)</f>
        <v>0.70399999999999996</v>
      </c>
      <c r="S71" s="312">
        <f t="shared" si="120"/>
        <v>450</v>
      </c>
      <c r="T71" s="312">
        <v>400</v>
      </c>
      <c r="U71" s="307" t="s">
        <v>413</v>
      </c>
      <c r="V71" s="307" t="s">
        <v>413</v>
      </c>
      <c r="W71" s="387">
        <f t="shared" si="30"/>
        <v>0</v>
      </c>
      <c r="X71" s="332">
        <f t="shared" si="103"/>
        <v>23</v>
      </c>
      <c r="Y71" s="387">
        <f t="shared" si="31"/>
        <v>23</v>
      </c>
      <c r="Z71" s="418">
        <f t="shared" si="117"/>
        <v>0.5792682926829269</v>
      </c>
      <c r="AA71" s="307">
        <v>14</v>
      </c>
      <c r="AB71" s="307">
        <v>8.1</v>
      </c>
      <c r="AC71" s="295">
        <v>3</v>
      </c>
      <c r="AD71" s="325">
        <f t="shared" si="118"/>
        <v>3.9333333333333331</v>
      </c>
      <c r="AE71" s="295" t="s">
        <v>413</v>
      </c>
      <c r="AF71" s="313">
        <f t="shared" si="104"/>
        <v>0.93785320622293622</v>
      </c>
      <c r="AG71" s="313">
        <f t="shared" si="94"/>
        <v>13.129944887121107</v>
      </c>
      <c r="AH71" s="313">
        <f t="shared" si="105"/>
        <v>7.5966109704057834</v>
      </c>
      <c r="AI71" s="308">
        <f t="shared" si="119"/>
        <v>11.49207804777337</v>
      </c>
      <c r="AJ71" s="295" t="s">
        <v>413</v>
      </c>
      <c r="AK71" s="295" t="s">
        <v>413</v>
      </c>
      <c r="AL71" s="295" t="s">
        <v>413</v>
      </c>
      <c r="AM71" s="331">
        <f t="shared" si="106"/>
        <v>773.70749999999998</v>
      </c>
      <c r="AN71" s="298">
        <v>4.1099999999999999E-3</v>
      </c>
      <c r="AO71" s="332">
        <f t="shared" si="107"/>
        <v>385</v>
      </c>
      <c r="AP71" s="332">
        <f t="shared" si="108"/>
        <v>1.5823499999999999</v>
      </c>
      <c r="AQ71" s="343">
        <v>400</v>
      </c>
      <c r="AR71" s="295" t="s">
        <v>413</v>
      </c>
      <c r="AS71" s="327">
        <f t="shared" si="109"/>
        <v>0</v>
      </c>
      <c r="AT71" s="295" t="s">
        <v>413</v>
      </c>
      <c r="AU71" s="327">
        <v>0</v>
      </c>
      <c r="AV71" s="333">
        <f t="shared" si="110"/>
        <v>0</v>
      </c>
      <c r="AW71" s="327">
        <f t="shared" si="111"/>
        <v>0</v>
      </c>
      <c r="AX71" s="298">
        <v>0</v>
      </c>
      <c r="AY71" s="336">
        <v>0</v>
      </c>
      <c r="AZ71" s="332">
        <f t="shared" si="113"/>
        <v>0</v>
      </c>
      <c r="BA71" s="266">
        <v>400</v>
      </c>
      <c r="BB71" s="335">
        <f t="shared" si="122"/>
        <v>194.04</v>
      </c>
      <c r="BC71" s="298">
        <v>0.98</v>
      </c>
      <c r="BD71" s="313">
        <f t="shared" si="33"/>
        <v>8.5276135084192045E-2</v>
      </c>
      <c r="BE71" s="298">
        <v>1.39</v>
      </c>
      <c r="BF71" s="310">
        <f>0.48*Q71/1000</f>
        <v>95.04</v>
      </c>
      <c r="BG71" s="310">
        <f>0.4*Q71/1000</f>
        <v>79.2</v>
      </c>
      <c r="BH71" s="311">
        <f t="shared" si="114"/>
        <v>87.12</v>
      </c>
      <c r="BI71" s="312">
        <v>1</v>
      </c>
      <c r="BJ71" s="360">
        <f t="shared" si="15"/>
        <v>1</v>
      </c>
      <c r="BK71" s="360">
        <f t="shared" si="16"/>
        <v>1</v>
      </c>
      <c r="BL71" s="311">
        <f t="shared" si="35"/>
        <v>87.12</v>
      </c>
      <c r="BM71" s="309">
        <f t="shared" si="96"/>
        <v>0.44</v>
      </c>
      <c r="BN71" s="309">
        <f t="shared" si="97"/>
        <v>0.625</v>
      </c>
      <c r="BO71" s="376"/>
      <c r="BP71" s="328">
        <f t="shared" si="36"/>
        <v>4.9719952512368097</v>
      </c>
      <c r="BQ71" s="328">
        <f t="shared" si="19"/>
        <v>0</v>
      </c>
      <c r="BR71" s="328">
        <f t="shared" si="49"/>
        <v>0.38675514928698751</v>
      </c>
      <c r="BS71" s="328">
        <f t="shared" si="37"/>
        <v>0</v>
      </c>
      <c r="BT71" s="328">
        <f t="shared" si="38"/>
        <v>0.98</v>
      </c>
      <c r="BU71" s="376"/>
      <c r="BV71" s="328">
        <f t="shared" si="21"/>
        <v>0.5</v>
      </c>
      <c r="BW71" s="328">
        <f t="shared" si="22"/>
        <v>0.71713147410358558</v>
      </c>
      <c r="BX71" s="373">
        <f t="shared" si="39"/>
        <v>0.6958272238601606</v>
      </c>
      <c r="BY71" s="311">
        <f t="shared" si="23"/>
        <v>89749.737445837614</v>
      </c>
      <c r="BZ71" s="311">
        <f t="shared" si="24"/>
        <v>0</v>
      </c>
      <c r="CA71" s="311">
        <f t="shared" si="40"/>
        <v>127633.37809709038</v>
      </c>
      <c r="CB71" s="307">
        <f t="shared" si="41"/>
        <v>89.74973744583761</v>
      </c>
      <c r="CC71" s="309">
        <f t="shared" si="42"/>
        <v>0.4532815022517051</v>
      </c>
      <c r="CD71" s="379">
        <f t="shared" si="25"/>
        <v>0.97069921850830365</v>
      </c>
    </row>
    <row r="72" spans="1:82" x14ac:dyDescent="0.25">
      <c r="A72" s="305">
        <v>64</v>
      </c>
      <c r="B72" s="298" t="s">
        <v>99</v>
      </c>
      <c r="C72" s="298" t="s">
        <v>136</v>
      </c>
      <c r="D72" s="298" t="s">
        <v>598</v>
      </c>
      <c r="E72" s="298" t="s">
        <v>668</v>
      </c>
      <c r="F72" s="298" t="s">
        <v>485</v>
      </c>
      <c r="G72" s="311">
        <v>1800</v>
      </c>
      <c r="H72" s="311">
        <f t="shared" si="115"/>
        <v>900</v>
      </c>
      <c r="I72" s="311">
        <v>1320</v>
      </c>
      <c r="J72" s="306">
        <f t="shared" si="101"/>
        <v>2376000</v>
      </c>
      <c r="K72" s="311">
        <v>150</v>
      </c>
      <c r="L72" s="312">
        <v>1255</v>
      </c>
      <c r="M72" s="309">
        <f t="shared" si="116"/>
        <v>1.3636363636363635</v>
      </c>
      <c r="N72" s="309">
        <f t="shared" si="29"/>
        <v>0.68181818181818177</v>
      </c>
      <c r="O72" s="309">
        <f t="shared" si="4"/>
        <v>0.68181818181818177</v>
      </c>
      <c r="P72" s="331">
        <f t="shared" si="102"/>
        <v>140008.36820083685</v>
      </c>
      <c r="Q72" s="327">
        <f t="shared" si="5"/>
        <v>198000</v>
      </c>
      <c r="R72" s="309">
        <f>(BH72/Q72*1000)/((1.4+0.99)/2)</f>
        <v>0.7071129707112972</v>
      </c>
      <c r="S72" s="312">
        <f t="shared" si="120"/>
        <v>450</v>
      </c>
      <c r="T72" s="312">
        <v>400</v>
      </c>
      <c r="U72" s="307" t="s">
        <v>413</v>
      </c>
      <c r="V72" s="307" t="s">
        <v>413</v>
      </c>
      <c r="W72" s="387">
        <f t="shared" si="30"/>
        <v>0</v>
      </c>
      <c r="X72" s="332">
        <f t="shared" si="103"/>
        <v>23</v>
      </c>
      <c r="Y72" s="387">
        <f t="shared" si="31"/>
        <v>23</v>
      </c>
      <c r="Z72" s="418">
        <f t="shared" si="117"/>
        <v>0.5792682926829269</v>
      </c>
      <c r="AA72" s="307">
        <v>27</v>
      </c>
      <c r="AB72" s="307">
        <v>15.6</v>
      </c>
      <c r="AC72" s="295">
        <v>3</v>
      </c>
      <c r="AD72" s="325">
        <f t="shared" si="118"/>
        <v>3.9333333333333331</v>
      </c>
      <c r="AE72" s="295" t="s">
        <v>413</v>
      </c>
      <c r="AF72" s="313">
        <f t="shared" si="104"/>
        <v>0.93785320622293622</v>
      </c>
      <c r="AG72" s="313">
        <f t="shared" si="94"/>
        <v>25.322036568019278</v>
      </c>
      <c r="AH72" s="313">
        <f t="shared" si="105"/>
        <v>14.630510017077805</v>
      </c>
      <c r="AI72" s="308">
        <f t="shared" si="119"/>
        <v>22.19062711795274</v>
      </c>
      <c r="AJ72" s="295" t="s">
        <v>413</v>
      </c>
      <c r="AK72" s="295" t="s">
        <v>413</v>
      </c>
      <c r="AL72" s="295" t="s">
        <v>413</v>
      </c>
      <c r="AM72" s="331">
        <f t="shared" si="106"/>
        <v>773.70749999999998</v>
      </c>
      <c r="AN72" s="298">
        <v>4.1099999999999999E-3</v>
      </c>
      <c r="AO72" s="332">
        <f t="shared" si="107"/>
        <v>385</v>
      </c>
      <c r="AP72" s="332">
        <f t="shared" si="108"/>
        <v>1.5823499999999999</v>
      </c>
      <c r="AQ72" s="343">
        <v>400</v>
      </c>
      <c r="AR72" s="295" t="s">
        <v>413</v>
      </c>
      <c r="AS72" s="327">
        <f t="shared" si="109"/>
        <v>399.6</v>
      </c>
      <c r="AT72" s="295" t="s">
        <v>413</v>
      </c>
      <c r="AU72" s="327">
        <v>0</v>
      </c>
      <c r="AV72" s="333">
        <f t="shared" si="110"/>
        <v>88.8</v>
      </c>
      <c r="AW72" s="327">
        <f t="shared" si="111"/>
        <v>399.6</v>
      </c>
      <c r="AX72" s="298">
        <v>1.48E-3</v>
      </c>
      <c r="AY72" s="332">
        <f t="shared" ref="AY72:AY79" si="123">AVERAGE(320,450)</f>
        <v>385</v>
      </c>
      <c r="AZ72" s="332">
        <f t="shared" si="113"/>
        <v>0.56979999999999997</v>
      </c>
      <c r="BA72" s="266">
        <v>400</v>
      </c>
      <c r="BB72" s="335">
        <f t="shared" si="122"/>
        <v>194.04</v>
      </c>
      <c r="BC72" s="298">
        <v>0.98</v>
      </c>
      <c r="BD72" s="313">
        <f t="shared" si="33"/>
        <v>4.4162789757625054E-2</v>
      </c>
      <c r="BE72" s="298">
        <v>1.39</v>
      </c>
      <c r="BF72" s="310">
        <f>0.99*Q72/1000</f>
        <v>196.02</v>
      </c>
      <c r="BG72" s="310">
        <f>0.7*Q72/1000</f>
        <v>138.6</v>
      </c>
      <c r="BH72" s="311">
        <f t="shared" si="114"/>
        <v>167.31</v>
      </c>
      <c r="BI72" s="312">
        <v>1</v>
      </c>
      <c r="BJ72" s="360">
        <f t="shared" si="15"/>
        <v>1</v>
      </c>
      <c r="BK72" s="360">
        <f t="shared" si="16"/>
        <v>1</v>
      </c>
      <c r="BL72" s="311">
        <f t="shared" si="35"/>
        <v>167.31</v>
      </c>
      <c r="BM72" s="309">
        <f t="shared" si="96"/>
        <v>0.84500000000000008</v>
      </c>
      <c r="BN72" s="309">
        <f t="shared" si="97"/>
        <v>1.1949999999999996</v>
      </c>
      <c r="BO72" s="376"/>
      <c r="BP72" s="328">
        <f t="shared" si="36"/>
        <v>6.9090161785851745</v>
      </c>
      <c r="BQ72" s="328">
        <f t="shared" si="19"/>
        <v>0.56979999999999997</v>
      </c>
      <c r="BR72" s="328">
        <f t="shared" si="49"/>
        <v>0.38675514928698751</v>
      </c>
      <c r="BS72" s="328">
        <f t="shared" si="37"/>
        <v>2.514402582157182</v>
      </c>
      <c r="BT72" s="328">
        <f t="shared" si="38"/>
        <v>0.98</v>
      </c>
      <c r="BU72" s="376"/>
      <c r="BV72" s="328">
        <f t="shared" si="21"/>
        <v>0.5</v>
      </c>
      <c r="BW72" s="328">
        <f t="shared" si="22"/>
        <v>0.71713147410358558</v>
      </c>
      <c r="BX72" s="373">
        <f t="shared" si="39"/>
        <v>0.9669119345908409</v>
      </c>
      <c r="BY72" s="311">
        <f t="shared" si="23"/>
        <v>115265.58584336289</v>
      </c>
      <c r="BZ72" s="311">
        <f t="shared" si="24"/>
        <v>289615.09499999997</v>
      </c>
      <c r="CA72" s="311">
        <f t="shared" si="40"/>
        <v>177357.5857661808</v>
      </c>
      <c r="CB72" s="307">
        <f t="shared" si="41"/>
        <v>177.35758576618079</v>
      </c>
      <c r="CC72" s="309">
        <f t="shared" si="42"/>
        <v>0.89574538265747872</v>
      </c>
      <c r="CD72" s="379">
        <f t="shared" si="25"/>
        <v>0.94334842954263587</v>
      </c>
    </row>
    <row r="73" spans="1:82" x14ac:dyDescent="0.25">
      <c r="A73" s="305">
        <v>65</v>
      </c>
      <c r="B73" s="298" t="s">
        <v>99</v>
      </c>
      <c r="C73" s="298" t="s">
        <v>137</v>
      </c>
      <c r="D73" s="298" t="s">
        <v>598</v>
      </c>
      <c r="E73" s="298" t="s">
        <v>668</v>
      </c>
      <c r="F73" s="298" t="s">
        <v>485</v>
      </c>
      <c r="G73" s="311">
        <v>1800</v>
      </c>
      <c r="H73" s="311">
        <f t="shared" si="115"/>
        <v>900</v>
      </c>
      <c r="I73" s="311">
        <v>1320</v>
      </c>
      <c r="J73" s="306">
        <f t="shared" si="101"/>
        <v>2376000</v>
      </c>
      <c r="K73" s="311">
        <v>150</v>
      </c>
      <c r="L73" s="312">
        <v>1255</v>
      </c>
      <c r="M73" s="309">
        <f t="shared" si="116"/>
        <v>1.3636363636363635</v>
      </c>
      <c r="N73" s="309">
        <f t="shared" si="29"/>
        <v>0.68181818181818177</v>
      </c>
      <c r="O73" s="309">
        <f t="shared" ref="O73:O136" si="124">H73/I73</f>
        <v>0.68181818181818177</v>
      </c>
      <c r="P73" s="331">
        <f t="shared" si="102"/>
        <v>140030.41825095058</v>
      </c>
      <c r="Q73" s="327">
        <f t="shared" ref="Q73:Q136" si="125">K73*I73</f>
        <v>198000</v>
      </c>
      <c r="R73" s="309">
        <f>(BH73/Q73*1000)/((1.54+1.09)/2)</f>
        <v>0.70722433460076051</v>
      </c>
      <c r="S73" s="312">
        <f t="shared" si="120"/>
        <v>450</v>
      </c>
      <c r="T73" s="312">
        <v>400</v>
      </c>
      <c r="U73" s="307" t="s">
        <v>413</v>
      </c>
      <c r="V73" s="307" t="s">
        <v>413</v>
      </c>
      <c r="W73" s="387">
        <f t="shared" si="30"/>
        <v>0</v>
      </c>
      <c r="X73" s="332">
        <f t="shared" si="103"/>
        <v>23</v>
      </c>
      <c r="Y73" s="387">
        <f t="shared" si="31"/>
        <v>23</v>
      </c>
      <c r="Z73" s="418">
        <f t="shared" si="117"/>
        <v>0.5792682926829269</v>
      </c>
      <c r="AA73" s="307">
        <v>27</v>
      </c>
      <c r="AB73" s="307">
        <v>15.6</v>
      </c>
      <c r="AC73" s="295">
        <v>3</v>
      </c>
      <c r="AD73" s="325">
        <f t="shared" si="118"/>
        <v>3.9333333333333331</v>
      </c>
      <c r="AE73" s="295" t="s">
        <v>413</v>
      </c>
      <c r="AF73" s="313">
        <f t="shared" si="104"/>
        <v>0.93785320622293622</v>
      </c>
      <c r="AG73" s="313">
        <f t="shared" si="94"/>
        <v>25.322036568019278</v>
      </c>
      <c r="AH73" s="313">
        <f t="shared" si="105"/>
        <v>14.630510017077805</v>
      </c>
      <c r="AI73" s="308">
        <f t="shared" si="119"/>
        <v>22.191817767933752</v>
      </c>
      <c r="AJ73" s="295" t="s">
        <v>413</v>
      </c>
      <c r="AK73" s="295" t="s">
        <v>413</v>
      </c>
      <c r="AL73" s="295" t="s">
        <v>413</v>
      </c>
      <c r="AM73" s="331">
        <f t="shared" si="106"/>
        <v>773.70749999999998</v>
      </c>
      <c r="AN73" s="298">
        <v>4.1099999999999999E-3</v>
      </c>
      <c r="AO73" s="332">
        <f t="shared" si="107"/>
        <v>385</v>
      </c>
      <c r="AP73" s="332">
        <f t="shared" si="108"/>
        <v>1.5823499999999999</v>
      </c>
      <c r="AQ73" s="343">
        <v>400</v>
      </c>
      <c r="AR73" s="295" t="s">
        <v>413</v>
      </c>
      <c r="AS73" s="327">
        <f t="shared" si="109"/>
        <v>599.40000000000009</v>
      </c>
      <c r="AT73" s="295" t="s">
        <v>413</v>
      </c>
      <c r="AU73" s="327">
        <v>0</v>
      </c>
      <c r="AV73" s="333">
        <f t="shared" si="110"/>
        <v>133.20000000000002</v>
      </c>
      <c r="AW73" s="327">
        <f t="shared" si="111"/>
        <v>599.40000000000009</v>
      </c>
      <c r="AX73" s="298">
        <v>2.2200000000000002E-3</v>
      </c>
      <c r="AY73" s="332">
        <f t="shared" si="123"/>
        <v>385</v>
      </c>
      <c r="AZ73" s="332">
        <f t="shared" si="113"/>
        <v>0.85470000000000013</v>
      </c>
      <c r="BA73" s="266">
        <v>400</v>
      </c>
      <c r="BB73" s="335">
        <f t="shared" si="122"/>
        <v>194.04</v>
      </c>
      <c r="BC73" s="298">
        <v>0.98</v>
      </c>
      <c r="BD73" s="313">
        <f t="shared" si="33"/>
        <v>4.4160420306625758E-2</v>
      </c>
      <c r="BE73" s="298">
        <v>1.39</v>
      </c>
      <c r="BF73" s="310">
        <f>1.09*Q73/1000</f>
        <v>215.82000000000002</v>
      </c>
      <c r="BG73" s="310">
        <f>0.77*Q73/1000</f>
        <v>152.46</v>
      </c>
      <c r="BH73" s="311">
        <f t="shared" si="114"/>
        <v>184.14000000000001</v>
      </c>
      <c r="BI73" s="312">
        <v>1</v>
      </c>
      <c r="BJ73" s="360">
        <f t="shared" ref="BJ73:BJ136" si="126">IF(D73="Monotonic",0.814,1)</f>
        <v>1</v>
      </c>
      <c r="BK73" s="360">
        <f t="shared" ref="BK73:BK136" si="127">IF(E73="Dynamic",0.9,1)</f>
        <v>1</v>
      </c>
      <c r="BL73" s="311">
        <f t="shared" si="35"/>
        <v>184.14000000000001</v>
      </c>
      <c r="BM73" s="309">
        <f t="shared" si="96"/>
        <v>0.93</v>
      </c>
      <c r="BN73" s="309">
        <f t="shared" si="97"/>
        <v>1.3149999999999999</v>
      </c>
      <c r="BO73" s="376"/>
      <c r="BP73" s="328">
        <f t="shared" si="36"/>
        <v>6.9092015295803373</v>
      </c>
      <c r="BQ73" s="328">
        <f t="shared" ref="BQ73:BQ136" si="128">AZ73</f>
        <v>0.85470000000000013</v>
      </c>
      <c r="BR73" s="328">
        <f t="shared" si="49"/>
        <v>0.38675514928698751</v>
      </c>
      <c r="BS73" s="328">
        <f t="shared" si="37"/>
        <v>3.0800692887946677</v>
      </c>
      <c r="BT73" s="328">
        <f t="shared" si="38"/>
        <v>0.98</v>
      </c>
      <c r="BU73" s="376"/>
      <c r="BV73" s="328">
        <f t="shared" ref="BV73:BV136" si="129">IF(R73&gt;0.5,0.5,R73)</f>
        <v>0.5</v>
      </c>
      <c r="BW73" s="328">
        <f t="shared" ref="BW73:BW136" si="130">IF(N73*I73/L73&gt;1,1,IF(N73*I73/L73&lt;0.25,0.25,N73*I73/L73))</f>
        <v>0.71713147410358558</v>
      </c>
      <c r="BX73" s="373">
        <f t="shared" si="39"/>
        <v>0.96693787433170686</v>
      </c>
      <c r="BY73" s="311">
        <f t="shared" ref="BY73:BY136" si="131">(BX73*K73*L73+0.25*BB73*1000)*BV73</f>
        <v>115268.02742147191</v>
      </c>
      <c r="BZ73" s="311">
        <f t="shared" ref="BZ73:BZ136" si="132">IF(BA73=0,0,0.6*1*AW73*AY73*L73/BA73)</f>
        <v>434422.64250000007</v>
      </c>
      <c r="CA73" s="311">
        <f t="shared" si="40"/>
        <v>177362.34381047706</v>
      </c>
      <c r="CB73" s="307">
        <f t="shared" si="41"/>
        <v>177.36234381047706</v>
      </c>
      <c r="CC73" s="309">
        <f t="shared" si="42"/>
        <v>0.89576941318422754</v>
      </c>
      <c r="CD73" s="379">
        <f t="shared" ref="CD73:CD136" si="133">BL73/CB73</f>
        <v>1.0382136142537974</v>
      </c>
    </row>
    <row r="74" spans="1:82" x14ac:dyDescent="0.25">
      <c r="A74" s="305">
        <v>66</v>
      </c>
      <c r="B74" s="298" t="s">
        <v>99</v>
      </c>
      <c r="C74" s="298" t="s">
        <v>141</v>
      </c>
      <c r="D74" s="298" t="s">
        <v>598</v>
      </c>
      <c r="E74" s="298" t="s">
        <v>668</v>
      </c>
      <c r="F74" s="298" t="s">
        <v>485</v>
      </c>
      <c r="G74" s="311">
        <v>1800</v>
      </c>
      <c r="H74" s="311">
        <f t="shared" si="115"/>
        <v>900</v>
      </c>
      <c r="I74" s="311">
        <v>1970</v>
      </c>
      <c r="J74" s="306">
        <f t="shared" si="101"/>
        <v>3546000</v>
      </c>
      <c r="K74" s="311">
        <v>150</v>
      </c>
      <c r="L74" s="312">
        <v>1880</v>
      </c>
      <c r="M74" s="309">
        <f t="shared" si="116"/>
        <v>0.91370558375634514</v>
      </c>
      <c r="N74" s="309">
        <f t="shared" ref="N74:N137" si="134">O74</f>
        <v>0.45685279187817257</v>
      </c>
      <c r="O74" s="309">
        <f t="shared" si="124"/>
        <v>0.45685279187817257</v>
      </c>
      <c r="P74" s="331">
        <f t="shared" si="102"/>
        <v>238828.76712328772</v>
      </c>
      <c r="Q74" s="327">
        <f t="shared" si="125"/>
        <v>295500</v>
      </c>
      <c r="R74" s="309">
        <f>(BH74/Q74*1000)/((1.13+1.06)/2)</f>
        <v>0.8082191780821919</v>
      </c>
      <c r="S74" s="312">
        <f>G74/6</f>
        <v>300</v>
      </c>
      <c r="T74" s="312">
        <v>400</v>
      </c>
      <c r="U74" s="307" t="s">
        <v>413</v>
      </c>
      <c r="V74" s="307" t="s">
        <v>413</v>
      </c>
      <c r="W74" s="387">
        <f t="shared" ref="W74:W137" si="135">IF(V74="-",0,V74)</f>
        <v>0</v>
      </c>
      <c r="X74" s="332">
        <f t="shared" si="103"/>
        <v>23</v>
      </c>
      <c r="Y74" s="387">
        <f t="shared" ref="Y74:Y137" si="136">IF(X74="-",0,X74)</f>
        <v>23</v>
      </c>
      <c r="Z74" s="418">
        <f t="shared" si="117"/>
        <v>0.5792682926829269</v>
      </c>
      <c r="AA74" s="307">
        <v>15.2</v>
      </c>
      <c r="AB74" s="307">
        <v>8.8000000000000007</v>
      </c>
      <c r="AC74" s="295">
        <v>3</v>
      </c>
      <c r="AD74" s="325">
        <f t="shared" si="118"/>
        <v>3.9333333333333331</v>
      </c>
      <c r="AE74" s="295" t="s">
        <v>413</v>
      </c>
      <c r="AF74" s="313">
        <f t="shared" si="104"/>
        <v>0.93785320622293622</v>
      </c>
      <c r="AG74" s="313">
        <f t="shared" si="94"/>
        <v>14.255368734588631</v>
      </c>
      <c r="AH74" s="313">
        <f t="shared" si="105"/>
        <v>8.2531082147618395</v>
      </c>
      <c r="AI74" s="308">
        <f t="shared" si="119"/>
        <v>13.10425027873144</v>
      </c>
      <c r="AJ74" s="295" t="s">
        <v>413</v>
      </c>
      <c r="AK74" s="295" t="s">
        <v>413</v>
      </c>
      <c r="AL74" s="295" t="s">
        <v>413</v>
      </c>
      <c r="AM74" s="331">
        <f t="shared" si="106"/>
        <v>772.68000000000006</v>
      </c>
      <c r="AN74" s="298">
        <v>2.7400000000000002E-3</v>
      </c>
      <c r="AO74" s="332">
        <f t="shared" si="107"/>
        <v>385</v>
      </c>
      <c r="AP74" s="332">
        <f t="shared" si="108"/>
        <v>1.0549000000000002</v>
      </c>
      <c r="AQ74" s="343">
        <v>400</v>
      </c>
      <c r="AR74" s="295" t="s">
        <v>413</v>
      </c>
      <c r="AS74" s="327">
        <f t="shared" si="109"/>
        <v>399.6</v>
      </c>
      <c r="AT74" s="295" t="s">
        <v>413</v>
      </c>
      <c r="AU74" s="327">
        <v>0</v>
      </c>
      <c r="AV74" s="333">
        <f t="shared" si="110"/>
        <v>88.8</v>
      </c>
      <c r="AW74" s="327">
        <f t="shared" si="111"/>
        <v>399.6</v>
      </c>
      <c r="AX74" s="298">
        <v>1.48E-3</v>
      </c>
      <c r="AY74" s="332">
        <f t="shared" si="123"/>
        <v>385</v>
      </c>
      <c r="AZ74" s="332">
        <f t="shared" si="113"/>
        <v>0.56979999999999997</v>
      </c>
      <c r="BA74" s="266">
        <v>400</v>
      </c>
      <c r="BB74" s="335">
        <f t="shared" si="122"/>
        <v>97.02</v>
      </c>
      <c r="BC74" s="298">
        <v>0.49</v>
      </c>
      <c r="BD74" s="313">
        <f t="shared" ref="BD74:BD137" si="137">BC74/AI74</f>
        <v>3.7392448219283746E-2</v>
      </c>
      <c r="BE74" s="298">
        <v>0.69</v>
      </c>
      <c r="BF74" s="310">
        <f>0.99*Q74/1000</f>
        <v>292.54500000000002</v>
      </c>
      <c r="BG74" s="310">
        <f>0.78*Q74/1000</f>
        <v>230.49</v>
      </c>
      <c r="BH74" s="311">
        <f t="shared" si="114"/>
        <v>261.51750000000004</v>
      </c>
      <c r="BI74" s="312">
        <v>1</v>
      </c>
      <c r="BJ74" s="360">
        <f t="shared" si="126"/>
        <v>1</v>
      </c>
      <c r="BK74" s="360">
        <f t="shared" si="127"/>
        <v>1</v>
      </c>
      <c r="BL74" s="311">
        <f t="shared" ref="BL74:BL88" si="138">BH74*BI74*BJ74*BK74</f>
        <v>261.51750000000004</v>
      </c>
      <c r="BM74" s="309">
        <f t="shared" si="96"/>
        <v>0.88500000000000012</v>
      </c>
      <c r="BN74" s="309">
        <f t="shared" si="97"/>
        <v>1.095</v>
      </c>
      <c r="BO74" s="376"/>
      <c r="BP74" s="328">
        <f t="shared" ref="BP74:BP137" si="139">SQRT(AI74)/N74</f>
        <v>7.9237325120101989</v>
      </c>
      <c r="BQ74" s="328">
        <f t="shared" si="128"/>
        <v>0.56979999999999997</v>
      </c>
      <c r="BR74" s="328">
        <f t="shared" si="49"/>
        <v>0.25783676619132501</v>
      </c>
      <c r="BS74" s="328">
        <f t="shared" ref="BS74:BS137" si="140">IF(F74="Cantilever",0.6*R74*SQRT(AZ74*AI74),R74*SQRT(AZ74*AI74))</f>
        <v>2.2084952195198131</v>
      </c>
      <c r="BT74" s="328">
        <f t="shared" ref="BT74:BT137" si="141">BC74</f>
        <v>0.49</v>
      </c>
      <c r="BU74" s="376"/>
      <c r="BV74" s="328">
        <f t="shared" si="129"/>
        <v>0.5</v>
      </c>
      <c r="BW74" s="328">
        <f t="shared" si="130"/>
        <v>0.47872340425531917</v>
      </c>
      <c r="BX74" s="373">
        <f t="shared" ref="BX74:BX137" si="142">0.16*(2-BW74)*SQRT(AI74)</f>
        <v>0.8811183707058754</v>
      </c>
      <c r="BY74" s="311">
        <f t="shared" si="131"/>
        <v>136365.19026952842</v>
      </c>
      <c r="BZ74" s="311">
        <f t="shared" si="132"/>
        <v>433845.71999999991</v>
      </c>
      <c r="CA74" s="311">
        <f t="shared" ref="CA74:CA137" si="143">0.4*SQRT(AI74)*K74*L74*BV74</f>
        <v>204166.83365971455</v>
      </c>
      <c r="CB74" s="307">
        <f t="shared" ref="CB74:CB137" si="144">IF((BY74+BZ74)&lt;CA74,(BY74+BZ74)/1000,CA74/1000)</f>
        <v>204.16683365971454</v>
      </c>
      <c r="CC74" s="309">
        <f t="shared" ref="CC74:CC137" si="145">CB74/(K74*I74)*1000</f>
        <v>0.69091991086197813</v>
      </c>
      <c r="CD74" s="379">
        <f t="shared" si="133"/>
        <v>1.2809009931352122</v>
      </c>
    </row>
    <row r="75" spans="1:82" x14ac:dyDescent="0.25">
      <c r="A75" s="305">
        <v>67</v>
      </c>
      <c r="B75" s="298" t="s">
        <v>99</v>
      </c>
      <c r="C75" s="298" t="s">
        <v>142</v>
      </c>
      <c r="D75" s="298" t="s">
        <v>598</v>
      </c>
      <c r="E75" s="298" t="s">
        <v>668</v>
      </c>
      <c r="F75" s="298" t="s">
        <v>485</v>
      </c>
      <c r="G75" s="311">
        <v>1800</v>
      </c>
      <c r="H75" s="311">
        <f t="shared" si="115"/>
        <v>900</v>
      </c>
      <c r="I75" s="311">
        <v>1970</v>
      </c>
      <c r="J75" s="306">
        <f t="shared" si="101"/>
        <v>3546000</v>
      </c>
      <c r="K75" s="311">
        <v>150</v>
      </c>
      <c r="L75" s="312">
        <v>1880</v>
      </c>
      <c r="M75" s="309">
        <f t="shared" si="116"/>
        <v>0.91370558375634514</v>
      </c>
      <c r="N75" s="309">
        <f t="shared" si="134"/>
        <v>0.45685279187817257</v>
      </c>
      <c r="O75" s="309">
        <f t="shared" si="124"/>
        <v>0.45685279187817257</v>
      </c>
      <c r="P75" s="331">
        <f t="shared" si="102"/>
        <v>218837.26415094343</v>
      </c>
      <c r="Q75" s="327">
        <f t="shared" si="125"/>
        <v>295500</v>
      </c>
      <c r="R75" s="309">
        <f>(BH75/Q75*1000)/((1.09+1.03)/2)</f>
        <v>0.74056603773584917</v>
      </c>
      <c r="S75" s="312">
        <f>G75/6</f>
        <v>300</v>
      </c>
      <c r="T75" s="312">
        <v>400</v>
      </c>
      <c r="U75" s="307" t="s">
        <v>413</v>
      </c>
      <c r="V75" s="307" t="s">
        <v>413</v>
      </c>
      <c r="W75" s="387">
        <f t="shared" si="135"/>
        <v>0</v>
      </c>
      <c r="X75" s="332">
        <f t="shared" si="103"/>
        <v>23</v>
      </c>
      <c r="Y75" s="387">
        <f t="shared" si="136"/>
        <v>23</v>
      </c>
      <c r="Z75" s="418">
        <f t="shared" si="117"/>
        <v>0.5792682926829269</v>
      </c>
      <c r="AA75" s="307">
        <v>15.2</v>
      </c>
      <c r="AB75" s="307">
        <v>8.8000000000000007</v>
      </c>
      <c r="AC75" s="295">
        <v>3</v>
      </c>
      <c r="AD75" s="325">
        <f t="shared" si="118"/>
        <v>3.9333333333333331</v>
      </c>
      <c r="AE75" s="295" t="s">
        <v>413</v>
      </c>
      <c r="AF75" s="313">
        <f t="shared" si="104"/>
        <v>0.93785320622293622</v>
      </c>
      <c r="AG75" s="313">
        <f t="shared" si="94"/>
        <v>14.255368734588631</v>
      </c>
      <c r="AH75" s="313">
        <f t="shared" si="105"/>
        <v>8.2531082147618395</v>
      </c>
      <c r="AI75" s="308">
        <f t="shared" si="119"/>
        <v>12.698178505388286</v>
      </c>
      <c r="AJ75" s="295" t="s">
        <v>413</v>
      </c>
      <c r="AK75" s="295" t="s">
        <v>413</v>
      </c>
      <c r="AL75" s="295" t="s">
        <v>413</v>
      </c>
      <c r="AM75" s="331">
        <f t="shared" si="106"/>
        <v>772.68000000000006</v>
      </c>
      <c r="AN75" s="298">
        <v>2.7400000000000002E-3</v>
      </c>
      <c r="AO75" s="332">
        <f t="shared" si="107"/>
        <v>385</v>
      </c>
      <c r="AP75" s="332">
        <f t="shared" si="108"/>
        <v>1.0549000000000002</v>
      </c>
      <c r="AQ75" s="343">
        <v>400</v>
      </c>
      <c r="AR75" s="295" t="s">
        <v>413</v>
      </c>
      <c r="AS75" s="327">
        <f t="shared" si="109"/>
        <v>399.6</v>
      </c>
      <c r="AT75" s="295" t="s">
        <v>413</v>
      </c>
      <c r="AU75" s="327">
        <v>0</v>
      </c>
      <c r="AV75" s="333">
        <f t="shared" si="110"/>
        <v>88.8</v>
      </c>
      <c r="AW75" s="327">
        <f t="shared" si="111"/>
        <v>399.6</v>
      </c>
      <c r="AX75" s="298">
        <v>1.48E-3</v>
      </c>
      <c r="AY75" s="332">
        <f t="shared" si="123"/>
        <v>385</v>
      </c>
      <c r="AZ75" s="332">
        <f t="shared" si="113"/>
        <v>0.56979999999999997</v>
      </c>
      <c r="BA75" s="266">
        <v>400</v>
      </c>
      <c r="BB75" s="335">
        <f t="shared" si="122"/>
        <v>144.79499999999999</v>
      </c>
      <c r="BC75" s="298">
        <v>0.49</v>
      </c>
      <c r="BD75" s="313">
        <f t="shared" si="137"/>
        <v>3.8588211670837327E-2</v>
      </c>
      <c r="BE75" s="298">
        <v>0.69</v>
      </c>
      <c r="BF75" s="310">
        <f>0.81*Q75/1000</f>
        <v>239.35500000000002</v>
      </c>
      <c r="BG75" s="310">
        <f>0.76*Q75/1000</f>
        <v>224.58</v>
      </c>
      <c r="BH75" s="311">
        <f t="shared" si="114"/>
        <v>231.96750000000003</v>
      </c>
      <c r="BI75" s="312">
        <v>1</v>
      </c>
      <c r="BJ75" s="360">
        <f t="shared" si="126"/>
        <v>1</v>
      </c>
      <c r="BK75" s="360">
        <f t="shared" si="127"/>
        <v>1</v>
      </c>
      <c r="BL75" s="311">
        <f t="shared" si="138"/>
        <v>231.96750000000003</v>
      </c>
      <c r="BM75" s="309">
        <f t="shared" si="96"/>
        <v>0.78500000000000014</v>
      </c>
      <c r="BN75" s="309">
        <f t="shared" si="97"/>
        <v>1.06</v>
      </c>
      <c r="BO75" s="376"/>
      <c r="BP75" s="328">
        <f t="shared" si="139"/>
        <v>7.7999969105376445</v>
      </c>
      <c r="BQ75" s="328">
        <f t="shared" si="128"/>
        <v>0.56979999999999997</v>
      </c>
      <c r="BR75" s="328">
        <f t="shared" si="49"/>
        <v>0.25783676619132501</v>
      </c>
      <c r="BS75" s="328">
        <f t="shared" si="140"/>
        <v>1.9920293269529215</v>
      </c>
      <c r="BT75" s="328">
        <f t="shared" si="141"/>
        <v>0.49</v>
      </c>
      <c r="BU75" s="376"/>
      <c r="BV75" s="328">
        <f t="shared" si="129"/>
        <v>0.5</v>
      </c>
      <c r="BW75" s="328">
        <f t="shared" si="130"/>
        <v>0.47872340425531917</v>
      </c>
      <c r="BX75" s="373">
        <f t="shared" si="142"/>
        <v>0.86735898251318255</v>
      </c>
      <c r="BY75" s="311">
        <f t="shared" si="131"/>
        <v>140396.99153435873</v>
      </c>
      <c r="BZ75" s="311">
        <f t="shared" si="132"/>
        <v>433845.71999999991</v>
      </c>
      <c r="CA75" s="311">
        <f t="shared" si="143"/>
        <v>200978.60059842173</v>
      </c>
      <c r="CB75" s="307">
        <f t="shared" si="144"/>
        <v>200.97860059842174</v>
      </c>
      <c r="CC75" s="309">
        <f t="shared" si="145"/>
        <v>0.68013062808264546</v>
      </c>
      <c r="CD75" s="379">
        <f t="shared" si="133"/>
        <v>1.1541900446580264</v>
      </c>
    </row>
    <row r="76" spans="1:82" x14ac:dyDescent="0.25">
      <c r="A76" s="305">
        <v>68</v>
      </c>
      <c r="B76" s="298" t="s">
        <v>99</v>
      </c>
      <c r="C76" s="298" t="s">
        <v>143</v>
      </c>
      <c r="D76" s="298" t="s">
        <v>598</v>
      </c>
      <c r="E76" s="298" t="s">
        <v>668</v>
      </c>
      <c r="F76" s="298" t="s">
        <v>485</v>
      </c>
      <c r="G76" s="311">
        <v>1800</v>
      </c>
      <c r="H76" s="311">
        <f t="shared" si="115"/>
        <v>900</v>
      </c>
      <c r="I76" s="311">
        <v>1770</v>
      </c>
      <c r="J76" s="306">
        <f t="shared" si="101"/>
        <v>3186000</v>
      </c>
      <c r="K76" s="311">
        <v>150</v>
      </c>
      <c r="L76" s="312">
        <v>1680</v>
      </c>
      <c r="M76" s="309">
        <f t="shared" si="116"/>
        <v>1.0169491525423728</v>
      </c>
      <c r="N76" s="309">
        <f t="shared" si="134"/>
        <v>0.50847457627118642</v>
      </c>
      <c r="O76" s="309">
        <f t="shared" si="124"/>
        <v>0.50847457627118642</v>
      </c>
      <c r="P76" s="331">
        <f t="shared" si="102"/>
        <v>206810.52631578947</v>
      </c>
      <c r="Q76" s="327">
        <f t="shared" si="125"/>
        <v>265500</v>
      </c>
      <c r="R76" s="309">
        <f>(BH76/Q76*1000)/((1.13+0.77)/2)</f>
        <v>0.77894736842105261</v>
      </c>
      <c r="S76" s="312">
        <f>G76/5</f>
        <v>360</v>
      </c>
      <c r="T76" s="312">
        <v>400</v>
      </c>
      <c r="U76" s="307" t="s">
        <v>413</v>
      </c>
      <c r="V76" s="307" t="s">
        <v>413</v>
      </c>
      <c r="W76" s="387">
        <f t="shared" si="135"/>
        <v>0</v>
      </c>
      <c r="X76" s="332">
        <f t="shared" si="103"/>
        <v>23</v>
      </c>
      <c r="Y76" s="387">
        <f t="shared" si="136"/>
        <v>23</v>
      </c>
      <c r="Z76" s="418">
        <f t="shared" si="117"/>
        <v>0.5792682926829269</v>
      </c>
      <c r="AA76" s="307">
        <v>15.2</v>
      </c>
      <c r="AB76" s="307">
        <v>8.8000000000000007</v>
      </c>
      <c r="AC76" s="295">
        <v>3</v>
      </c>
      <c r="AD76" s="325">
        <f t="shared" si="118"/>
        <v>3.9333333333333331</v>
      </c>
      <c r="AE76" s="295" t="s">
        <v>413</v>
      </c>
      <c r="AF76" s="313">
        <f t="shared" si="104"/>
        <v>0.93785320622293622</v>
      </c>
      <c r="AG76" s="313">
        <f t="shared" si="94"/>
        <v>14.255368734588631</v>
      </c>
      <c r="AH76" s="313">
        <f t="shared" si="105"/>
        <v>8.2531082147618395</v>
      </c>
      <c r="AI76" s="308">
        <f t="shared" si="119"/>
        <v>12.928553251258498</v>
      </c>
      <c r="AJ76" s="295" t="s">
        <v>413</v>
      </c>
      <c r="AK76" s="295" t="s">
        <v>413</v>
      </c>
      <c r="AL76" s="295" t="s">
        <v>413</v>
      </c>
      <c r="AM76" s="331">
        <f t="shared" si="106"/>
        <v>642.6</v>
      </c>
      <c r="AN76" s="298">
        <v>2.5500000000000002E-3</v>
      </c>
      <c r="AO76" s="332">
        <f t="shared" si="107"/>
        <v>385</v>
      </c>
      <c r="AP76" s="332">
        <f t="shared" si="108"/>
        <v>0.98175000000000012</v>
      </c>
      <c r="AQ76" s="343">
        <v>400</v>
      </c>
      <c r="AR76" s="295" t="s">
        <v>413</v>
      </c>
      <c r="AS76" s="327">
        <f t="shared" si="109"/>
        <v>399.6</v>
      </c>
      <c r="AT76" s="295" t="s">
        <v>413</v>
      </c>
      <c r="AU76" s="327">
        <v>0</v>
      </c>
      <c r="AV76" s="333">
        <f t="shared" si="110"/>
        <v>88.8</v>
      </c>
      <c r="AW76" s="327">
        <f t="shared" si="111"/>
        <v>399.6</v>
      </c>
      <c r="AX76" s="298">
        <v>1.48E-3</v>
      </c>
      <c r="AY76" s="332">
        <f t="shared" si="123"/>
        <v>385</v>
      </c>
      <c r="AZ76" s="332">
        <f t="shared" si="113"/>
        <v>0.56979999999999997</v>
      </c>
      <c r="BA76" s="266">
        <v>400</v>
      </c>
      <c r="BB76" s="335">
        <f t="shared" si="122"/>
        <v>144.79499999999999</v>
      </c>
      <c r="BC76" s="298">
        <v>0.49</v>
      </c>
      <c r="BD76" s="313">
        <f t="shared" si="137"/>
        <v>3.7900605773681768E-2</v>
      </c>
      <c r="BE76" s="298">
        <v>0.68</v>
      </c>
      <c r="BF76" s="310">
        <f>0.8*Q76/1000</f>
        <v>212.4</v>
      </c>
      <c r="BG76" s="310">
        <f>0.68*Q76/1000</f>
        <v>180.54</v>
      </c>
      <c r="BH76" s="311">
        <f t="shared" si="114"/>
        <v>196.47</v>
      </c>
      <c r="BI76" s="312">
        <v>1</v>
      </c>
      <c r="BJ76" s="360">
        <f t="shared" si="126"/>
        <v>1</v>
      </c>
      <c r="BK76" s="360">
        <f t="shared" si="127"/>
        <v>1</v>
      </c>
      <c r="BL76" s="311">
        <f t="shared" si="138"/>
        <v>196.47</v>
      </c>
      <c r="BM76" s="309">
        <f t="shared" si="96"/>
        <v>0.74</v>
      </c>
      <c r="BN76" s="309">
        <f t="shared" si="97"/>
        <v>0.95</v>
      </c>
      <c r="BO76" s="376"/>
      <c r="BP76" s="328">
        <f t="shared" si="139"/>
        <v>7.071405161920385</v>
      </c>
      <c r="BQ76" s="328">
        <f t="shared" si="128"/>
        <v>0.56979999999999997</v>
      </c>
      <c r="BR76" s="328">
        <f t="shared" si="49"/>
        <v>0.23995757437513823</v>
      </c>
      <c r="BS76" s="328">
        <f t="shared" si="140"/>
        <v>2.1141913965487391</v>
      </c>
      <c r="BT76" s="328">
        <f t="shared" si="141"/>
        <v>0.49</v>
      </c>
      <c r="BU76" s="376"/>
      <c r="BV76" s="328">
        <f t="shared" si="129"/>
        <v>0.5</v>
      </c>
      <c r="BW76" s="328">
        <f t="shared" si="130"/>
        <v>0.5357142857142857</v>
      </c>
      <c r="BX76" s="373">
        <f t="shared" si="142"/>
        <v>0.84240468272756164</v>
      </c>
      <c r="BY76" s="311">
        <f t="shared" si="131"/>
        <v>124242.36502367277</v>
      </c>
      <c r="BZ76" s="311">
        <f t="shared" si="132"/>
        <v>387691.92</v>
      </c>
      <c r="CA76" s="311">
        <f t="shared" si="143"/>
        <v>181219.73906480716</v>
      </c>
      <c r="CB76" s="307">
        <f t="shared" si="144"/>
        <v>181.21973906480716</v>
      </c>
      <c r="CC76" s="309">
        <f t="shared" si="145"/>
        <v>0.68256022246631698</v>
      </c>
      <c r="CD76" s="379">
        <f t="shared" si="133"/>
        <v>1.084153420669804</v>
      </c>
    </row>
    <row r="77" spans="1:82" x14ac:dyDescent="0.25">
      <c r="A77" s="305">
        <v>69</v>
      </c>
      <c r="B77" s="298" t="s">
        <v>99</v>
      </c>
      <c r="C77" s="298" t="s">
        <v>144</v>
      </c>
      <c r="D77" s="298" t="s">
        <v>598</v>
      </c>
      <c r="E77" s="298" t="s">
        <v>668</v>
      </c>
      <c r="F77" s="298" t="s">
        <v>485</v>
      </c>
      <c r="G77" s="311">
        <v>1800</v>
      </c>
      <c r="H77" s="311">
        <f t="shared" si="115"/>
        <v>900</v>
      </c>
      <c r="I77" s="311">
        <v>1370</v>
      </c>
      <c r="J77" s="306">
        <f t="shared" si="101"/>
        <v>2466000</v>
      </c>
      <c r="K77" s="311">
        <v>150</v>
      </c>
      <c r="L77" s="312">
        <v>1280</v>
      </c>
      <c r="M77" s="309">
        <f t="shared" si="116"/>
        <v>1.3138686131386861</v>
      </c>
      <c r="N77" s="309">
        <f t="shared" si="134"/>
        <v>0.65693430656934304</v>
      </c>
      <c r="O77" s="309">
        <f t="shared" si="124"/>
        <v>0.65693430656934304</v>
      </c>
      <c r="P77" s="331">
        <f t="shared" si="102"/>
        <v>112090.9090909091</v>
      </c>
      <c r="Q77" s="327">
        <f t="shared" si="125"/>
        <v>205500</v>
      </c>
      <c r="R77" s="309">
        <f>(BH77/Q77*1000)/((1+0.98)/2)</f>
        <v>0.54545454545454553</v>
      </c>
      <c r="S77" s="312">
        <f>G77/4</f>
        <v>450</v>
      </c>
      <c r="T77" s="312">
        <v>400</v>
      </c>
      <c r="U77" s="307" t="s">
        <v>413</v>
      </c>
      <c r="V77" s="307" t="s">
        <v>413</v>
      </c>
      <c r="W77" s="387">
        <f t="shared" si="135"/>
        <v>0</v>
      </c>
      <c r="X77" s="332">
        <f t="shared" si="103"/>
        <v>23</v>
      </c>
      <c r="Y77" s="387">
        <f t="shared" si="136"/>
        <v>23</v>
      </c>
      <c r="Z77" s="418">
        <f t="shared" si="117"/>
        <v>0.5792682926829269</v>
      </c>
      <c r="AA77" s="307">
        <v>15.2</v>
      </c>
      <c r="AB77" s="307">
        <v>8.8000000000000007</v>
      </c>
      <c r="AC77" s="295">
        <v>3</v>
      </c>
      <c r="AD77" s="325">
        <f t="shared" si="118"/>
        <v>3.9333333333333331</v>
      </c>
      <c r="AE77" s="295" t="s">
        <v>413</v>
      </c>
      <c r="AF77" s="313">
        <f t="shared" si="104"/>
        <v>0.93785320622293622</v>
      </c>
      <c r="AG77" s="313">
        <f t="shared" si="94"/>
        <v>14.255368734588631</v>
      </c>
      <c r="AH77" s="313">
        <f t="shared" si="105"/>
        <v>8.2531082147618395</v>
      </c>
      <c r="AI77" s="308">
        <f t="shared" si="119"/>
        <v>11.527068498303727</v>
      </c>
      <c r="AJ77" s="295" t="s">
        <v>413</v>
      </c>
      <c r="AK77" s="295" t="s">
        <v>413</v>
      </c>
      <c r="AL77" s="295" t="s">
        <v>413</v>
      </c>
      <c r="AM77" s="331">
        <f t="shared" si="106"/>
        <v>506.88</v>
      </c>
      <c r="AN77" s="298">
        <v>2.64E-3</v>
      </c>
      <c r="AO77" s="332">
        <f t="shared" si="107"/>
        <v>385</v>
      </c>
      <c r="AP77" s="332">
        <f t="shared" si="108"/>
        <v>1.0164</v>
      </c>
      <c r="AQ77" s="343">
        <v>400</v>
      </c>
      <c r="AR77" s="295" t="s">
        <v>413</v>
      </c>
      <c r="AS77" s="327">
        <f t="shared" si="109"/>
        <v>399.6</v>
      </c>
      <c r="AT77" s="295" t="s">
        <v>413</v>
      </c>
      <c r="AU77" s="327">
        <v>0</v>
      </c>
      <c r="AV77" s="333">
        <f t="shared" si="110"/>
        <v>88.8</v>
      </c>
      <c r="AW77" s="327">
        <f t="shared" si="111"/>
        <v>399.6</v>
      </c>
      <c r="AX77" s="298">
        <v>1.48E-3</v>
      </c>
      <c r="AY77" s="332">
        <f t="shared" si="123"/>
        <v>385</v>
      </c>
      <c r="AZ77" s="332">
        <f t="shared" si="113"/>
        <v>0.56979999999999997</v>
      </c>
      <c r="BA77" s="266">
        <v>400</v>
      </c>
      <c r="BB77" s="335">
        <f t="shared" si="122"/>
        <v>130.095</v>
      </c>
      <c r="BC77" s="298">
        <v>0.49</v>
      </c>
      <c r="BD77" s="313">
        <f t="shared" si="137"/>
        <v>4.2508639561923856E-2</v>
      </c>
      <c r="BE77" s="298">
        <v>0.67</v>
      </c>
      <c r="BF77" s="310">
        <f>0.6*Q77/1000</f>
        <v>123.3</v>
      </c>
      <c r="BG77" s="310">
        <f>0.48*Q77/1000</f>
        <v>98.64</v>
      </c>
      <c r="BH77" s="311">
        <f t="shared" si="114"/>
        <v>110.97</v>
      </c>
      <c r="BI77" s="312">
        <v>1</v>
      </c>
      <c r="BJ77" s="360">
        <f t="shared" si="126"/>
        <v>1</v>
      </c>
      <c r="BK77" s="360">
        <f t="shared" si="127"/>
        <v>1</v>
      </c>
      <c r="BL77" s="311">
        <f t="shared" si="138"/>
        <v>110.97</v>
      </c>
      <c r="BM77" s="309">
        <f t="shared" si="96"/>
        <v>0.54</v>
      </c>
      <c r="BN77" s="309">
        <f t="shared" si="97"/>
        <v>0.98999999999999977</v>
      </c>
      <c r="BO77" s="376"/>
      <c r="BP77" s="328">
        <f t="shared" si="139"/>
        <v>5.1681783767502614</v>
      </c>
      <c r="BQ77" s="328">
        <f t="shared" si="128"/>
        <v>0.56979999999999997</v>
      </c>
      <c r="BR77" s="328">
        <f t="shared" si="49"/>
        <v>0.24842666523543722</v>
      </c>
      <c r="BS77" s="328">
        <f t="shared" si="140"/>
        <v>1.3979100418331254</v>
      </c>
      <c r="BT77" s="328">
        <f t="shared" si="141"/>
        <v>0.49</v>
      </c>
      <c r="BU77" s="376"/>
      <c r="BV77" s="328">
        <f t="shared" si="129"/>
        <v>0.5</v>
      </c>
      <c r="BW77" s="328">
        <f t="shared" si="130"/>
        <v>0.703125</v>
      </c>
      <c r="BX77" s="373">
        <f t="shared" si="142"/>
        <v>0.70449438821759958</v>
      </c>
      <c r="BY77" s="311">
        <f t="shared" si="131"/>
        <v>83893.336268889558</v>
      </c>
      <c r="BZ77" s="311">
        <f t="shared" si="132"/>
        <v>295384.31999999995</v>
      </c>
      <c r="CA77" s="311">
        <f t="shared" si="143"/>
        <v>130373.90124123287</v>
      </c>
      <c r="CB77" s="307">
        <f t="shared" si="144"/>
        <v>130.37390124123289</v>
      </c>
      <c r="CC77" s="309">
        <f t="shared" si="145"/>
        <v>0.63442287708629141</v>
      </c>
      <c r="CD77" s="379">
        <f t="shared" si="133"/>
        <v>0.85116728841818157</v>
      </c>
    </row>
    <row r="78" spans="1:82" x14ac:dyDescent="0.25">
      <c r="A78" s="305">
        <v>70</v>
      </c>
      <c r="B78" s="298" t="s">
        <v>99</v>
      </c>
      <c r="C78" s="298" t="s">
        <v>145</v>
      </c>
      <c r="D78" s="298" t="s">
        <v>598</v>
      </c>
      <c r="E78" s="298" t="s">
        <v>668</v>
      </c>
      <c r="F78" s="298" t="s">
        <v>485</v>
      </c>
      <c r="G78" s="311">
        <v>1800</v>
      </c>
      <c r="H78" s="311">
        <f t="shared" si="115"/>
        <v>900</v>
      </c>
      <c r="I78" s="311">
        <v>970</v>
      </c>
      <c r="J78" s="306">
        <f t="shared" si="101"/>
        <v>1746000</v>
      </c>
      <c r="K78" s="311">
        <v>150</v>
      </c>
      <c r="L78" s="312">
        <v>880</v>
      </c>
      <c r="M78" s="309">
        <f t="shared" si="116"/>
        <v>1.8556701030927836</v>
      </c>
      <c r="N78" s="309">
        <f t="shared" si="134"/>
        <v>0.92783505154639179</v>
      </c>
      <c r="O78" s="309">
        <f t="shared" si="124"/>
        <v>0.92783505154639179</v>
      </c>
      <c r="P78" s="331">
        <f t="shared" si="102"/>
        <v>106897.95918367348</v>
      </c>
      <c r="Q78" s="327">
        <f t="shared" si="125"/>
        <v>145500</v>
      </c>
      <c r="R78" s="309">
        <f>(BH78/Q78*1000)/((0.82+0.65)/2)</f>
        <v>0.73469387755102045</v>
      </c>
      <c r="S78" s="312">
        <f>G78/3</f>
        <v>600</v>
      </c>
      <c r="T78" s="312">
        <v>400</v>
      </c>
      <c r="U78" s="307" t="s">
        <v>413</v>
      </c>
      <c r="V78" s="307" t="s">
        <v>413</v>
      </c>
      <c r="W78" s="387">
        <f t="shared" si="135"/>
        <v>0</v>
      </c>
      <c r="X78" s="332">
        <f t="shared" si="103"/>
        <v>23</v>
      </c>
      <c r="Y78" s="387">
        <f t="shared" si="136"/>
        <v>23</v>
      </c>
      <c r="Z78" s="418">
        <f t="shared" si="117"/>
        <v>0.5792682926829269</v>
      </c>
      <c r="AA78" s="307">
        <v>15.2</v>
      </c>
      <c r="AB78" s="307">
        <v>8.8000000000000007</v>
      </c>
      <c r="AC78" s="295">
        <v>3</v>
      </c>
      <c r="AD78" s="325">
        <f t="shared" si="118"/>
        <v>3.9333333333333331</v>
      </c>
      <c r="AE78" s="295" t="s">
        <v>413</v>
      </c>
      <c r="AF78" s="313">
        <f t="shared" si="104"/>
        <v>0.93785320622293622</v>
      </c>
      <c r="AG78" s="313">
        <f t="shared" si="94"/>
        <v>14.255368734588631</v>
      </c>
      <c r="AH78" s="313">
        <f t="shared" si="105"/>
        <v>8.2531082147618395</v>
      </c>
      <c r="AI78" s="308">
        <f t="shared" si="119"/>
        <v>12.662932270144788</v>
      </c>
      <c r="AJ78" s="295" t="s">
        <v>413</v>
      </c>
      <c r="AK78" s="295" t="s">
        <v>413</v>
      </c>
      <c r="AL78" s="295" t="s">
        <v>413</v>
      </c>
      <c r="AM78" s="331">
        <f t="shared" si="106"/>
        <v>386.76</v>
      </c>
      <c r="AN78" s="298">
        <v>2.9299999999999999E-3</v>
      </c>
      <c r="AO78" s="332">
        <f t="shared" si="107"/>
        <v>385</v>
      </c>
      <c r="AP78" s="332">
        <f t="shared" si="108"/>
        <v>1.12805</v>
      </c>
      <c r="AQ78" s="343">
        <v>400</v>
      </c>
      <c r="AR78" s="295" t="s">
        <v>413</v>
      </c>
      <c r="AS78" s="327">
        <f t="shared" si="109"/>
        <v>399.6</v>
      </c>
      <c r="AT78" s="295" t="s">
        <v>413</v>
      </c>
      <c r="AU78" s="327">
        <v>0</v>
      </c>
      <c r="AV78" s="333">
        <f t="shared" si="110"/>
        <v>88.8</v>
      </c>
      <c r="AW78" s="327">
        <f t="shared" si="111"/>
        <v>399.6</v>
      </c>
      <c r="AX78" s="298">
        <v>1.48E-3</v>
      </c>
      <c r="AY78" s="332">
        <f t="shared" si="123"/>
        <v>385</v>
      </c>
      <c r="AZ78" s="332">
        <f t="shared" si="113"/>
        <v>0.56979999999999997</v>
      </c>
      <c r="BA78" s="266">
        <v>400</v>
      </c>
      <c r="BB78" s="335">
        <f t="shared" si="122"/>
        <v>100.69499999999999</v>
      </c>
      <c r="BC78" s="298">
        <v>0.49</v>
      </c>
      <c r="BD78" s="313">
        <f t="shared" si="137"/>
        <v>3.8695618798756895E-2</v>
      </c>
      <c r="BE78" s="298">
        <v>0.67</v>
      </c>
      <c r="BF78" s="310">
        <f>0.6*Q78/1000</f>
        <v>87.3</v>
      </c>
      <c r="BG78" s="310">
        <f>0.48*Q78/1000</f>
        <v>69.84</v>
      </c>
      <c r="BH78" s="311">
        <f t="shared" si="114"/>
        <v>78.569999999999993</v>
      </c>
      <c r="BI78" s="312">
        <v>1</v>
      </c>
      <c r="BJ78" s="360">
        <f t="shared" si="126"/>
        <v>1</v>
      </c>
      <c r="BK78" s="360">
        <f t="shared" si="127"/>
        <v>1</v>
      </c>
      <c r="BL78" s="311">
        <f t="shared" si="138"/>
        <v>78.569999999999993</v>
      </c>
      <c r="BM78" s="309">
        <f t="shared" si="96"/>
        <v>0.54</v>
      </c>
      <c r="BN78" s="309">
        <f t="shared" si="97"/>
        <v>0.73499999999999988</v>
      </c>
      <c r="BO78" s="376"/>
      <c r="BP78" s="328">
        <f t="shared" si="139"/>
        <v>3.8352737396435019</v>
      </c>
      <c r="BQ78" s="328">
        <f t="shared" si="128"/>
        <v>0.56979999999999997</v>
      </c>
      <c r="BR78" s="328">
        <f t="shared" si="49"/>
        <v>0.27571595800751175</v>
      </c>
      <c r="BS78" s="328">
        <f t="shared" si="140"/>
        <v>1.9734893414938877</v>
      </c>
      <c r="BT78" s="328">
        <f t="shared" si="141"/>
        <v>0.49</v>
      </c>
      <c r="BU78" s="376"/>
      <c r="BV78" s="328">
        <f t="shared" si="129"/>
        <v>0.5</v>
      </c>
      <c r="BW78" s="328">
        <f t="shared" si="130"/>
        <v>1</v>
      </c>
      <c r="BX78" s="373">
        <f t="shared" si="142"/>
        <v>0.56936022526666419</v>
      </c>
      <c r="BY78" s="311">
        <f t="shared" si="131"/>
        <v>50164.649867599837</v>
      </c>
      <c r="BZ78" s="311">
        <f t="shared" si="132"/>
        <v>203076.71999999997</v>
      </c>
      <c r="CA78" s="311">
        <f t="shared" si="143"/>
        <v>93944.437168999604</v>
      </c>
      <c r="CB78" s="307">
        <f t="shared" si="144"/>
        <v>93.944437168999599</v>
      </c>
      <c r="CC78" s="309">
        <f t="shared" si="145"/>
        <v>0.64566623483848518</v>
      </c>
      <c r="CD78" s="379">
        <f t="shared" si="133"/>
        <v>0.83634542254649902</v>
      </c>
    </row>
    <row r="79" spans="1:82" x14ac:dyDescent="0.25">
      <c r="A79" s="315">
        <v>71</v>
      </c>
      <c r="B79" s="315" t="s">
        <v>99</v>
      </c>
      <c r="C79" s="315" t="s">
        <v>146</v>
      </c>
      <c r="D79" s="315" t="s">
        <v>598</v>
      </c>
      <c r="E79" s="315" t="s">
        <v>668</v>
      </c>
      <c r="F79" s="315" t="s">
        <v>485</v>
      </c>
      <c r="G79" s="321">
        <v>1800</v>
      </c>
      <c r="H79" s="321">
        <f t="shared" si="115"/>
        <v>900</v>
      </c>
      <c r="I79" s="321">
        <v>970</v>
      </c>
      <c r="J79" s="316">
        <f t="shared" si="101"/>
        <v>1746000</v>
      </c>
      <c r="K79" s="321">
        <v>150</v>
      </c>
      <c r="L79" s="322">
        <v>880</v>
      </c>
      <c r="M79" s="319">
        <f t="shared" si="116"/>
        <v>1.8556701030927836</v>
      </c>
      <c r="N79" s="319">
        <f t="shared" si="134"/>
        <v>0.92783505154639179</v>
      </c>
      <c r="O79" s="319">
        <f t="shared" si="124"/>
        <v>0.92783505154639179</v>
      </c>
      <c r="P79" s="337">
        <f t="shared" si="102"/>
        <v>106439.59731543624</v>
      </c>
      <c r="Q79" s="329">
        <f t="shared" si="125"/>
        <v>145500</v>
      </c>
      <c r="R79" s="319">
        <f>(BH79/Q79*1000)/((0.85+0.64)/2)</f>
        <v>0.73154362416107388</v>
      </c>
      <c r="S79" s="322">
        <f>G79/3</f>
        <v>600</v>
      </c>
      <c r="T79" s="322">
        <v>400</v>
      </c>
      <c r="U79" s="317" t="s">
        <v>413</v>
      </c>
      <c r="V79" s="317" t="s">
        <v>413</v>
      </c>
      <c r="W79" s="387">
        <f t="shared" si="135"/>
        <v>0</v>
      </c>
      <c r="X79" s="293">
        <f t="shared" si="103"/>
        <v>23</v>
      </c>
      <c r="Y79" s="387">
        <f t="shared" si="136"/>
        <v>23</v>
      </c>
      <c r="Z79" s="419">
        <f t="shared" si="117"/>
        <v>0.5792682926829269</v>
      </c>
      <c r="AA79" s="317">
        <v>15.2</v>
      </c>
      <c r="AB79" s="317">
        <v>8.8000000000000007</v>
      </c>
      <c r="AC79" s="294">
        <v>3</v>
      </c>
      <c r="AD79" s="326">
        <f t="shared" si="118"/>
        <v>3.9333333333333331</v>
      </c>
      <c r="AE79" s="294" t="s">
        <v>413</v>
      </c>
      <c r="AF79" s="324">
        <f t="shared" si="104"/>
        <v>0.93785320622293622</v>
      </c>
      <c r="AG79" s="324">
        <f t="shared" si="94"/>
        <v>14.255368734588631</v>
      </c>
      <c r="AH79" s="313">
        <f t="shared" si="105"/>
        <v>8.2531082147618395</v>
      </c>
      <c r="AI79" s="318">
        <f t="shared" si="119"/>
        <v>12.64402362859486</v>
      </c>
      <c r="AJ79" s="294" t="s">
        <v>413</v>
      </c>
      <c r="AK79" s="294" t="s">
        <v>413</v>
      </c>
      <c r="AL79" s="294" t="s">
        <v>413</v>
      </c>
      <c r="AM79" s="337">
        <f t="shared" si="106"/>
        <v>386.76</v>
      </c>
      <c r="AN79" s="315">
        <v>2.9299999999999999E-3</v>
      </c>
      <c r="AO79" s="293">
        <f t="shared" si="107"/>
        <v>385</v>
      </c>
      <c r="AP79" s="293">
        <f t="shared" si="108"/>
        <v>1.12805</v>
      </c>
      <c r="AQ79" s="341">
        <v>400</v>
      </c>
      <c r="AR79" s="294" t="s">
        <v>413</v>
      </c>
      <c r="AS79" s="329">
        <f t="shared" si="109"/>
        <v>399.6</v>
      </c>
      <c r="AT79" s="294" t="s">
        <v>413</v>
      </c>
      <c r="AU79" s="329">
        <v>0</v>
      </c>
      <c r="AV79" s="338">
        <f t="shared" si="110"/>
        <v>88.8</v>
      </c>
      <c r="AW79" s="329">
        <f t="shared" si="111"/>
        <v>399.6</v>
      </c>
      <c r="AX79" s="315">
        <v>1.48E-3</v>
      </c>
      <c r="AY79" s="293">
        <f t="shared" si="123"/>
        <v>385</v>
      </c>
      <c r="AZ79" s="293">
        <f t="shared" si="113"/>
        <v>0.56979999999999997</v>
      </c>
      <c r="BA79" s="269">
        <v>400</v>
      </c>
      <c r="BB79" s="339">
        <f t="shared" si="122"/>
        <v>71.295000000000002</v>
      </c>
      <c r="BC79" s="315">
        <v>0.49</v>
      </c>
      <c r="BD79" s="324">
        <f t="shared" si="137"/>
        <v>3.8753486579370944E-2</v>
      </c>
      <c r="BE79" s="315">
        <v>0.67</v>
      </c>
      <c r="BF79" s="320">
        <f>0.62*Q79/1000</f>
        <v>90.21</v>
      </c>
      <c r="BG79" s="320">
        <f>0.47*Q79/1000</f>
        <v>68.385000000000005</v>
      </c>
      <c r="BH79" s="321">
        <f t="shared" si="114"/>
        <v>79.297499999999999</v>
      </c>
      <c r="BI79" s="322">
        <v>1</v>
      </c>
      <c r="BJ79" s="315">
        <f t="shared" si="126"/>
        <v>1</v>
      </c>
      <c r="BK79" s="315">
        <f t="shared" si="127"/>
        <v>1</v>
      </c>
      <c r="BL79" s="321">
        <f t="shared" si="138"/>
        <v>79.297499999999999</v>
      </c>
      <c r="BM79" s="319">
        <f t="shared" si="96"/>
        <v>0.54500000000000004</v>
      </c>
      <c r="BN79" s="319">
        <f t="shared" si="97"/>
        <v>0.745</v>
      </c>
      <c r="BO79" s="376"/>
      <c r="BP79" s="330">
        <f t="shared" si="139"/>
        <v>3.8324092013508482</v>
      </c>
      <c r="BQ79" s="330">
        <f t="shared" si="128"/>
        <v>0.56979999999999997</v>
      </c>
      <c r="BR79" s="330">
        <f t="shared" ref="BR79:BR142" si="146">IF(X79="-",G79*SQRT(0*(AP79/AN79)),IF(AN79=0,0,AN79*SQRT(X79*(AP79/AN79))))</f>
        <v>0.27571595800751175</v>
      </c>
      <c r="BS79" s="330">
        <f t="shared" si="140"/>
        <v>1.9635596605660981</v>
      </c>
      <c r="BT79" s="330">
        <f t="shared" si="141"/>
        <v>0.49</v>
      </c>
      <c r="BU79" s="376"/>
      <c r="BV79" s="328">
        <f t="shared" si="129"/>
        <v>0.5</v>
      </c>
      <c r="BW79" s="328">
        <f t="shared" si="130"/>
        <v>1</v>
      </c>
      <c r="BX79" s="373">
        <f t="shared" si="142"/>
        <v>0.56893497422115691</v>
      </c>
      <c r="BY79" s="311">
        <f t="shared" si="131"/>
        <v>46461.583298596357</v>
      </c>
      <c r="BZ79" s="311">
        <f t="shared" si="132"/>
        <v>203076.71999999997</v>
      </c>
      <c r="CA79" s="311">
        <f t="shared" si="143"/>
        <v>93874.270746490874</v>
      </c>
      <c r="CB79" s="307">
        <f t="shared" si="144"/>
        <v>93.874270746490879</v>
      </c>
      <c r="CC79" s="309">
        <f t="shared" si="145"/>
        <v>0.64518399138481708</v>
      </c>
      <c r="CD79" s="379">
        <f t="shared" si="133"/>
        <v>0.84472027712624576</v>
      </c>
    </row>
    <row r="80" spans="1:82" x14ac:dyDescent="0.25">
      <c r="A80" s="305">
        <v>72</v>
      </c>
      <c r="B80" s="298" t="s">
        <v>619</v>
      </c>
      <c r="C80" s="298" t="s">
        <v>655</v>
      </c>
      <c r="D80" s="298" t="s">
        <v>598</v>
      </c>
      <c r="E80" s="298" t="s">
        <v>668</v>
      </c>
      <c r="F80" s="298" t="s">
        <v>484</v>
      </c>
      <c r="G80" s="311">
        <v>760</v>
      </c>
      <c r="H80" s="311">
        <f t="shared" si="90"/>
        <v>760</v>
      </c>
      <c r="I80" s="311">
        <v>610</v>
      </c>
      <c r="J80" s="306">
        <f t="shared" si="91"/>
        <v>463600</v>
      </c>
      <c r="K80" s="311">
        <v>100</v>
      </c>
      <c r="L80" s="327">
        <f t="shared" si="92"/>
        <v>488</v>
      </c>
      <c r="M80" s="309">
        <f t="shared" si="93"/>
        <v>1.2459016393442623</v>
      </c>
      <c r="N80" s="309">
        <f t="shared" si="134"/>
        <v>1.2459016393442623</v>
      </c>
      <c r="O80" s="309">
        <f t="shared" si="124"/>
        <v>1.2459016393442623</v>
      </c>
      <c r="P80" s="306">
        <f t="shared" ref="P80:P89" si="147">(2*200/2*K80)+(I80-2*200/2)*(20)*2</f>
        <v>36400</v>
      </c>
      <c r="Q80" s="306">
        <f t="shared" si="125"/>
        <v>61000</v>
      </c>
      <c r="R80" s="309">
        <f t="shared" ref="R80:R111" si="148">P80/Q80</f>
        <v>0.59672131147540985</v>
      </c>
      <c r="S80" s="312">
        <f>I80-100</f>
        <v>510</v>
      </c>
      <c r="T80" s="368">
        <f>G80</f>
        <v>760</v>
      </c>
      <c r="U80" s="310">
        <v>17.399999999999999</v>
      </c>
      <c r="V80" s="310">
        <v>9.3000000000000007</v>
      </c>
      <c r="W80" s="387">
        <f t="shared" si="135"/>
        <v>9.3000000000000007</v>
      </c>
      <c r="X80" s="306">
        <v>9.3000000000000007</v>
      </c>
      <c r="Y80" s="387">
        <f t="shared" si="136"/>
        <v>9.3000000000000007</v>
      </c>
      <c r="Z80" s="432">
        <v>0.52900000000000003</v>
      </c>
      <c r="AA80" s="426">
        <f t="shared" ref="AA80:AA89" si="149">(K80^-0.221)*((1-Z80)^0.0818)*(U80^-0.425)*((V80+U80)^1.01)*((X80+U80)^0.312)</f>
        <v>7.760104456469163</v>
      </c>
      <c r="AB80" s="426">
        <f t="shared" ref="AB80:AB89" si="150">(Z80^0.636)*(U80^0.688)*(V80^0.317)</f>
        <v>9.6521660563341651</v>
      </c>
      <c r="AC80" s="310" t="s">
        <v>413</v>
      </c>
      <c r="AD80" s="325" t="s">
        <v>413</v>
      </c>
      <c r="AE80" s="312" t="s">
        <v>413</v>
      </c>
      <c r="AF80" s="327">
        <v>1</v>
      </c>
      <c r="AG80" s="413">
        <f t="shared" ref="AG80:AG89" si="151">AF80*AA80</f>
        <v>7.760104456469163</v>
      </c>
      <c r="AH80" s="413">
        <f t="shared" ref="AH80:AH89" si="152">AF80*AB80</f>
        <v>9.6521660563341651</v>
      </c>
      <c r="AI80" s="308">
        <f t="shared" ref="AI80:AI89" si="153">((2*390/2)*AG80+(I80-2*390/2)*AH80)/I80</f>
        <v>8.4424873285516231</v>
      </c>
      <c r="AJ80" s="312" t="s">
        <v>413</v>
      </c>
      <c r="AK80" s="298" t="s">
        <v>738</v>
      </c>
      <c r="AL80" s="311">
        <f>PI()*(10^2)/4</f>
        <v>78.539816339744831</v>
      </c>
      <c r="AM80" s="311">
        <f>2*AL80</f>
        <v>157.07963267948966</v>
      </c>
      <c r="AN80" s="306">
        <f t="shared" ref="AN80:AN105" si="154">AM80/K80/L80</f>
        <v>3.218844931956755E-3</v>
      </c>
      <c r="AO80" s="298">
        <v>522</v>
      </c>
      <c r="AP80" s="313">
        <f t="shared" si="108"/>
        <v>1.6802370544814262</v>
      </c>
      <c r="AQ80" s="298">
        <v>510</v>
      </c>
      <c r="AR80" s="312" t="s">
        <v>413</v>
      </c>
      <c r="AS80" s="298">
        <v>0</v>
      </c>
      <c r="AT80" s="312" t="s">
        <v>413</v>
      </c>
      <c r="AU80" s="298">
        <v>0</v>
      </c>
      <c r="AV80" s="360">
        <v>0</v>
      </c>
      <c r="AW80" s="311">
        <f>AU80+AS80</f>
        <v>0</v>
      </c>
      <c r="AX80" s="306">
        <v>0</v>
      </c>
      <c r="AY80" s="298">
        <v>0</v>
      </c>
      <c r="AZ80" s="306">
        <f t="shared" si="113"/>
        <v>0</v>
      </c>
      <c r="BA80" s="298">
        <v>0</v>
      </c>
      <c r="BB80" s="298">
        <v>60</v>
      </c>
      <c r="BC80" s="309">
        <f t="shared" ref="BC80:BC89" si="155">BB80/Q80*1000</f>
        <v>0.98360655737704916</v>
      </c>
      <c r="BD80" s="327">
        <f t="shared" si="137"/>
        <v>0.11650672593260437</v>
      </c>
      <c r="BE80" s="309">
        <f t="shared" ref="BE80:BE89" si="156">BB80/P80*1000</f>
        <v>1.6483516483516483</v>
      </c>
      <c r="BF80" s="298" t="s">
        <v>413</v>
      </c>
      <c r="BG80" s="298">
        <v>32.89</v>
      </c>
      <c r="BH80" s="311">
        <f t="shared" ref="BH80:BH105" si="157">BG80</f>
        <v>32.89</v>
      </c>
      <c r="BI80" s="373">
        <v>0.94430000000000003</v>
      </c>
      <c r="BJ80" s="360">
        <f t="shared" si="126"/>
        <v>1</v>
      </c>
      <c r="BK80" s="360">
        <f t="shared" si="127"/>
        <v>1</v>
      </c>
      <c r="BL80" s="311">
        <f t="shared" si="138"/>
        <v>31.058027000000003</v>
      </c>
      <c r="BM80" s="309">
        <f t="shared" si="96"/>
        <v>0.50914798360655744</v>
      </c>
      <c r="BN80" s="309">
        <f t="shared" si="97"/>
        <v>0.85324250000000013</v>
      </c>
      <c r="BO80" s="376"/>
      <c r="BP80" s="328">
        <f t="shared" si="139"/>
        <v>2.3321229966104604</v>
      </c>
      <c r="BQ80" s="328">
        <f t="shared" si="128"/>
        <v>0</v>
      </c>
      <c r="BR80" s="328">
        <f t="shared" si="146"/>
        <v>0.22427289070220327</v>
      </c>
      <c r="BS80" s="328">
        <f t="shared" si="140"/>
        <v>0</v>
      </c>
      <c r="BT80" s="328">
        <f t="shared" si="141"/>
        <v>0.98360655737704916</v>
      </c>
      <c r="BU80" s="376"/>
      <c r="BV80" s="328">
        <f t="shared" si="129"/>
        <v>0.5</v>
      </c>
      <c r="BW80" s="328">
        <f t="shared" si="130"/>
        <v>1</v>
      </c>
      <c r="BX80" s="373">
        <f t="shared" si="142"/>
        <v>0.46489533834070818</v>
      </c>
      <c r="BY80" s="311">
        <f t="shared" si="131"/>
        <v>18843.446255513278</v>
      </c>
      <c r="BZ80" s="311">
        <f t="shared" si="132"/>
        <v>0</v>
      </c>
      <c r="CA80" s="311">
        <f t="shared" si="143"/>
        <v>28358.615638783198</v>
      </c>
      <c r="CB80" s="307">
        <f t="shared" si="144"/>
        <v>18.843446255513278</v>
      </c>
      <c r="CC80" s="309">
        <f t="shared" si="145"/>
        <v>0.30890895500841442</v>
      </c>
      <c r="CD80" s="379">
        <f t="shared" si="133"/>
        <v>1.648213738551829</v>
      </c>
    </row>
    <row r="81" spans="1:82" x14ac:dyDescent="0.25">
      <c r="A81" s="305">
        <v>73</v>
      </c>
      <c r="B81" s="298" t="s">
        <v>619</v>
      </c>
      <c r="C81" s="298" t="s">
        <v>656</v>
      </c>
      <c r="D81" s="298" t="s">
        <v>598</v>
      </c>
      <c r="E81" s="298" t="s">
        <v>668</v>
      </c>
      <c r="F81" s="298" t="s">
        <v>484</v>
      </c>
      <c r="G81" s="311">
        <v>760</v>
      </c>
      <c r="H81" s="311">
        <f t="shared" si="90"/>
        <v>760</v>
      </c>
      <c r="I81" s="311">
        <v>610</v>
      </c>
      <c r="J81" s="306">
        <f t="shared" si="91"/>
        <v>463600</v>
      </c>
      <c r="K81" s="311">
        <v>100</v>
      </c>
      <c r="L81" s="327">
        <f t="shared" si="92"/>
        <v>488</v>
      </c>
      <c r="M81" s="309">
        <f t="shared" si="93"/>
        <v>1.2459016393442623</v>
      </c>
      <c r="N81" s="309">
        <f t="shared" si="134"/>
        <v>1.2459016393442623</v>
      </c>
      <c r="O81" s="309">
        <f t="shared" si="124"/>
        <v>1.2459016393442623</v>
      </c>
      <c r="P81" s="306">
        <f t="shared" si="147"/>
        <v>36400</v>
      </c>
      <c r="Q81" s="306">
        <f t="shared" si="125"/>
        <v>61000</v>
      </c>
      <c r="R81" s="309">
        <f t="shared" si="148"/>
        <v>0.59672131147540985</v>
      </c>
      <c r="S81" s="312">
        <f t="shared" ref="S81:S89" si="158">I81-100</f>
        <v>510</v>
      </c>
      <c r="T81" s="312">
        <f t="shared" ref="T81:T89" si="159">G81</f>
        <v>760</v>
      </c>
      <c r="U81" s="310">
        <v>17.399999999999999</v>
      </c>
      <c r="V81" s="310">
        <v>9.3000000000000007</v>
      </c>
      <c r="W81" s="387">
        <f t="shared" si="135"/>
        <v>9.3000000000000007</v>
      </c>
      <c r="X81" s="306">
        <v>9.3000000000000007</v>
      </c>
      <c r="Y81" s="387">
        <f t="shared" si="136"/>
        <v>9.3000000000000007</v>
      </c>
      <c r="Z81" s="418">
        <v>0.52900000000000003</v>
      </c>
      <c r="AA81" s="366">
        <f t="shared" si="149"/>
        <v>7.760104456469163</v>
      </c>
      <c r="AB81" s="366">
        <f t="shared" si="150"/>
        <v>9.6521660563341651</v>
      </c>
      <c r="AC81" s="310" t="s">
        <v>413</v>
      </c>
      <c r="AD81" s="325" t="s">
        <v>413</v>
      </c>
      <c r="AE81" s="312" t="s">
        <v>413</v>
      </c>
      <c r="AF81" s="327">
        <v>1</v>
      </c>
      <c r="AG81" s="313">
        <f t="shared" si="151"/>
        <v>7.760104456469163</v>
      </c>
      <c r="AH81" s="313">
        <f t="shared" si="152"/>
        <v>9.6521660563341651</v>
      </c>
      <c r="AI81" s="308">
        <f t="shared" si="153"/>
        <v>8.4424873285516231</v>
      </c>
      <c r="AJ81" s="312" t="s">
        <v>413</v>
      </c>
      <c r="AK81" s="298" t="s">
        <v>738</v>
      </c>
      <c r="AL81" s="311">
        <f t="shared" ref="AL81:AL89" si="160">PI()*(10^2)/4</f>
        <v>78.539816339744831</v>
      </c>
      <c r="AM81" s="311">
        <f t="shared" ref="AM81:AM84" si="161">2*AL81</f>
        <v>157.07963267948966</v>
      </c>
      <c r="AN81" s="306">
        <f t="shared" si="154"/>
        <v>3.218844931956755E-3</v>
      </c>
      <c r="AO81" s="298">
        <v>522</v>
      </c>
      <c r="AP81" s="313">
        <f t="shared" si="108"/>
        <v>1.6802370544814262</v>
      </c>
      <c r="AQ81" s="298">
        <v>510</v>
      </c>
      <c r="AR81" s="312" t="s">
        <v>413</v>
      </c>
      <c r="AS81" s="298">
        <v>0</v>
      </c>
      <c r="AT81" s="298" t="s">
        <v>740</v>
      </c>
      <c r="AU81" s="311">
        <f>2*PI()*3.1^2/4</f>
        <v>15.095352700498958</v>
      </c>
      <c r="AV81" s="311">
        <f>PI()*3.1^2/4</f>
        <v>7.5476763502494792</v>
      </c>
      <c r="AW81" s="311">
        <f t="shared" ref="AW81:AW105" si="162">AU81+AS81</f>
        <v>15.095352700498958</v>
      </c>
      <c r="AX81" s="306">
        <f>AV81/BA81/K81</f>
        <v>7.5476763502494793E-4</v>
      </c>
      <c r="AY81" s="298">
        <v>323</v>
      </c>
      <c r="AZ81" s="306">
        <f>AX81*AY81</f>
        <v>0.24378994611305818</v>
      </c>
      <c r="BA81" s="298">
        <v>100</v>
      </c>
      <c r="BB81" s="298">
        <v>60</v>
      </c>
      <c r="BC81" s="309">
        <f t="shared" si="155"/>
        <v>0.98360655737704916</v>
      </c>
      <c r="BD81" s="327">
        <f t="shared" si="137"/>
        <v>0.11650672593260437</v>
      </c>
      <c r="BE81" s="309">
        <f t="shared" si="156"/>
        <v>1.6483516483516483</v>
      </c>
      <c r="BF81" s="298" t="s">
        <v>413</v>
      </c>
      <c r="BG81" s="298">
        <v>40.68</v>
      </c>
      <c r="BH81" s="311">
        <f t="shared" si="157"/>
        <v>40.68</v>
      </c>
      <c r="BI81" s="373">
        <v>0.94430000000000003</v>
      </c>
      <c r="BJ81" s="360">
        <f t="shared" si="126"/>
        <v>1</v>
      </c>
      <c r="BK81" s="360">
        <f t="shared" si="127"/>
        <v>1</v>
      </c>
      <c r="BL81" s="311">
        <f t="shared" si="138"/>
        <v>38.414124000000001</v>
      </c>
      <c r="BM81" s="309">
        <f t="shared" si="96"/>
        <v>0.62973973770491798</v>
      </c>
      <c r="BN81" s="309">
        <f t="shared" si="97"/>
        <v>1.0553330769230769</v>
      </c>
      <c r="BO81" s="376"/>
      <c r="BP81" s="328">
        <f t="shared" si="139"/>
        <v>2.3321229966104604</v>
      </c>
      <c r="BQ81" s="328">
        <f t="shared" si="128"/>
        <v>0.24378994611305818</v>
      </c>
      <c r="BR81" s="328">
        <f t="shared" si="146"/>
        <v>0.22427289070220327</v>
      </c>
      <c r="BS81" s="328">
        <f t="shared" si="140"/>
        <v>0.51364835718794732</v>
      </c>
      <c r="BT81" s="328">
        <f t="shared" si="141"/>
        <v>0.98360655737704916</v>
      </c>
      <c r="BU81" s="376"/>
      <c r="BV81" s="328">
        <f t="shared" si="129"/>
        <v>0.5</v>
      </c>
      <c r="BW81" s="328">
        <f t="shared" si="130"/>
        <v>1</v>
      </c>
      <c r="BX81" s="373">
        <f t="shared" si="142"/>
        <v>0.46489533834070818</v>
      </c>
      <c r="BY81" s="311">
        <f t="shared" si="131"/>
        <v>18843.446255513278</v>
      </c>
      <c r="BZ81" s="311">
        <f t="shared" si="132"/>
        <v>14276.339244380686</v>
      </c>
      <c r="CA81" s="311">
        <f t="shared" si="143"/>
        <v>28358.615638783198</v>
      </c>
      <c r="CB81" s="307">
        <f t="shared" si="144"/>
        <v>28.358615638783199</v>
      </c>
      <c r="CC81" s="309">
        <f t="shared" si="145"/>
        <v>0.46489533834070823</v>
      </c>
      <c r="CD81" s="379">
        <f t="shared" si="133"/>
        <v>1.3545838939847581</v>
      </c>
    </row>
    <row r="82" spans="1:82" x14ac:dyDescent="0.25">
      <c r="A82" s="305">
        <v>74</v>
      </c>
      <c r="B82" s="298" t="s">
        <v>619</v>
      </c>
      <c r="C82" s="298" t="s">
        <v>657</v>
      </c>
      <c r="D82" s="298" t="s">
        <v>598</v>
      </c>
      <c r="E82" s="298" t="s">
        <v>668</v>
      </c>
      <c r="F82" s="298" t="s">
        <v>484</v>
      </c>
      <c r="G82" s="311">
        <v>760</v>
      </c>
      <c r="H82" s="311">
        <f t="shared" si="90"/>
        <v>760</v>
      </c>
      <c r="I82" s="311">
        <v>610</v>
      </c>
      <c r="J82" s="306">
        <f t="shared" si="91"/>
        <v>463600</v>
      </c>
      <c r="K82" s="311">
        <v>100</v>
      </c>
      <c r="L82" s="327">
        <f t="shared" si="92"/>
        <v>488</v>
      </c>
      <c r="M82" s="309">
        <f t="shared" si="93"/>
        <v>1.2459016393442623</v>
      </c>
      <c r="N82" s="309">
        <f t="shared" si="134"/>
        <v>1.2459016393442623</v>
      </c>
      <c r="O82" s="309">
        <f t="shared" si="124"/>
        <v>1.2459016393442623</v>
      </c>
      <c r="P82" s="306">
        <f t="shared" si="147"/>
        <v>36400</v>
      </c>
      <c r="Q82" s="306">
        <f t="shared" si="125"/>
        <v>61000</v>
      </c>
      <c r="R82" s="309">
        <f t="shared" si="148"/>
        <v>0.59672131147540985</v>
      </c>
      <c r="S82" s="312">
        <f t="shared" si="158"/>
        <v>510</v>
      </c>
      <c r="T82" s="312">
        <f t="shared" si="159"/>
        <v>760</v>
      </c>
      <c r="U82" s="310">
        <v>17.399999999999999</v>
      </c>
      <c r="V82" s="310">
        <v>9.3000000000000007</v>
      </c>
      <c r="W82" s="387">
        <f t="shared" si="135"/>
        <v>9.3000000000000007</v>
      </c>
      <c r="X82" s="306">
        <v>9.3000000000000007</v>
      </c>
      <c r="Y82" s="387">
        <f t="shared" si="136"/>
        <v>9.3000000000000007</v>
      </c>
      <c r="Z82" s="418">
        <v>0.52900000000000003</v>
      </c>
      <c r="AA82" s="366">
        <f t="shared" si="149"/>
        <v>7.760104456469163</v>
      </c>
      <c r="AB82" s="366">
        <f t="shared" si="150"/>
        <v>9.6521660563341651</v>
      </c>
      <c r="AC82" s="310" t="s">
        <v>413</v>
      </c>
      <c r="AD82" s="325" t="s">
        <v>413</v>
      </c>
      <c r="AE82" s="312" t="s">
        <v>413</v>
      </c>
      <c r="AF82" s="327">
        <v>1</v>
      </c>
      <c r="AG82" s="313">
        <f t="shared" si="151"/>
        <v>7.760104456469163</v>
      </c>
      <c r="AH82" s="313">
        <f t="shared" si="152"/>
        <v>9.6521660563341651</v>
      </c>
      <c r="AI82" s="308">
        <f t="shared" si="153"/>
        <v>8.4424873285516231</v>
      </c>
      <c r="AJ82" s="312" t="s">
        <v>413</v>
      </c>
      <c r="AK82" s="298" t="s">
        <v>738</v>
      </c>
      <c r="AL82" s="311">
        <f t="shared" si="160"/>
        <v>78.539816339744831</v>
      </c>
      <c r="AM82" s="311">
        <f t="shared" si="161"/>
        <v>157.07963267948966</v>
      </c>
      <c r="AN82" s="306">
        <f t="shared" si="154"/>
        <v>3.218844931956755E-3</v>
      </c>
      <c r="AO82" s="298">
        <v>522</v>
      </c>
      <c r="AP82" s="313">
        <f t="shared" si="108"/>
        <v>1.6802370544814262</v>
      </c>
      <c r="AQ82" s="298">
        <v>510</v>
      </c>
      <c r="AR82" s="312" t="s">
        <v>413</v>
      </c>
      <c r="AS82" s="298">
        <v>0</v>
      </c>
      <c r="AT82" s="298" t="s">
        <v>741</v>
      </c>
      <c r="AU82" s="311">
        <f>2*PI()*4.2^2/4</f>
        <v>27.708847204661975</v>
      </c>
      <c r="AV82" s="311">
        <f>PI()*4.2^2/4</f>
        <v>13.854423602330987</v>
      </c>
      <c r="AW82" s="311">
        <f t="shared" si="162"/>
        <v>27.708847204661975</v>
      </c>
      <c r="AX82" s="306">
        <f>AV82/BA82/K82</f>
        <v>1.3854423602330987E-3</v>
      </c>
      <c r="AY82" s="298">
        <v>391</v>
      </c>
      <c r="AZ82" s="306">
        <f t="shared" si="113"/>
        <v>0.54170796285114164</v>
      </c>
      <c r="BA82" s="298">
        <v>100</v>
      </c>
      <c r="BB82" s="298">
        <v>60</v>
      </c>
      <c r="BC82" s="309">
        <f t="shared" si="155"/>
        <v>0.98360655737704916</v>
      </c>
      <c r="BD82" s="327">
        <f t="shared" si="137"/>
        <v>0.11650672593260437</v>
      </c>
      <c r="BE82" s="309">
        <f t="shared" si="156"/>
        <v>1.6483516483516483</v>
      </c>
      <c r="BF82" s="298" t="s">
        <v>413</v>
      </c>
      <c r="BG82" s="298">
        <v>35.340000000000003</v>
      </c>
      <c r="BH82" s="311">
        <f t="shared" si="157"/>
        <v>35.340000000000003</v>
      </c>
      <c r="BI82" s="373">
        <v>0.94430000000000003</v>
      </c>
      <c r="BJ82" s="360">
        <f t="shared" si="126"/>
        <v>1</v>
      </c>
      <c r="BK82" s="360">
        <f t="shared" si="127"/>
        <v>1</v>
      </c>
      <c r="BL82" s="311">
        <f t="shared" si="138"/>
        <v>33.371562000000004</v>
      </c>
      <c r="BM82" s="309">
        <f t="shared" si="96"/>
        <v>0.54707478688524602</v>
      </c>
      <c r="BN82" s="309">
        <f t="shared" si="97"/>
        <v>0.91680115384615402</v>
      </c>
      <c r="BO82" s="376"/>
      <c r="BP82" s="328">
        <f t="shared" si="139"/>
        <v>2.3321229966104604</v>
      </c>
      <c r="BQ82" s="328">
        <f t="shared" si="128"/>
        <v>0.54170796285114164</v>
      </c>
      <c r="BR82" s="328">
        <f t="shared" si="146"/>
        <v>0.22427289070220327</v>
      </c>
      <c r="BS82" s="328">
        <f t="shared" si="140"/>
        <v>0.76566821293628029</v>
      </c>
      <c r="BT82" s="328">
        <f t="shared" si="141"/>
        <v>0.98360655737704916</v>
      </c>
      <c r="BU82" s="376"/>
      <c r="BV82" s="328">
        <f t="shared" si="129"/>
        <v>0.5</v>
      </c>
      <c r="BW82" s="328">
        <f t="shared" si="130"/>
        <v>1</v>
      </c>
      <c r="BX82" s="373">
        <f t="shared" si="142"/>
        <v>0.46489533834070818</v>
      </c>
      <c r="BY82" s="311">
        <f t="shared" si="131"/>
        <v>18843.446255513278</v>
      </c>
      <c r="BZ82" s="311">
        <f t="shared" si="132"/>
        <v>31722.418304562852</v>
      </c>
      <c r="CA82" s="311">
        <f t="shared" si="143"/>
        <v>28358.615638783198</v>
      </c>
      <c r="CB82" s="307">
        <f t="shared" si="144"/>
        <v>28.358615638783199</v>
      </c>
      <c r="CC82" s="309">
        <f t="shared" si="145"/>
        <v>0.46489533834070823</v>
      </c>
      <c r="CD82" s="379">
        <f t="shared" si="133"/>
        <v>1.1767697840074078</v>
      </c>
    </row>
    <row r="83" spans="1:82" x14ac:dyDescent="0.25">
      <c r="A83" s="305">
        <v>75</v>
      </c>
      <c r="B83" s="298" t="s">
        <v>619</v>
      </c>
      <c r="C83" s="298" t="s">
        <v>658</v>
      </c>
      <c r="D83" s="298" t="s">
        <v>598</v>
      </c>
      <c r="E83" s="298" t="s">
        <v>668</v>
      </c>
      <c r="F83" s="298" t="s">
        <v>484</v>
      </c>
      <c r="G83" s="311">
        <v>760</v>
      </c>
      <c r="H83" s="311">
        <f t="shared" si="90"/>
        <v>760</v>
      </c>
      <c r="I83" s="311">
        <v>610</v>
      </c>
      <c r="J83" s="306">
        <f t="shared" si="91"/>
        <v>463600</v>
      </c>
      <c r="K83" s="311">
        <v>100</v>
      </c>
      <c r="L83" s="327">
        <f t="shared" si="92"/>
        <v>488</v>
      </c>
      <c r="M83" s="309">
        <f t="shared" si="93"/>
        <v>1.2459016393442623</v>
      </c>
      <c r="N83" s="309">
        <f t="shared" si="134"/>
        <v>1.2459016393442623</v>
      </c>
      <c r="O83" s="309">
        <f t="shared" si="124"/>
        <v>1.2459016393442623</v>
      </c>
      <c r="P83" s="306">
        <f t="shared" si="147"/>
        <v>36400</v>
      </c>
      <c r="Q83" s="306">
        <f t="shared" si="125"/>
        <v>61000</v>
      </c>
      <c r="R83" s="309">
        <f t="shared" si="148"/>
        <v>0.59672131147540985</v>
      </c>
      <c r="S83" s="312">
        <f t="shared" si="158"/>
        <v>510</v>
      </c>
      <c r="T83" s="312">
        <f t="shared" si="159"/>
        <v>760</v>
      </c>
      <c r="U83" s="310">
        <v>17.399999999999999</v>
      </c>
      <c r="V83" s="310">
        <v>9.3000000000000007</v>
      </c>
      <c r="W83" s="387">
        <f t="shared" si="135"/>
        <v>9.3000000000000007</v>
      </c>
      <c r="X83" s="306">
        <v>9.3000000000000007</v>
      </c>
      <c r="Y83" s="387">
        <f t="shared" si="136"/>
        <v>9.3000000000000007</v>
      </c>
      <c r="Z83" s="418">
        <v>0.52900000000000003</v>
      </c>
      <c r="AA83" s="366">
        <f t="shared" si="149"/>
        <v>7.760104456469163</v>
      </c>
      <c r="AB83" s="366">
        <f t="shared" si="150"/>
        <v>9.6521660563341651</v>
      </c>
      <c r="AC83" s="310" t="s">
        <v>413</v>
      </c>
      <c r="AD83" s="325" t="s">
        <v>413</v>
      </c>
      <c r="AE83" s="312" t="s">
        <v>413</v>
      </c>
      <c r="AF83" s="327">
        <v>1</v>
      </c>
      <c r="AG83" s="313">
        <f t="shared" si="151"/>
        <v>7.760104456469163</v>
      </c>
      <c r="AH83" s="313">
        <f t="shared" si="152"/>
        <v>9.6521660563341651</v>
      </c>
      <c r="AI83" s="308">
        <f t="shared" si="153"/>
        <v>8.4424873285516231</v>
      </c>
      <c r="AJ83" s="312" t="s">
        <v>413</v>
      </c>
      <c r="AK83" s="298" t="s">
        <v>738</v>
      </c>
      <c r="AL83" s="311">
        <f t="shared" si="160"/>
        <v>78.539816339744831</v>
      </c>
      <c r="AM83" s="311">
        <f t="shared" si="161"/>
        <v>157.07963267948966</v>
      </c>
      <c r="AN83" s="306">
        <f t="shared" si="154"/>
        <v>3.218844931956755E-3</v>
      </c>
      <c r="AO83" s="298">
        <v>522</v>
      </c>
      <c r="AP83" s="313">
        <f t="shared" si="108"/>
        <v>1.6802370544814262</v>
      </c>
      <c r="AQ83" s="298">
        <v>510</v>
      </c>
      <c r="AR83" s="312" t="s">
        <v>413</v>
      </c>
      <c r="AS83" s="298">
        <v>0</v>
      </c>
      <c r="AT83" s="298" t="s">
        <v>742</v>
      </c>
      <c r="AU83" s="311">
        <f>2*PI()*6^2/4</f>
        <v>56.548667764616276</v>
      </c>
      <c r="AV83" s="311">
        <f>PI()*6^2/4</f>
        <v>28.274333882308138</v>
      </c>
      <c r="AW83" s="311">
        <f t="shared" si="162"/>
        <v>56.548667764616276</v>
      </c>
      <c r="AX83" s="306">
        <f>AV83/BA83/K83</f>
        <v>2.8274333882308141E-3</v>
      </c>
      <c r="AY83" s="298">
        <v>253</v>
      </c>
      <c r="AZ83" s="306">
        <f t="shared" si="113"/>
        <v>0.71534064722239599</v>
      </c>
      <c r="BA83" s="298">
        <v>100</v>
      </c>
      <c r="BB83" s="298">
        <v>60</v>
      </c>
      <c r="BC83" s="309">
        <f t="shared" si="155"/>
        <v>0.98360655737704916</v>
      </c>
      <c r="BD83" s="327">
        <f t="shared" si="137"/>
        <v>0.11650672593260437</v>
      </c>
      <c r="BE83" s="309">
        <f t="shared" si="156"/>
        <v>1.6483516483516483</v>
      </c>
      <c r="BF83" s="298" t="s">
        <v>413</v>
      </c>
      <c r="BG83" s="298">
        <v>40.28</v>
      </c>
      <c r="BH83" s="311">
        <f t="shared" si="157"/>
        <v>40.28</v>
      </c>
      <c r="BI83" s="373">
        <v>0.94430000000000003</v>
      </c>
      <c r="BJ83" s="360">
        <f t="shared" si="126"/>
        <v>1</v>
      </c>
      <c r="BK83" s="360">
        <f t="shared" si="127"/>
        <v>1</v>
      </c>
      <c r="BL83" s="311">
        <f t="shared" si="138"/>
        <v>38.036404000000005</v>
      </c>
      <c r="BM83" s="309">
        <f t="shared" si="96"/>
        <v>0.62354760655737718</v>
      </c>
      <c r="BN83" s="309">
        <f t="shared" si="97"/>
        <v>1.044956153846154</v>
      </c>
      <c r="BO83" s="376"/>
      <c r="BP83" s="328">
        <f t="shared" si="139"/>
        <v>2.3321229966104604</v>
      </c>
      <c r="BQ83" s="328">
        <f t="shared" si="128"/>
        <v>0.71534064722239599</v>
      </c>
      <c r="BR83" s="328">
        <f t="shared" si="146"/>
        <v>0.22427289070220327</v>
      </c>
      <c r="BS83" s="328">
        <f t="shared" si="140"/>
        <v>0.87986179309443147</v>
      </c>
      <c r="BT83" s="328">
        <f t="shared" si="141"/>
        <v>0.98360655737704916</v>
      </c>
      <c r="BU83" s="376"/>
      <c r="BV83" s="328">
        <f t="shared" si="129"/>
        <v>0.5</v>
      </c>
      <c r="BW83" s="328">
        <f t="shared" si="130"/>
        <v>1</v>
      </c>
      <c r="BX83" s="373">
        <f t="shared" si="142"/>
        <v>0.46489533834070818</v>
      </c>
      <c r="BY83" s="311">
        <f t="shared" si="131"/>
        <v>18843.446255513278</v>
      </c>
      <c r="BZ83" s="311">
        <f t="shared" si="132"/>
        <v>41890.348301343496</v>
      </c>
      <c r="CA83" s="311">
        <f t="shared" si="143"/>
        <v>28358.615638783198</v>
      </c>
      <c r="CB83" s="307">
        <f t="shared" si="144"/>
        <v>28.358615638783199</v>
      </c>
      <c r="CC83" s="309">
        <f t="shared" si="145"/>
        <v>0.46489533834070823</v>
      </c>
      <c r="CD83" s="379">
        <f t="shared" si="133"/>
        <v>1.3412644849976907</v>
      </c>
    </row>
    <row r="84" spans="1:82" x14ac:dyDescent="0.25">
      <c r="A84" s="305">
        <v>76</v>
      </c>
      <c r="B84" s="298" t="s">
        <v>619</v>
      </c>
      <c r="C84" s="298" t="s">
        <v>737</v>
      </c>
      <c r="D84" s="298" t="s">
        <v>598</v>
      </c>
      <c r="E84" s="298" t="s">
        <v>668</v>
      </c>
      <c r="F84" s="298" t="s">
        <v>484</v>
      </c>
      <c r="G84" s="311">
        <v>1400</v>
      </c>
      <c r="H84" s="311">
        <f t="shared" si="90"/>
        <v>1400</v>
      </c>
      <c r="I84" s="311">
        <v>610</v>
      </c>
      <c r="J84" s="306">
        <f t="shared" si="91"/>
        <v>854000</v>
      </c>
      <c r="K84" s="311">
        <v>100</v>
      </c>
      <c r="L84" s="327">
        <f t="shared" si="92"/>
        <v>488</v>
      </c>
      <c r="M84" s="309">
        <f t="shared" si="93"/>
        <v>2.2950819672131146</v>
      </c>
      <c r="N84" s="309">
        <f t="shared" si="134"/>
        <v>2.2950819672131146</v>
      </c>
      <c r="O84" s="309">
        <f t="shared" si="124"/>
        <v>2.2950819672131146</v>
      </c>
      <c r="P84" s="306">
        <f t="shared" si="147"/>
        <v>36400</v>
      </c>
      <c r="Q84" s="306">
        <f t="shared" si="125"/>
        <v>61000</v>
      </c>
      <c r="R84" s="309">
        <f t="shared" si="148"/>
        <v>0.59672131147540985</v>
      </c>
      <c r="S84" s="312">
        <f t="shared" si="158"/>
        <v>510</v>
      </c>
      <c r="T84" s="312">
        <f t="shared" si="159"/>
        <v>1400</v>
      </c>
      <c r="U84" s="310">
        <v>17.399999999999999</v>
      </c>
      <c r="V84" s="310">
        <v>9.3000000000000007</v>
      </c>
      <c r="W84" s="387">
        <f t="shared" si="135"/>
        <v>9.3000000000000007</v>
      </c>
      <c r="X84" s="306">
        <v>9.3000000000000007</v>
      </c>
      <c r="Y84" s="387">
        <f t="shared" si="136"/>
        <v>9.3000000000000007</v>
      </c>
      <c r="Z84" s="418">
        <v>0.52900000000000003</v>
      </c>
      <c r="AA84" s="366">
        <f t="shared" si="149"/>
        <v>7.760104456469163</v>
      </c>
      <c r="AB84" s="366">
        <f t="shared" si="150"/>
        <v>9.6521660563341651</v>
      </c>
      <c r="AC84" s="310" t="s">
        <v>413</v>
      </c>
      <c r="AD84" s="325" t="s">
        <v>413</v>
      </c>
      <c r="AE84" s="312" t="s">
        <v>413</v>
      </c>
      <c r="AF84" s="327">
        <v>1</v>
      </c>
      <c r="AG84" s="313">
        <f t="shared" si="151"/>
        <v>7.760104456469163</v>
      </c>
      <c r="AH84" s="313">
        <f t="shared" si="152"/>
        <v>9.6521660563341651</v>
      </c>
      <c r="AI84" s="308">
        <f t="shared" si="153"/>
        <v>8.4424873285516231</v>
      </c>
      <c r="AJ84" s="312" t="s">
        <v>413</v>
      </c>
      <c r="AK84" s="298" t="s">
        <v>738</v>
      </c>
      <c r="AL84" s="311">
        <f t="shared" si="160"/>
        <v>78.539816339744831</v>
      </c>
      <c r="AM84" s="311">
        <f t="shared" si="161"/>
        <v>157.07963267948966</v>
      </c>
      <c r="AN84" s="306">
        <f t="shared" si="154"/>
        <v>3.218844931956755E-3</v>
      </c>
      <c r="AO84" s="298">
        <v>522</v>
      </c>
      <c r="AP84" s="313">
        <f t="shared" si="108"/>
        <v>1.6802370544814262</v>
      </c>
      <c r="AQ84" s="298">
        <v>510</v>
      </c>
      <c r="AR84" s="312" t="s">
        <v>413</v>
      </c>
      <c r="AS84" s="298">
        <v>0</v>
      </c>
      <c r="AT84" s="312" t="s">
        <v>413</v>
      </c>
      <c r="AU84" s="311">
        <v>0</v>
      </c>
      <c r="AV84" s="311">
        <v>0</v>
      </c>
      <c r="AW84" s="311">
        <f t="shared" si="162"/>
        <v>0</v>
      </c>
      <c r="AX84" s="306">
        <v>0</v>
      </c>
      <c r="AY84" s="298">
        <v>0</v>
      </c>
      <c r="AZ84" s="306">
        <f t="shared" si="113"/>
        <v>0</v>
      </c>
      <c r="BA84" s="298">
        <v>0</v>
      </c>
      <c r="BB84" s="298">
        <v>60</v>
      </c>
      <c r="BC84" s="309">
        <f t="shared" si="155"/>
        <v>0.98360655737704916</v>
      </c>
      <c r="BD84" s="327">
        <f t="shared" si="137"/>
        <v>0.11650672593260437</v>
      </c>
      <c r="BE84" s="309">
        <f t="shared" si="156"/>
        <v>1.6483516483516483</v>
      </c>
      <c r="BF84" s="298" t="s">
        <v>413</v>
      </c>
      <c r="BG84" s="298">
        <v>26.01</v>
      </c>
      <c r="BH84" s="311">
        <f t="shared" si="157"/>
        <v>26.01</v>
      </c>
      <c r="BI84" s="373">
        <v>0.94430000000000003</v>
      </c>
      <c r="BJ84" s="360">
        <f t="shared" si="126"/>
        <v>1</v>
      </c>
      <c r="BK84" s="360">
        <f t="shared" si="127"/>
        <v>1</v>
      </c>
      <c r="BL84" s="311">
        <f t="shared" si="138"/>
        <v>24.561243000000001</v>
      </c>
      <c r="BM84" s="309">
        <f t="shared" si="96"/>
        <v>0.40264332786885243</v>
      </c>
      <c r="BN84" s="309">
        <f t="shared" si="97"/>
        <v>0.67475942307692316</v>
      </c>
      <c r="BO84" s="376"/>
      <c r="BP84" s="328">
        <f t="shared" si="139"/>
        <v>1.2660096267313929</v>
      </c>
      <c r="BQ84" s="328">
        <f t="shared" si="128"/>
        <v>0</v>
      </c>
      <c r="BR84" s="328">
        <f t="shared" si="146"/>
        <v>0.22427289070220327</v>
      </c>
      <c r="BS84" s="328">
        <f t="shared" si="140"/>
        <v>0</v>
      </c>
      <c r="BT84" s="328">
        <f t="shared" si="141"/>
        <v>0.98360655737704916</v>
      </c>
      <c r="BU84" s="376"/>
      <c r="BV84" s="328">
        <f t="shared" si="129"/>
        <v>0.5</v>
      </c>
      <c r="BW84" s="328">
        <f t="shared" si="130"/>
        <v>1</v>
      </c>
      <c r="BX84" s="373">
        <f t="shared" si="142"/>
        <v>0.46489533834070818</v>
      </c>
      <c r="BY84" s="311">
        <f t="shared" si="131"/>
        <v>18843.446255513278</v>
      </c>
      <c r="BZ84" s="311">
        <f t="shared" si="132"/>
        <v>0</v>
      </c>
      <c r="CA84" s="311">
        <f t="shared" si="143"/>
        <v>28358.615638783198</v>
      </c>
      <c r="CB84" s="307">
        <f t="shared" si="144"/>
        <v>18.843446255513278</v>
      </c>
      <c r="CC84" s="309">
        <f t="shared" si="145"/>
        <v>0.30890895500841442</v>
      </c>
      <c r="CD84" s="379">
        <f t="shared" si="133"/>
        <v>1.3034368908401663</v>
      </c>
    </row>
    <row r="85" spans="1:82" x14ac:dyDescent="0.25">
      <c r="A85" s="305">
        <v>77</v>
      </c>
      <c r="B85" s="298" t="s">
        <v>619</v>
      </c>
      <c r="C85" s="298" t="s">
        <v>732</v>
      </c>
      <c r="D85" s="298" t="s">
        <v>598</v>
      </c>
      <c r="E85" s="298" t="s">
        <v>668</v>
      </c>
      <c r="F85" s="298" t="s">
        <v>484</v>
      </c>
      <c r="G85" s="311">
        <v>760</v>
      </c>
      <c r="H85" s="311">
        <f t="shared" si="90"/>
        <v>760</v>
      </c>
      <c r="I85" s="311">
        <v>610</v>
      </c>
      <c r="J85" s="306">
        <f t="shared" si="91"/>
        <v>463600</v>
      </c>
      <c r="K85" s="311">
        <v>100</v>
      </c>
      <c r="L85" s="327">
        <f t="shared" si="92"/>
        <v>488</v>
      </c>
      <c r="M85" s="309">
        <f t="shared" si="93"/>
        <v>1.2459016393442623</v>
      </c>
      <c r="N85" s="309">
        <f t="shared" si="134"/>
        <v>1.2459016393442623</v>
      </c>
      <c r="O85" s="309">
        <f t="shared" si="124"/>
        <v>1.2459016393442623</v>
      </c>
      <c r="P85" s="306">
        <f t="shared" si="147"/>
        <v>36400</v>
      </c>
      <c r="Q85" s="306">
        <f t="shared" si="125"/>
        <v>61000</v>
      </c>
      <c r="R85" s="309">
        <f t="shared" si="148"/>
        <v>0.59672131147540985</v>
      </c>
      <c r="S85" s="312">
        <f t="shared" si="158"/>
        <v>510</v>
      </c>
      <c r="T85" s="312">
        <f t="shared" si="159"/>
        <v>760</v>
      </c>
      <c r="U85" s="310">
        <v>15.5</v>
      </c>
      <c r="V85" s="310">
        <v>7</v>
      </c>
      <c r="W85" s="387">
        <f t="shared" si="135"/>
        <v>7</v>
      </c>
      <c r="X85" s="308">
        <v>7</v>
      </c>
      <c r="Y85" s="387">
        <f t="shared" si="136"/>
        <v>7</v>
      </c>
      <c r="Z85" s="418">
        <v>0.52900000000000003</v>
      </c>
      <c r="AA85" s="366">
        <f t="shared" si="149"/>
        <v>6.5005099506756432</v>
      </c>
      <c r="AB85" s="366">
        <f t="shared" si="150"/>
        <v>8.1463317910078121</v>
      </c>
      <c r="AC85" s="310" t="s">
        <v>413</v>
      </c>
      <c r="AD85" s="325" t="s">
        <v>413</v>
      </c>
      <c r="AE85" s="312" t="s">
        <v>413</v>
      </c>
      <c r="AF85" s="327">
        <v>1</v>
      </c>
      <c r="AG85" s="313">
        <f t="shared" si="151"/>
        <v>6.5005099506756432</v>
      </c>
      <c r="AH85" s="313">
        <f t="shared" si="152"/>
        <v>8.1463317910078121</v>
      </c>
      <c r="AI85" s="308">
        <f t="shared" si="153"/>
        <v>7.0940850406315077</v>
      </c>
      <c r="AJ85" s="312" t="s">
        <v>413</v>
      </c>
      <c r="AK85" s="298" t="s">
        <v>739</v>
      </c>
      <c r="AL85" s="311">
        <f t="shared" si="160"/>
        <v>78.539816339744831</v>
      </c>
      <c r="AM85" s="311">
        <f>2*2*AL85</f>
        <v>314.15926535897933</v>
      </c>
      <c r="AN85" s="306">
        <f t="shared" si="154"/>
        <v>6.4376898639135101E-3</v>
      </c>
      <c r="AO85" s="298">
        <v>522</v>
      </c>
      <c r="AP85" s="313">
        <f t="shared" si="108"/>
        <v>3.3604741089628525</v>
      </c>
      <c r="AQ85" s="298">
        <v>510</v>
      </c>
      <c r="AR85" s="312" t="s">
        <v>413</v>
      </c>
      <c r="AS85" s="298">
        <v>0</v>
      </c>
      <c r="AT85" s="312" t="s">
        <v>413</v>
      </c>
      <c r="AU85" s="311">
        <v>0</v>
      </c>
      <c r="AV85" s="311">
        <v>0</v>
      </c>
      <c r="AW85" s="311">
        <f t="shared" si="162"/>
        <v>0</v>
      </c>
      <c r="AX85" s="306">
        <v>0</v>
      </c>
      <c r="AY85" s="298">
        <v>0</v>
      </c>
      <c r="AZ85" s="306">
        <f t="shared" si="113"/>
        <v>0</v>
      </c>
      <c r="BA85" s="298">
        <v>0</v>
      </c>
      <c r="BB85" s="298">
        <v>60</v>
      </c>
      <c r="BC85" s="309">
        <f t="shared" si="155"/>
        <v>0.98360655737704916</v>
      </c>
      <c r="BD85" s="327">
        <f t="shared" si="137"/>
        <v>0.13865164453815026</v>
      </c>
      <c r="BE85" s="309">
        <f t="shared" si="156"/>
        <v>1.6483516483516483</v>
      </c>
      <c r="BF85" s="298" t="s">
        <v>413</v>
      </c>
      <c r="BG85" s="298">
        <v>30.06</v>
      </c>
      <c r="BH85" s="311">
        <f t="shared" si="157"/>
        <v>30.06</v>
      </c>
      <c r="BI85" s="373">
        <v>0.94430000000000003</v>
      </c>
      <c r="BJ85" s="360">
        <f t="shared" si="126"/>
        <v>1</v>
      </c>
      <c r="BK85" s="360">
        <f t="shared" si="127"/>
        <v>1</v>
      </c>
      <c r="BL85" s="311">
        <f t="shared" si="138"/>
        <v>28.385657999999999</v>
      </c>
      <c r="BM85" s="309">
        <f t="shared" si="96"/>
        <v>0.46533865573770489</v>
      </c>
      <c r="BN85" s="309">
        <f t="shared" si="97"/>
        <v>0.77982576923076918</v>
      </c>
      <c r="BO85" s="376"/>
      <c r="BP85" s="328">
        <f t="shared" si="139"/>
        <v>2.137787030030573</v>
      </c>
      <c r="BQ85" s="328">
        <f t="shared" si="128"/>
        <v>0</v>
      </c>
      <c r="BR85" s="328">
        <f t="shared" si="146"/>
        <v>0.38914756939302286</v>
      </c>
      <c r="BS85" s="328">
        <f t="shared" si="140"/>
        <v>0</v>
      </c>
      <c r="BT85" s="328">
        <f t="shared" si="141"/>
        <v>0.98360655737704916</v>
      </c>
      <c r="BU85" s="376"/>
      <c r="BV85" s="328">
        <f t="shared" si="129"/>
        <v>0.5</v>
      </c>
      <c r="BW85" s="328">
        <f t="shared" si="130"/>
        <v>1</v>
      </c>
      <c r="BX85" s="373">
        <f t="shared" si="142"/>
        <v>0.42615557844543889</v>
      </c>
      <c r="BY85" s="311">
        <f t="shared" si="131"/>
        <v>17898.196114068709</v>
      </c>
      <c r="BZ85" s="311">
        <f t="shared" si="132"/>
        <v>0</v>
      </c>
      <c r="CA85" s="311">
        <f t="shared" si="143"/>
        <v>25995.490285171771</v>
      </c>
      <c r="CB85" s="307">
        <f t="shared" si="144"/>
        <v>17.89819611406871</v>
      </c>
      <c r="CC85" s="309">
        <f t="shared" si="145"/>
        <v>0.29341305105030674</v>
      </c>
      <c r="CD85" s="379">
        <f t="shared" si="133"/>
        <v>1.5859507751000514</v>
      </c>
    </row>
    <row r="86" spans="1:82" x14ac:dyDescent="0.25">
      <c r="A86" s="305">
        <v>78</v>
      </c>
      <c r="B86" s="298" t="s">
        <v>619</v>
      </c>
      <c r="C86" s="298" t="s">
        <v>733</v>
      </c>
      <c r="D86" s="298" t="s">
        <v>598</v>
      </c>
      <c r="E86" s="298" t="s">
        <v>668</v>
      </c>
      <c r="F86" s="298" t="s">
        <v>484</v>
      </c>
      <c r="G86" s="311">
        <v>760</v>
      </c>
      <c r="H86" s="311">
        <f t="shared" si="90"/>
        <v>760</v>
      </c>
      <c r="I86" s="311">
        <v>610</v>
      </c>
      <c r="J86" s="306">
        <f t="shared" si="91"/>
        <v>463600</v>
      </c>
      <c r="K86" s="311">
        <v>100</v>
      </c>
      <c r="L86" s="327">
        <f t="shared" si="92"/>
        <v>488</v>
      </c>
      <c r="M86" s="309">
        <f t="shared" si="93"/>
        <v>1.2459016393442623</v>
      </c>
      <c r="N86" s="309">
        <f t="shared" si="134"/>
        <v>1.2459016393442623</v>
      </c>
      <c r="O86" s="309">
        <f t="shared" si="124"/>
        <v>1.2459016393442623</v>
      </c>
      <c r="P86" s="306">
        <f t="shared" si="147"/>
        <v>36400</v>
      </c>
      <c r="Q86" s="306">
        <f t="shared" si="125"/>
        <v>61000</v>
      </c>
      <c r="R86" s="309">
        <f t="shared" si="148"/>
        <v>0.59672131147540985</v>
      </c>
      <c r="S86" s="312">
        <f t="shared" si="158"/>
        <v>510</v>
      </c>
      <c r="T86" s="312">
        <f t="shared" si="159"/>
        <v>760</v>
      </c>
      <c r="U86" s="310">
        <v>15.5</v>
      </c>
      <c r="V86" s="310">
        <v>7</v>
      </c>
      <c r="W86" s="387">
        <f t="shared" si="135"/>
        <v>7</v>
      </c>
      <c r="X86" s="308">
        <v>7</v>
      </c>
      <c r="Y86" s="387">
        <f t="shared" si="136"/>
        <v>7</v>
      </c>
      <c r="Z86" s="418">
        <v>0.52900000000000003</v>
      </c>
      <c r="AA86" s="366">
        <f t="shared" si="149"/>
        <v>6.5005099506756432</v>
      </c>
      <c r="AB86" s="366">
        <f t="shared" si="150"/>
        <v>8.1463317910078121</v>
      </c>
      <c r="AC86" s="310" t="s">
        <v>413</v>
      </c>
      <c r="AD86" s="325" t="s">
        <v>413</v>
      </c>
      <c r="AE86" s="312" t="s">
        <v>413</v>
      </c>
      <c r="AF86" s="327">
        <v>1</v>
      </c>
      <c r="AG86" s="313">
        <f t="shared" si="151"/>
        <v>6.5005099506756432</v>
      </c>
      <c r="AH86" s="313">
        <f t="shared" si="152"/>
        <v>8.1463317910078121</v>
      </c>
      <c r="AI86" s="308">
        <f t="shared" si="153"/>
        <v>7.0940850406315077</v>
      </c>
      <c r="AJ86" s="312" t="s">
        <v>413</v>
      </c>
      <c r="AK86" s="298" t="s">
        <v>739</v>
      </c>
      <c r="AL86" s="311">
        <f t="shared" si="160"/>
        <v>78.539816339744831</v>
      </c>
      <c r="AM86" s="311">
        <f t="shared" ref="AM86:AM89" si="163">2*2*AL86</f>
        <v>314.15926535897933</v>
      </c>
      <c r="AN86" s="306">
        <f t="shared" si="154"/>
        <v>6.4376898639135101E-3</v>
      </c>
      <c r="AO86" s="298">
        <v>522</v>
      </c>
      <c r="AP86" s="313">
        <f t="shared" si="108"/>
        <v>3.3604741089628525</v>
      </c>
      <c r="AQ86" s="298">
        <v>510</v>
      </c>
      <c r="AR86" s="312" t="s">
        <v>413</v>
      </c>
      <c r="AS86" s="298">
        <v>0</v>
      </c>
      <c r="AT86" s="298" t="s">
        <v>740</v>
      </c>
      <c r="AU86" s="311">
        <f>2*PI()*3.1^2/4</f>
        <v>15.095352700498958</v>
      </c>
      <c r="AV86" s="311">
        <f t="shared" ref="AV86" si="164">PI()*3.1^2/4</f>
        <v>7.5476763502494792</v>
      </c>
      <c r="AW86" s="311">
        <f t="shared" si="162"/>
        <v>15.095352700498958</v>
      </c>
      <c r="AX86" s="306">
        <f>AV86/BA86/K86</f>
        <v>7.5476763502494793E-4</v>
      </c>
      <c r="AY86" s="360">
        <v>323</v>
      </c>
      <c r="AZ86" s="306">
        <f t="shared" si="113"/>
        <v>0.24378994611305818</v>
      </c>
      <c r="BA86" s="298">
        <v>100</v>
      </c>
      <c r="BB86" s="298">
        <v>60</v>
      </c>
      <c r="BC86" s="309">
        <f t="shared" si="155"/>
        <v>0.98360655737704916</v>
      </c>
      <c r="BD86" s="327">
        <f t="shared" si="137"/>
        <v>0.13865164453815026</v>
      </c>
      <c r="BE86" s="309">
        <f t="shared" si="156"/>
        <v>1.6483516483516483</v>
      </c>
      <c r="BF86" s="298" t="s">
        <v>413</v>
      </c>
      <c r="BG86" s="298">
        <v>34.92</v>
      </c>
      <c r="BH86" s="311">
        <f t="shared" si="157"/>
        <v>34.92</v>
      </c>
      <c r="BI86" s="373">
        <v>0.94430000000000003</v>
      </c>
      <c r="BJ86" s="360">
        <f t="shared" si="126"/>
        <v>1</v>
      </c>
      <c r="BK86" s="360">
        <f t="shared" si="127"/>
        <v>1</v>
      </c>
      <c r="BL86" s="311">
        <f t="shared" si="138"/>
        <v>32.974956000000006</v>
      </c>
      <c r="BM86" s="309">
        <f t="shared" si="96"/>
        <v>0.54057304918032789</v>
      </c>
      <c r="BN86" s="309">
        <f t="shared" si="97"/>
        <v>0.90590538461538483</v>
      </c>
      <c r="BO86" s="376"/>
      <c r="BP86" s="328">
        <f t="shared" si="139"/>
        <v>2.137787030030573</v>
      </c>
      <c r="BQ86" s="328">
        <f t="shared" si="128"/>
        <v>0.24378994611305818</v>
      </c>
      <c r="BR86" s="328">
        <f t="shared" si="146"/>
        <v>0.38914756939302286</v>
      </c>
      <c r="BS86" s="328">
        <f t="shared" si="140"/>
        <v>0.47084600494436024</v>
      </c>
      <c r="BT86" s="328">
        <f t="shared" si="141"/>
        <v>0.98360655737704916</v>
      </c>
      <c r="BU86" s="376"/>
      <c r="BV86" s="328">
        <f t="shared" si="129"/>
        <v>0.5</v>
      </c>
      <c r="BW86" s="328">
        <f t="shared" si="130"/>
        <v>1</v>
      </c>
      <c r="BX86" s="373">
        <f t="shared" si="142"/>
        <v>0.42615557844543889</v>
      </c>
      <c r="BY86" s="311">
        <f t="shared" si="131"/>
        <v>17898.196114068709</v>
      </c>
      <c r="BZ86" s="311">
        <f t="shared" si="132"/>
        <v>14276.339244380686</v>
      </c>
      <c r="CA86" s="311">
        <f t="shared" si="143"/>
        <v>25995.490285171771</v>
      </c>
      <c r="CB86" s="307">
        <f t="shared" si="144"/>
        <v>25.995490285171769</v>
      </c>
      <c r="CC86" s="309">
        <f t="shared" si="145"/>
        <v>0.42615557844543883</v>
      </c>
      <c r="CD86" s="379">
        <f t="shared" si="133"/>
        <v>1.2684875583519744</v>
      </c>
    </row>
    <row r="87" spans="1:82" x14ac:dyDescent="0.25">
      <c r="A87" s="305">
        <v>79</v>
      </c>
      <c r="B87" s="298" t="s">
        <v>619</v>
      </c>
      <c r="C87" s="298" t="s">
        <v>734</v>
      </c>
      <c r="D87" s="298" t="s">
        <v>598</v>
      </c>
      <c r="E87" s="298" t="s">
        <v>668</v>
      </c>
      <c r="F87" s="298" t="s">
        <v>484</v>
      </c>
      <c r="G87" s="311">
        <v>760</v>
      </c>
      <c r="H87" s="311">
        <f t="shared" si="90"/>
        <v>760</v>
      </c>
      <c r="I87" s="311">
        <v>610</v>
      </c>
      <c r="J87" s="306">
        <f t="shared" si="91"/>
        <v>463600</v>
      </c>
      <c r="K87" s="311">
        <v>100</v>
      </c>
      <c r="L87" s="327">
        <f t="shared" si="92"/>
        <v>488</v>
      </c>
      <c r="M87" s="309">
        <f t="shared" si="93"/>
        <v>1.2459016393442623</v>
      </c>
      <c r="N87" s="309">
        <f t="shared" si="134"/>
        <v>1.2459016393442623</v>
      </c>
      <c r="O87" s="309">
        <f t="shared" si="124"/>
        <v>1.2459016393442623</v>
      </c>
      <c r="P87" s="306">
        <f t="shared" si="147"/>
        <v>36400</v>
      </c>
      <c r="Q87" s="306">
        <f t="shared" si="125"/>
        <v>61000</v>
      </c>
      <c r="R87" s="309">
        <f t="shared" si="148"/>
        <v>0.59672131147540985</v>
      </c>
      <c r="S87" s="312">
        <f t="shared" si="158"/>
        <v>510</v>
      </c>
      <c r="T87" s="312">
        <f t="shared" si="159"/>
        <v>760</v>
      </c>
      <c r="U87" s="310">
        <v>15.5</v>
      </c>
      <c r="V87" s="310">
        <v>7</v>
      </c>
      <c r="W87" s="387">
        <f t="shared" si="135"/>
        <v>7</v>
      </c>
      <c r="X87" s="308">
        <v>7</v>
      </c>
      <c r="Y87" s="387">
        <f t="shared" si="136"/>
        <v>7</v>
      </c>
      <c r="Z87" s="418">
        <v>0.52900000000000003</v>
      </c>
      <c r="AA87" s="366">
        <f t="shared" si="149"/>
        <v>6.5005099506756432</v>
      </c>
      <c r="AB87" s="366">
        <f t="shared" si="150"/>
        <v>8.1463317910078121</v>
      </c>
      <c r="AC87" s="310" t="s">
        <v>413</v>
      </c>
      <c r="AD87" s="325" t="s">
        <v>413</v>
      </c>
      <c r="AE87" s="312" t="s">
        <v>413</v>
      </c>
      <c r="AF87" s="327">
        <v>1</v>
      </c>
      <c r="AG87" s="313">
        <f t="shared" si="151"/>
        <v>6.5005099506756432</v>
      </c>
      <c r="AH87" s="313">
        <f t="shared" si="152"/>
        <v>8.1463317910078121</v>
      </c>
      <c r="AI87" s="308">
        <f t="shared" si="153"/>
        <v>7.0940850406315077</v>
      </c>
      <c r="AJ87" s="312" t="s">
        <v>413</v>
      </c>
      <c r="AK87" s="298" t="s">
        <v>739</v>
      </c>
      <c r="AL87" s="311">
        <f t="shared" si="160"/>
        <v>78.539816339744831</v>
      </c>
      <c r="AM87" s="311">
        <f t="shared" si="163"/>
        <v>314.15926535897933</v>
      </c>
      <c r="AN87" s="306">
        <f t="shared" si="154"/>
        <v>6.4376898639135101E-3</v>
      </c>
      <c r="AO87" s="298">
        <v>522</v>
      </c>
      <c r="AP87" s="313">
        <f t="shared" si="108"/>
        <v>3.3604741089628525</v>
      </c>
      <c r="AQ87" s="298">
        <v>510</v>
      </c>
      <c r="AR87" s="312" t="s">
        <v>413</v>
      </c>
      <c r="AS87" s="298">
        <v>0</v>
      </c>
      <c r="AT87" s="298" t="s">
        <v>741</v>
      </c>
      <c r="AU87" s="311">
        <f>2*PI()*4.2^2/4</f>
        <v>27.708847204661975</v>
      </c>
      <c r="AV87" s="311">
        <f>PI()*4.2^2/4</f>
        <v>13.854423602330987</v>
      </c>
      <c r="AW87" s="311">
        <f t="shared" si="162"/>
        <v>27.708847204661975</v>
      </c>
      <c r="AX87" s="306">
        <f>AV87/BA87/K87</f>
        <v>1.3854423602330987E-3</v>
      </c>
      <c r="AY87" s="360">
        <v>391</v>
      </c>
      <c r="AZ87" s="306">
        <f t="shared" si="113"/>
        <v>0.54170796285114164</v>
      </c>
      <c r="BA87" s="298">
        <v>100</v>
      </c>
      <c r="BB87" s="298">
        <v>60</v>
      </c>
      <c r="BC87" s="309">
        <f t="shared" si="155"/>
        <v>0.98360655737704916</v>
      </c>
      <c r="BD87" s="327">
        <f t="shared" si="137"/>
        <v>0.13865164453815026</v>
      </c>
      <c r="BE87" s="309">
        <f t="shared" si="156"/>
        <v>1.6483516483516483</v>
      </c>
      <c r="BF87" s="298" t="s">
        <v>413</v>
      </c>
      <c r="BG87" s="298">
        <v>43.22</v>
      </c>
      <c r="BH87" s="311">
        <f t="shared" si="157"/>
        <v>43.22</v>
      </c>
      <c r="BI87" s="373">
        <v>0.94430000000000003</v>
      </c>
      <c r="BJ87" s="360">
        <f t="shared" si="126"/>
        <v>1</v>
      </c>
      <c r="BK87" s="360">
        <f t="shared" si="127"/>
        <v>1</v>
      </c>
      <c r="BL87" s="311">
        <f t="shared" si="138"/>
        <v>40.812646000000001</v>
      </c>
      <c r="BM87" s="309">
        <f t="shared" si="96"/>
        <v>0.66905977049180332</v>
      </c>
      <c r="BN87" s="309">
        <f t="shared" si="97"/>
        <v>1.1212265384615385</v>
      </c>
      <c r="BO87" s="376"/>
      <c r="BP87" s="328">
        <f t="shared" si="139"/>
        <v>2.137787030030573</v>
      </c>
      <c r="BQ87" s="328">
        <f t="shared" si="128"/>
        <v>0.54170796285114164</v>
      </c>
      <c r="BR87" s="328">
        <f t="shared" si="146"/>
        <v>0.38914756939302286</v>
      </c>
      <c r="BS87" s="328">
        <f t="shared" si="140"/>
        <v>0.70186502911761794</v>
      </c>
      <c r="BT87" s="328">
        <f t="shared" si="141"/>
        <v>0.98360655737704916</v>
      </c>
      <c r="BU87" s="376"/>
      <c r="BV87" s="328">
        <f t="shared" si="129"/>
        <v>0.5</v>
      </c>
      <c r="BW87" s="328">
        <f t="shared" si="130"/>
        <v>1</v>
      </c>
      <c r="BX87" s="373">
        <f t="shared" si="142"/>
        <v>0.42615557844543889</v>
      </c>
      <c r="BY87" s="311">
        <f t="shared" si="131"/>
        <v>17898.196114068709</v>
      </c>
      <c r="BZ87" s="311">
        <f t="shared" si="132"/>
        <v>31722.418304562852</v>
      </c>
      <c r="CA87" s="311">
        <f t="shared" si="143"/>
        <v>25995.490285171771</v>
      </c>
      <c r="CB87" s="307">
        <f t="shared" si="144"/>
        <v>25.995490285171769</v>
      </c>
      <c r="CC87" s="309">
        <f t="shared" si="145"/>
        <v>0.42615557844543883</v>
      </c>
      <c r="CD87" s="379">
        <f t="shared" si="133"/>
        <v>1.5699894694150149</v>
      </c>
    </row>
    <row r="88" spans="1:82" x14ac:dyDescent="0.25">
      <c r="A88" s="305">
        <v>80</v>
      </c>
      <c r="B88" s="298" t="s">
        <v>619</v>
      </c>
      <c r="C88" s="298" t="s">
        <v>735</v>
      </c>
      <c r="D88" s="298" t="s">
        <v>598</v>
      </c>
      <c r="E88" s="298" t="s">
        <v>668</v>
      </c>
      <c r="F88" s="298" t="s">
        <v>484</v>
      </c>
      <c r="G88" s="311">
        <v>760</v>
      </c>
      <c r="H88" s="311">
        <f t="shared" si="90"/>
        <v>760</v>
      </c>
      <c r="I88" s="311">
        <v>610</v>
      </c>
      <c r="J88" s="306">
        <f t="shared" si="91"/>
        <v>463600</v>
      </c>
      <c r="K88" s="311">
        <v>100</v>
      </c>
      <c r="L88" s="327">
        <f t="shared" si="92"/>
        <v>488</v>
      </c>
      <c r="M88" s="309">
        <f t="shared" si="93"/>
        <v>1.2459016393442623</v>
      </c>
      <c r="N88" s="309">
        <f t="shared" si="134"/>
        <v>1.2459016393442623</v>
      </c>
      <c r="O88" s="309">
        <f t="shared" si="124"/>
        <v>1.2459016393442623</v>
      </c>
      <c r="P88" s="306">
        <f t="shared" si="147"/>
        <v>36400</v>
      </c>
      <c r="Q88" s="306">
        <f t="shared" si="125"/>
        <v>61000</v>
      </c>
      <c r="R88" s="309">
        <f t="shared" si="148"/>
        <v>0.59672131147540985</v>
      </c>
      <c r="S88" s="312">
        <f t="shared" si="158"/>
        <v>510</v>
      </c>
      <c r="T88" s="312">
        <f t="shared" si="159"/>
        <v>760</v>
      </c>
      <c r="U88" s="310">
        <v>15.5</v>
      </c>
      <c r="V88" s="310">
        <v>7</v>
      </c>
      <c r="W88" s="387">
        <f t="shared" si="135"/>
        <v>7</v>
      </c>
      <c r="X88" s="308">
        <v>7</v>
      </c>
      <c r="Y88" s="387">
        <f t="shared" si="136"/>
        <v>7</v>
      </c>
      <c r="Z88" s="418">
        <v>0.52900000000000003</v>
      </c>
      <c r="AA88" s="366">
        <f t="shared" si="149"/>
        <v>6.5005099506756432</v>
      </c>
      <c r="AB88" s="366">
        <f t="shared" si="150"/>
        <v>8.1463317910078121</v>
      </c>
      <c r="AC88" s="310" t="s">
        <v>413</v>
      </c>
      <c r="AD88" s="325" t="s">
        <v>413</v>
      </c>
      <c r="AE88" s="312" t="s">
        <v>413</v>
      </c>
      <c r="AF88" s="327">
        <v>1</v>
      </c>
      <c r="AG88" s="313">
        <f t="shared" si="151"/>
        <v>6.5005099506756432</v>
      </c>
      <c r="AH88" s="313">
        <f t="shared" si="152"/>
        <v>8.1463317910078121</v>
      </c>
      <c r="AI88" s="308">
        <f t="shared" si="153"/>
        <v>7.0940850406315077</v>
      </c>
      <c r="AJ88" s="312" t="s">
        <v>413</v>
      </c>
      <c r="AK88" s="298" t="s">
        <v>739</v>
      </c>
      <c r="AL88" s="311">
        <f t="shared" si="160"/>
        <v>78.539816339744831</v>
      </c>
      <c r="AM88" s="311">
        <f t="shared" si="163"/>
        <v>314.15926535897933</v>
      </c>
      <c r="AN88" s="306">
        <f t="shared" si="154"/>
        <v>6.4376898639135101E-3</v>
      </c>
      <c r="AO88" s="298">
        <v>522</v>
      </c>
      <c r="AP88" s="313">
        <f t="shared" si="108"/>
        <v>3.3604741089628525</v>
      </c>
      <c r="AQ88" s="298">
        <v>510</v>
      </c>
      <c r="AR88" s="312" t="s">
        <v>413</v>
      </c>
      <c r="AS88" s="298">
        <v>0</v>
      </c>
      <c r="AT88" s="298" t="s">
        <v>742</v>
      </c>
      <c r="AU88" s="311">
        <f>2*PI()*6^2/4</f>
        <v>56.548667764616276</v>
      </c>
      <c r="AV88" s="311">
        <f>PI()*6^2/4</f>
        <v>28.274333882308138</v>
      </c>
      <c r="AW88" s="311">
        <f t="shared" si="162"/>
        <v>56.548667764616276</v>
      </c>
      <c r="AX88" s="306">
        <f>AV88/BA88/K88</f>
        <v>2.8274333882308141E-3</v>
      </c>
      <c r="AY88" s="360">
        <v>253</v>
      </c>
      <c r="AZ88" s="306">
        <f t="shared" si="113"/>
        <v>0.71534064722239599</v>
      </c>
      <c r="BA88" s="298">
        <v>100</v>
      </c>
      <c r="BB88" s="298">
        <v>60</v>
      </c>
      <c r="BC88" s="309">
        <f t="shared" si="155"/>
        <v>0.98360655737704916</v>
      </c>
      <c r="BD88" s="327">
        <f t="shared" si="137"/>
        <v>0.13865164453815026</v>
      </c>
      <c r="BE88" s="309">
        <f t="shared" si="156"/>
        <v>1.6483516483516483</v>
      </c>
      <c r="BF88" s="298" t="s">
        <v>413</v>
      </c>
      <c r="BG88" s="298">
        <v>46.84</v>
      </c>
      <c r="BH88" s="311">
        <f t="shared" si="157"/>
        <v>46.84</v>
      </c>
      <c r="BI88" s="373">
        <v>0.94430000000000003</v>
      </c>
      <c r="BJ88" s="360">
        <f t="shared" si="126"/>
        <v>1</v>
      </c>
      <c r="BK88" s="360">
        <f t="shared" si="127"/>
        <v>1</v>
      </c>
      <c r="BL88" s="311">
        <f t="shared" si="138"/>
        <v>44.231012000000007</v>
      </c>
      <c r="BM88" s="309">
        <f t="shared" si="96"/>
        <v>0.72509855737704931</v>
      </c>
      <c r="BN88" s="309">
        <f t="shared" si="97"/>
        <v>1.2151376923076926</v>
      </c>
      <c r="BO88" s="376"/>
      <c r="BP88" s="328">
        <f t="shared" si="139"/>
        <v>2.137787030030573</v>
      </c>
      <c r="BQ88" s="328">
        <f t="shared" si="128"/>
        <v>0.71534064722239599</v>
      </c>
      <c r="BR88" s="328">
        <f t="shared" si="146"/>
        <v>0.38914756939302286</v>
      </c>
      <c r="BS88" s="328">
        <f t="shared" si="140"/>
        <v>0.80654285054027097</v>
      </c>
      <c r="BT88" s="328">
        <f t="shared" si="141"/>
        <v>0.98360655737704916</v>
      </c>
      <c r="BU88" s="376"/>
      <c r="BV88" s="328">
        <f t="shared" si="129"/>
        <v>0.5</v>
      </c>
      <c r="BW88" s="328">
        <f t="shared" si="130"/>
        <v>1</v>
      </c>
      <c r="BX88" s="373">
        <f t="shared" si="142"/>
        <v>0.42615557844543889</v>
      </c>
      <c r="BY88" s="311">
        <f t="shared" si="131"/>
        <v>17898.196114068709</v>
      </c>
      <c r="BZ88" s="311">
        <f t="shared" si="132"/>
        <v>41890.348301343496</v>
      </c>
      <c r="CA88" s="311">
        <f t="shared" si="143"/>
        <v>25995.490285171771</v>
      </c>
      <c r="CB88" s="307">
        <f t="shared" si="144"/>
        <v>25.995490285171769</v>
      </c>
      <c r="CC88" s="309">
        <f t="shared" si="145"/>
        <v>0.42615557844543883</v>
      </c>
      <c r="CD88" s="379">
        <f t="shared" si="133"/>
        <v>1.7014878932762449</v>
      </c>
    </row>
    <row r="89" spans="1:82" x14ac:dyDescent="0.25">
      <c r="A89" s="315">
        <v>81</v>
      </c>
      <c r="B89" s="315" t="s">
        <v>619</v>
      </c>
      <c r="C89" s="315" t="s">
        <v>736</v>
      </c>
      <c r="D89" s="315" t="s">
        <v>598</v>
      </c>
      <c r="E89" s="315" t="s">
        <v>668</v>
      </c>
      <c r="F89" s="315" t="s">
        <v>484</v>
      </c>
      <c r="G89" s="321">
        <v>1400</v>
      </c>
      <c r="H89" s="321">
        <f t="shared" si="90"/>
        <v>1400</v>
      </c>
      <c r="I89" s="321">
        <v>610</v>
      </c>
      <c r="J89" s="316">
        <f t="shared" si="91"/>
        <v>854000</v>
      </c>
      <c r="K89" s="321">
        <v>100</v>
      </c>
      <c r="L89" s="329">
        <f t="shared" si="92"/>
        <v>488</v>
      </c>
      <c r="M89" s="319">
        <f t="shared" si="93"/>
        <v>2.2950819672131146</v>
      </c>
      <c r="N89" s="319">
        <f t="shared" si="134"/>
        <v>2.2950819672131146</v>
      </c>
      <c r="O89" s="319">
        <f t="shared" si="124"/>
        <v>2.2950819672131146</v>
      </c>
      <c r="P89" s="316">
        <f t="shared" si="147"/>
        <v>36400</v>
      </c>
      <c r="Q89" s="316">
        <f t="shared" si="125"/>
        <v>61000</v>
      </c>
      <c r="R89" s="319">
        <f t="shared" si="148"/>
        <v>0.59672131147540985</v>
      </c>
      <c r="S89" s="322">
        <f t="shared" si="158"/>
        <v>510</v>
      </c>
      <c r="T89" s="322">
        <f t="shared" si="159"/>
        <v>1400</v>
      </c>
      <c r="U89" s="320">
        <v>15.5</v>
      </c>
      <c r="V89" s="320">
        <v>7</v>
      </c>
      <c r="W89" s="387">
        <f t="shared" si="135"/>
        <v>7</v>
      </c>
      <c r="X89" s="318">
        <v>7</v>
      </c>
      <c r="Y89" s="387">
        <f t="shared" si="136"/>
        <v>7</v>
      </c>
      <c r="Z89" s="419">
        <v>0.52900000000000003</v>
      </c>
      <c r="AA89" s="367">
        <f t="shared" si="149"/>
        <v>6.5005099506756432</v>
      </c>
      <c r="AB89" s="367">
        <f t="shared" si="150"/>
        <v>8.1463317910078121</v>
      </c>
      <c r="AC89" s="320" t="s">
        <v>413</v>
      </c>
      <c r="AD89" s="326" t="s">
        <v>413</v>
      </c>
      <c r="AE89" s="322" t="s">
        <v>413</v>
      </c>
      <c r="AF89" s="329">
        <v>1</v>
      </c>
      <c r="AG89" s="324">
        <f t="shared" si="151"/>
        <v>6.5005099506756432</v>
      </c>
      <c r="AH89" s="324">
        <f t="shared" si="152"/>
        <v>8.1463317910078121</v>
      </c>
      <c r="AI89" s="318">
        <f t="shared" si="153"/>
        <v>7.0940850406315077</v>
      </c>
      <c r="AJ89" s="322" t="s">
        <v>413</v>
      </c>
      <c r="AK89" s="315" t="s">
        <v>739</v>
      </c>
      <c r="AL89" s="321">
        <f t="shared" si="160"/>
        <v>78.539816339744831</v>
      </c>
      <c r="AM89" s="321">
        <f t="shared" si="163"/>
        <v>314.15926535897933</v>
      </c>
      <c r="AN89" s="316">
        <f t="shared" si="154"/>
        <v>6.4376898639135101E-3</v>
      </c>
      <c r="AO89" s="315">
        <v>522</v>
      </c>
      <c r="AP89" s="324">
        <f t="shared" si="108"/>
        <v>3.3604741089628525</v>
      </c>
      <c r="AQ89" s="315">
        <v>510</v>
      </c>
      <c r="AR89" s="322" t="s">
        <v>413</v>
      </c>
      <c r="AS89" s="315">
        <v>0</v>
      </c>
      <c r="AT89" s="322" t="s">
        <v>413</v>
      </c>
      <c r="AU89" s="315">
        <v>0</v>
      </c>
      <c r="AV89" s="315">
        <v>0</v>
      </c>
      <c r="AW89" s="315">
        <f t="shared" si="162"/>
        <v>0</v>
      </c>
      <c r="AX89" s="316">
        <v>0</v>
      </c>
      <c r="AY89" s="315">
        <v>0</v>
      </c>
      <c r="AZ89" s="316">
        <f t="shared" si="113"/>
        <v>0</v>
      </c>
      <c r="BA89" s="315">
        <v>0</v>
      </c>
      <c r="BB89" s="315">
        <v>60</v>
      </c>
      <c r="BC89" s="319">
        <f t="shared" si="155"/>
        <v>0.98360655737704916</v>
      </c>
      <c r="BD89" s="329">
        <f t="shared" si="137"/>
        <v>0.13865164453815026</v>
      </c>
      <c r="BE89" s="319">
        <f t="shared" si="156"/>
        <v>1.6483516483516483</v>
      </c>
      <c r="BF89" s="315" t="s">
        <v>413</v>
      </c>
      <c r="BG89" s="315">
        <v>29.05</v>
      </c>
      <c r="BH89" s="321">
        <f t="shared" si="157"/>
        <v>29.05</v>
      </c>
      <c r="BI89" s="373">
        <v>0.94430000000000003</v>
      </c>
      <c r="BJ89" s="315">
        <f t="shared" si="126"/>
        <v>1</v>
      </c>
      <c r="BK89" s="315">
        <f t="shared" si="127"/>
        <v>1</v>
      </c>
      <c r="BL89" s="321">
        <f>BH89*BI89*BJ89*BK89</f>
        <v>27.431915</v>
      </c>
      <c r="BM89" s="319">
        <f t="shared" si="96"/>
        <v>0.44970352459016394</v>
      </c>
      <c r="BN89" s="319">
        <f t="shared" si="97"/>
        <v>0.75362403846153847</v>
      </c>
      <c r="BO89" s="376"/>
      <c r="BP89" s="330">
        <f t="shared" si="139"/>
        <v>1.1605129591594541</v>
      </c>
      <c r="BQ89" s="330">
        <f t="shared" si="128"/>
        <v>0</v>
      </c>
      <c r="BR89" s="330">
        <f t="shared" si="146"/>
        <v>0.38914756939302286</v>
      </c>
      <c r="BS89" s="330">
        <f t="shared" si="140"/>
        <v>0</v>
      </c>
      <c r="BT89" s="330">
        <f t="shared" si="141"/>
        <v>0.98360655737704916</v>
      </c>
      <c r="BU89" s="376"/>
      <c r="BV89" s="328">
        <f t="shared" si="129"/>
        <v>0.5</v>
      </c>
      <c r="BW89" s="328">
        <f t="shared" si="130"/>
        <v>1</v>
      </c>
      <c r="BX89" s="373">
        <f t="shared" si="142"/>
        <v>0.42615557844543889</v>
      </c>
      <c r="BY89" s="311">
        <f t="shared" si="131"/>
        <v>17898.196114068709</v>
      </c>
      <c r="BZ89" s="311">
        <f t="shared" si="132"/>
        <v>0</v>
      </c>
      <c r="CA89" s="311">
        <f t="shared" si="143"/>
        <v>25995.490285171771</v>
      </c>
      <c r="CB89" s="307">
        <f t="shared" si="144"/>
        <v>17.89819611406871</v>
      </c>
      <c r="CC89" s="309">
        <f t="shared" si="145"/>
        <v>0.29341305105030674</v>
      </c>
      <c r="CD89" s="379">
        <f t="shared" si="133"/>
        <v>1.5326636732087988</v>
      </c>
    </row>
    <row r="90" spans="1:82" x14ac:dyDescent="0.25">
      <c r="A90" s="305">
        <v>82</v>
      </c>
      <c r="B90" s="298" t="s">
        <v>621</v>
      </c>
      <c r="C90" s="298" t="s">
        <v>743</v>
      </c>
      <c r="D90" s="298" t="s">
        <v>598</v>
      </c>
      <c r="E90" s="298" t="s">
        <v>668</v>
      </c>
      <c r="F90" s="298" t="s">
        <v>485</v>
      </c>
      <c r="G90" s="311">
        <f>(2*12+8)*$O$3</f>
        <v>812.8</v>
      </c>
      <c r="H90" s="311">
        <f t="shared" si="90"/>
        <v>406.4</v>
      </c>
      <c r="I90" s="311">
        <f>(2*12+8)*$O$3</f>
        <v>812.8</v>
      </c>
      <c r="J90" s="327">
        <f t="shared" si="91"/>
        <v>660643.83999999997</v>
      </c>
      <c r="K90" s="311">
        <v>200</v>
      </c>
      <c r="L90" s="327">
        <f t="shared" si="92"/>
        <v>650.24</v>
      </c>
      <c r="M90" s="309">
        <f t="shared" ref="M90:M105" si="165">G90/I90</f>
        <v>1</v>
      </c>
      <c r="N90" s="309">
        <f t="shared" si="134"/>
        <v>0.5</v>
      </c>
      <c r="O90" s="309">
        <f t="shared" si="124"/>
        <v>0.5</v>
      </c>
      <c r="P90" s="306">
        <f t="shared" ref="P90:P105" si="166">(2*390/2*K90)+(I90-2*390/2)*(30)*2</f>
        <v>103368</v>
      </c>
      <c r="Q90" s="306">
        <f t="shared" si="125"/>
        <v>162560</v>
      </c>
      <c r="R90" s="309">
        <f t="shared" si="148"/>
        <v>0.63587598425196845</v>
      </c>
      <c r="S90" s="295">
        <v>400</v>
      </c>
      <c r="T90" s="368">
        <f>G90</f>
        <v>812.8</v>
      </c>
      <c r="U90" s="298">
        <v>19.3</v>
      </c>
      <c r="V90" s="298">
        <v>15.8</v>
      </c>
      <c r="W90" s="387">
        <f t="shared" si="135"/>
        <v>15.8</v>
      </c>
      <c r="X90" s="298">
        <f>(23+19.3)/2</f>
        <v>21.15</v>
      </c>
      <c r="Y90" s="387">
        <f t="shared" si="136"/>
        <v>21.15</v>
      </c>
      <c r="Z90" s="420">
        <f>1470/2800</f>
        <v>0.52500000000000002</v>
      </c>
      <c r="AA90" s="370">
        <v>8.61</v>
      </c>
      <c r="AB90" s="426">
        <f t="shared" ref="AB90:AB105" si="167">(Z90^0.636)*(U90^0.688)*(V90^0.317)</f>
        <v>12.202787320684468</v>
      </c>
      <c r="AC90" s="298">
        <v>3</v>
      </c>
      <c r="AD90" s="328">
        <f t="shared" ref="AD90:AD105" si="168">600/K90</f>
        <v>3</v>
      </c>
      <c r="AE90" s="298" t="s">
        <v>413</v>
      </c>
      <c r="AF90" s="313">
        <f t="shared" si="98"/>
        <v>0.87823286469972417</v>
      </c>
      <c r="AG90" s="413">
        <f t="shared" ref="AG90:AG105" si="169">AF90*AA90</f>
        <v>7.5615849650646245</v>
      </c>
      <c r="AH90" s="413">
        <f t="shared" ref="AH90:AH105" si="170">AF90*AB90</f>
        <v>10.716888865966192</v>
      </c>
      <c r="AI90" s="416">
        <f t="shared" ref="AI90:AI105" si="171">((2*390/2)*AG90+(I90-2*390/2)*AH90)/I90</f>
        <v>9.2029020040670648</v>
      </c>
      <c r="AJ90" s="298" t="s">
        <v>413</v>
      </c>
      <c r="AK90" s="298" t="s">
        <v>724</v>
      </c>
      <c r="AL90" s="298">
        <v>200</v>
      </c>
      <c r="AM90" s="360">
        <v>200</v>
      </c>
      <c r="AN90" s="306">
        <f t="shared" si="154"/>
        <v>1.5378937007874014E-3</v>
      </c>
      <c r="AO90" s="298">
        <v>345</v>
      </c>
      <c r="AP90" s="313">
        <f t="shared" si="108"/>
        <v>0.53057332677165348</v>
      </c>
      <c r="AQ90" s="298">
        <v>600</v>
      </c>
      <c r="AR90" s="312" t="s">
        <v>413</v>
      </c>
      <c r="AS90" s="298">
        <v>0</v>
      </c>
      <c r="AT90" s="312" t="s">
        <v>413</v>
      </c>
      <c r="AU90" s="360">
        <v>0</v>
      </c>
      <c r="AV90" s="360">
        <v>0</v>
      </c>
      <c r="AW90" s="360">
        <f t="shared" si="162"/>
        <v>0</v>
      </c>
      <c r="AX90" s="360">
        <v>0</v>
      </c>
      <c r="AY90" s="360">
        <v>0</v>
      </c>
      <c r="AZ90" s="360">
        <v>0</v>
      </c>
      <c r="BA90" s="360">
        <v>0</v>
      </c>
      <c r="BB90" s="360">
        <v>0</v>
      </c>
      <c r="BC90" s="360">
        <v>0</v>
      </c>
      <c r="BD90" s="313">
        <f t="shared" si="137"/>
        <v>0</v>
      </c>
      <c r="BE90" s="360">
        <v>0</v>
      </c>
      <c r="BF90" s="312" t="s">
        <v>413</v>
      </c>
      <c r="BG90" s="327">
        <f t="shared" ref="BG90:BG105" si="172">BN90*P90/1000</f>
        <v>96.13224000000001</v>
      </c>
      <c r="BH90" s="327">
        <f t="shared" si="157"/>
        <v>96.13224000000001</v>
      </c>
      <c r="BI90" s="373">
        <v>0.94430000000000003</v>
      </c>
      <c r="BJ90" s="360">
        <f t="shared" si="126"/>
        <v>1</v>
      </c>
      <c r="BK90" s="360">
        <f t="shared" si="127"/>
        <v>1</v>
      </c>
      <c r="BL90" s="311">
        <f t="shared" ref="BL90:BL105" si="173">BH90*BI90*BJ90*BK90</f>
        <v>90.77767423200001</v>
      </c>
      <c r="BM90" s="309">
        <f t="shared" si="96"/>
        <v>0.55842565349409456</v>
      </c>
      <c r="BN90" s="328">
        <v>0.93</v>
      </c>
      <c r="BO90" s="376"/>
      <c r="BP90" s="328">
        <f t="shared" si="139"/>
        <v>6.0672570422117653</v>
      </c>
      <c r="BQ90" s="328">
        <f t="shared" si="128"/>
        <v>0</v>
      </c>
      <c r="BR90" s="328">
        <f t="shared" si="146"/>
        <v>0.13136844265105665</v>
      </c>
      <c r="BS90" s="328">
        <f t="shared" si="140"/>
        <v>0</v>
      </c>
      <c r="BT90" s="328">
        <f t="shared" si="141"/>
        <v>0</v>
      </c>
      <c r="BU90" s="376"/>
      <c r="BV90" s="328">
        <f t="shared" si="129"/>
        <v>0.5</v>
      </c>
      <c r="BW90" s="328">
        <f t="shared" si="130"/>
        <v>0.625</v>
      </c>
      <c r="BX90" s="373">
        <f t="shared" si="142"/>
        <v>0.66739827464329415</v>
      </c>
      <c r="BY90" s="311">
        <f t="shared" si="131"/>
        <v>43396.905410405554</v>
      </c>
      <c r="BZ90" s="311">
        <f t="shared" si="132"/>
        <v>0</v>
      </c>
      <c r="CA90" s="311">
        <f t="shared" si="143"/>
        <v>78903.464382555569</v>
      </c>
      <c r="CB90" s="307">
        <f t="shared" si="144"/>
        <v>43.396905410405552</v>
      </c>
      <c r="CC90" s="309">
        <f t="shared" si="145"/>
        <v>0.26695930985731764</v>
      </c>
      <c r="CD90" s="379">
        <f t="shared" si="133"/>
        <v>2.0918006335593153</v>
      </c>
    </row>
    <row r="91" spans="1:82" x14ac:dyDescent="0.25">
      <c r="A91" s="305">
        <v>83</v>
      </c>
      <c r="B91" s="298" t="s">
        <v>621</v>
      </c>
      <c r="C91" s="298" t="s">
        <v>744</v>
      </c>
      <c r="D91" s="360" t="s">
        <v>598</v>
      </c>
      <c r="E91" s="360" t="s">
        <v>668</v>
      </c>
      <c r="F91" s="360" t="s">
        <v>485</v>
      </c>
      <c r="G91" s="311">
        <f t="shared" ref="G91:G105" si="174">(2*12+8)*$O$3</f>
        <v>812.8</v>
      </c>
      <c r="H91" s="311">
        <f t="shared" si="90"/>
        <v>406.4</v>
      </c>
      <c r="I91" s="311">
        <f t="shared" ref="I91:I105" si="175">(2*12+8)*$O$3</f>
        <v>812.8</v>
      </c>
      <c r="J91" s="327">
        <f t="shared" si="91"/>
        <v>660643.83999999997</v>
      </c>
      <c r="K91" s="311">
        <v>200</v>
      </c>
      <c r="L91" s="327">
        <f t="shared" si="92"/>
        <v>650.24</v>
      </c>
      <c r="M91" s="309">
        <f t="shared" si="165"/>
        <v>1</v>
      </c>
      <c r="N91" s="309">
        <f t="shared" si="134"/>
        <v>0.5</v>
      </c>
      <c r="O91" s="309">
        <f t="shared" si="124"/>
        <v>0.5</v>
      </c>
      <c r="P91" s="306">
        <f t="shared" si="166"/>
        <v>103368</v>
      </c>
      <c r="Q91" s="306">
        <f t="shared" si="125"/>
        <v>162560</v>
      </c>
      <c r="R91" s="309">
        <f t="shared" si="148"/>
        <v>0.63587598425196845</v>
      </c>
      <c r="S91" s="295">
        <v>400</v>
      </c>
      <c r="T91" s="312">
        <f t="shared" ref="T91:T105" si="176">G91</f>
        <v>812.8</v>
      </c>
      <c r="U91" s="360">
        <v>19.3</v>
      </c>
      <c r="V91" s="360">
        <v>15.8</v>
      </c>
      <c r="W91" s="387">
        <f t="shared" si="135"/>
        <v>15.8</v>
      </c>
      <c r="X91" s="360">
        <f t="shared" ref="X91:X105" si="177">(23+19.3)/2</f>
        <v>21.15</v>
      </c>
      <c r="Y91" s="387">
        <f t="shared" si="136"/>
        <v>21.15</v>
      </c>
      <c r="Z91" s="420">
        <f t="shared" ref="Z91:Z105" si="178">1470/2800</f>
        <v>0.52500000000000002</v>
      </c>
      <c r="AA91" s="373">
        <v>8.61</v>
      </c>
      <c r="AB91" s="366">
        <f t="shared" si="167"/>
        <v>12.202787320684468</v>
      </c>
      <c r="AC91" s="298">
        <v>3</v>
      </c>
      <c r="AD91" s="328">
        <f t="shared" si="168"/>
        <v>3</v>
      </c>
      <c r="AE91" s="298" t="s">
        <v>413</v>
      </c>
      <c r="AF91" s="313">
        <f t="shared" si="98"/>
        <v>0.87823286469972417</v>
      </c>
      <c r="AG91" s="313">
        <f t="shared" si="169"/>
        <v>7.5615849650646245</v>
      </c>
      <c r="AH91" s="313">
        <f t="shared" si="170"/>
        <v>10.716888865966192</v>
      </c>
      <c r="AI91" s="308">
        <f t="shared" si="171"/>
        <v>9.2029020040670648</v>
      </c>
      <c r="AJ91" s="298" t="s">
        <v>413</v>
      </c>
      <c r="AK91" s="298" t="s">
        <v>724</v>
      </c>
      <c r="AL91" s="360">
        <v>200</v>
      </c>
      <c r="AM91" s="360">
        <v>200</v>
      </c>
      <c r="AN91" s="306">
        <f t="shared" si="154"/>
        <v>1.5378937007874014E-3</v>
      </c>
      <c r="AO91" s="360">
        <v>345</v>
      </c>
      <c r="AP91" s="313">
        <f t="shared" si="108"/>
        <v>0.53057332677165348</v>
      </c>
      <c r="AQ91" s="360">
        <v>600</v>
      </c>
      <c r="AR91" s="312" t="s">
        <v>413</v>
      </c>
      <c r="AS91" s="360">
        <v>0</v>
      </c>
      <c r="AT91" s="312" t="s">
        <v>413</v>
      </c>
      <c r="AU91" s="360">
        <v>0</v>
      </c>
      <c r="AV91" s="360">
        <v>0</v>
      </c>
      <c r="AW91" s="360">
        <f t="shared" si="162"/>
        <v>0</v>
      </c>
      <c r="AX91" s="360">
        <v>0</v>
      </c>
      <c r="AY91" s="360">
        <v>0</v>
      </c>
      <c r="AZ91" s="360">
        <v>0</v>
      </c>
      <c r="BA91" s="360">
        <v>0</v>
      </c>
      <c r="BB91" s="360">
        <v>0</v>
      </c>
      <c r="BC91" s="360">
        <v>0</v>
      </c>
      <c r="BD91" s="313">
        <f t="shared" si="137"/>
        <v>0</v>
      </c>
      <c r="BE91" s="360">
        <v>0</v>
      </c>
      <c r="BF91" s="312" t="s">
        <v>413</v>
      </c>
      <c r="BG91" s="327">
        <f t="shared" si="172"/>
        <v>108.53640000000001</v>
      </c>
      <c r="BH91" s="327">
        <f t="shared" si="157"/>
        <v>108.53640000000001</v>
      </c>
      <c r="BI91" s="373">
        <v>0.94430000000000003</v>
      </c>
      <c r="BJ91" s="360">
        <f t="shared" si="126"/>
        <v>1</v>
      </c>
      <c r="BK91" s="360">
        <f t="shared" si="127"/>
        <v>1</v>
      </c>
      <c r="BL91" s="311">
        <f t="shared" si="173"/>
        <v>102.49092252000001</v>
      </c>
      <c r="BM91" s="309">
        <f t="shared" si="96"/>
        <v>0.63048057652559064</v>
      </c>
      <c r="BN91" s="328">
        <v>1.05</v>
      </c>
      <c r="BO91" s="376"/>
      <c r="BP91" s="328">
        <f t="shared" si="139"/>
        <v>6.0672570422117653</v>
      </c>
      <c r="BQ91" s="328">
        <f t="shared" si="128"/>
        <v>0</v>
      </c>
      <c r="BR91" s="328">
        <f t="shared" si="146"/>
        <v>0.13136844265105665</v>
      </c>
      <c r="BS91" s="328">
        <f t="shared" si="140"/>
        <v>0</v>
      </c>
      <c r="BT91" s="328">
        <f t="shared" si="141"/>
        <v>0</v>
      </c>
      <c r="BU91" s="376"/>
      <c r="BV91" s="328">
        <f t="shared" si="129"/>
        <v>0.5</v>
      </c>
      <c r="BW91" s="328">
        <f t="shared" si="130"/>
        <v>0.625</v>
      </c>
      <c r="BX91" s="373">
        <f t="shared" si="142"/>
        <v>0.66739827464329415</v>
      </c>
      <c r="BY91" s="311">
        <f t="shared" si="131"/>
        <v>43396.905410405554</v>
      </c>
      <c r="BZ91" s="311">
        <f t="shared" si="132"/>
        <v>0</v>
      </c>
      <c r="CA91" s="311">
        <f t="shared" si="143"/>
        <v>78903.464382555569</v>
      </c>
      <c r="CB91" s="307">
        <f t="shared" si="144"/>
        <v>43.396905410405552</v>
      </c>
      <c r="CC91" s="309">
        <f t="shared" si="145"/>
        <v>0.26695930985731764</v>
      </c>
      <c r="CD91" s="379">
        <f t="shared" si="133"/>
        <v>2.3617103927282592</v>
      </c>
    </row>
    <row r="92" spans="1:82" x14ac:dyDescent="0.25">
      <c r="A92" s="305">
        <v>84</v>
      </c>
      <c r="B92" s="298" t="s">
        <v>621</v>
      </c>
      <c r="C92" s="298" t="s">
        <v>745</v>
      </c>
      <c r="D92" s="360" t="s">
        <v>598</v>
      </c>
      <c r="E92" s="360" t="s">
        <v>668</v>
      </c>
      <c r="F92" s="360" t="s">
        <v>485</v>
      </c>
      <c r="G92" s="311">
        <f t="shared" si="174"/>
        <v>812.8</v>
      </c>
      <c r="H92" s="311">
        <f t="shared" si="90"/>
        <v>406.4</v>
      </c>
      <c r="I92" s="311">
        <f t="shared" si="175"/>
        <v>812.8</v>
      </c>
      <c r="J92" s="327">
        <f t="shared" si="91"/>
        <v>660643.83999999997</v>
      </c>
      <c r="K92" s="311">
        <v>200</v>
      </c>
      <c r="L92" s="327">
        <f t="shared" si="92"/>
        <v>650.24</v>
      </c>
      <c r="M92" s="309">
        <f t="shared" si="165"/>
        <v>1</v>
      </c>
      <c r="N92" s="309">
        <f t="shared" si="134"/>
        <v>0.5</v>
      </c>
      <c r="O92" s="309">
        <f t="shared" si="124"/>
        <v>0.5</v>
      </c>
      <c r="P92" s="306">
        <f t="shared" si="166"/>
        <v>103368</v>
      </c>
      <c r="Q92" s="306">
        <f t="shared" si="125"/>
        <v>162560</v>
      </c>
      <c r="R92" s="309">
        <f t="shared" si="148"/>
        <v>0.63587598425196845</v>
      </c>
      <c r="S92" s="295">
        <v>400</v>
      </c>
      <c r="T92" s="312">
        <f t="shared" si="176"/>
        <v>812.8</v>
      </c>
      <c r="U92" s="360">
        <v>19.3</v>
      </c>
      <c r="V92" s="360">
        <v>17.2</v>
      </c>
      <c r="W92" s="387">
        <f t="shared" si="135"/>
        <v>17.2</v>
      </c>
      <c r="X92" s="360">
        <f t="shared" si="177"/>
        <v>21.15</v>
      </c>
      <c r="Y92" s="387">
        <f t="shared" si="136"/>
        <v>21.15</v>
      </c>
      <c r="Z92" s="420">
        <f t="shared" si="178"/>
        <v>0.52500000000000002</v>
      </c>
      <c r="AA92" s="373">
        <v>9.23</v>
      </c>
      <c r="AB92" s="366">
        <f>(Z92^0.636)*(U92^0.688)*(V92^0.317)</f>
        <v>12.535661697780872</v>
      </c>
      <c r="AC92" s="298">
        <v>3</v>
      </c>
      <c r="AD92" s="328">
        <f t="shared" si="168"/>
        <v>3</v>
      </c>
      <c r="AE92" s="298" t="s">
        <v>413</v>
      </c>
      <c r="AF92" s="313">
        <f t="shared" si="98"/>
        <v>0.87823286469972417</v>
      </c>
      <c r="AG92" s="313">
        <f t="shared" si="169"/>
        <v>8.1060893411784551</v>
      </c>
      <c r="AH92" s="313">
        <f t="shared" si="170"/>
        <v>11.009230083748703</v>
      </c>
      <c r="AI92" s="308">
        <f t="shared" si="171"/>
        <v>9.6162368632733131</v>
      </c>
      <c r="AJ92" s="298" t="s">
        <v>413</v>
      </c>
      <c r="AK92" s="298" t="s">
        <v>724</v>
      </c>
      <c r="AL92" s="360">
        <v>200</v>
      </c>
      <c r="AM92" s="360">
        <v>200</v>
      </c>
      <c r="AN92" s="306">
        <f t="shared" si="154"/>
        <v>1.5378937007874014E-3</v>
      </c>
      <c r="AO92" s="360">
        <v>345</v>
      </c>
      <c r="AP92" s="313">
        <f t="shared" si="108"/>
        <v>0.53057332677165348</v>
      </c>
      <c r="AQ92" s="360">
        <v>600</v>
      </c>
      <c r="AR92" s="312" t="s">
        <v>413</v>
      </c>
      <c r="AS92" s="360">
        <v>0</v>
      </c>
      <c r="AT92" s="312" t="s">
        <v>413</v>
      </c>
      <c r="AU92" s="360">
        <v>0</v>
      </c>
      <c r="AV92" s="360">
        <v>0</v>
      </c>
      <c r="AW92" s="360">
        <f t="shared" si="162"/>
        <v>0</v>
      </c>
      <c r="AX92" s="360">
        <v>0</v>
      </c>
      <c r="AY92" s="360">
        <v>0</v>
      </c>
      <c r="AZ92" s="360">
        <v>0</v>
      </c>
      <c r="BA92" s="360">
        <v>0</v>
      </c>
      <c r="BB92" s="360">
        <v>0</v>
      </c>
      <c r="BC92" s="360">
        <v>0</v>
      </c>
      <c r="BD92" s="313">
        <f t="shared" si="137"/>
        <v>0</v>
      </c>
      <c r="BE92" s="360">
        <v>0</v>
      </c>
      <c r="BF92" s="312" t="s">
        <v>413</v>
      </c>
      <c r="BG92" s="327">
        <f t="shared" si="172"/>
        <v>116.80583999999998</v>
      </c>
      <c r="BH92" s="327">
        <f t="shared" si="157"/>
        <v>116.80583999999998</v>
      </c>
      <c r="BI92" s="373">
        <v>0.94430000000000003</v>
      </c>
      <c r="BJ92" s="360">
        <f t="shared" si="126"/>
        <v>1</v>
      </c>
      <c r="BK92" s="360">
        <f t="shared" si="127"/>
        <v>1</v>
      </c>
      <c r="BL92" s="311">
        <f t="shared" si="173"/>
        <v>110.29975471199998</v>
      </c>
      <c r="BM92" s="309">
        <f t="shared" si="96"/>
        <v>0.6785171918799211</v>
      </c>
      <c r="BN92" s="328">
        <v>1.1299999999999999</v>
      </c>
      <c r="BO92" s="376"/>
      <c r="BP92" s="328">
        <f t="shared" si="139"/>
        <v>6.2020115650563934</v>
      </c>
      <c r="BQ92" s="328">
        <f t="shared" si="128"/>
        <v>0</v>
      </c>
      <c r="BR92" s="328">
        <f t="shared" si="146"/>
        <v>0.13136844265105665</v>
      </c>
      <c r="BS92" s="328">
        <f t="shared" si="140"/>
        <v>0</v>
      </c>
      <c r="BT92" s="328">
        <f t="shared" si="141"/>
        <v>0</v>
      </c>
      <c r="BU92" s="376"/>
      <c r="BV92" s="328">
        <f t="shared" si="129"/>
        <v>0.5</v>
      </c>
      <c r="BW92" s="328">
        <f t="shared" si="130"/>
        <v>0.625</v>
      </c>
      <c r="BX92" s="373">
        <f t="shared" si="142"/>
        <v>0.68222127215620332</v>
      </c>
      <c r="BY92" s="311">
        <f t="shared" si="131"/>
        <v>44360.756000684967</v>
      </c>
      <c r="BZ92" s="311">
        <f t="shared" si="132"/>
        <v>0</v>
      </c>
      <c r="CA92" s="311">
        <f t="shared" si="143"/>
        <v>80655.920001245395</v>
      </c>
      <c r="CB92" s="307">
        <f t="shared" si="144"/>
        <v>44.360756000684965</v>
      </c>
      <c r="CC92" s="309">
        <f t="shared" si="145"/>
        <v>0.27288850886248134</v>
      </c>
      <c r="CD92" s="379">
        <f t="shared" si="133"/>
        <v>2.4864263970230098</v>
      </c>
    </row>
    <row r="93" spans="1:82" x14ac:dyDescent="0.25">
      <c r="A93" s="305">
        <v>85</v>
      </c>
      <c r="B93" s="298" t="s">
        <v>621</v>
      </c>
      <c r="C93" s="360" t="s">
        <v>746</v>
      </c>
      <c r="D93" s="360" t="s">
        <v>598</v>
      </c>
      <c r="E93" s="360" t="s">
        <v>668</v>
      </c>
      <c r="F93" s="360" t="s">
        <v>485</v>
      </c>
      <c r="G93" s="311">
        <f t="shared" si="174"/>
        <v>812.8</v>
      </c>
      <c r="H93" s="311">
        <f t="shared" si="90"/>
        <v>406.4</v>
      </c>
      <c r="I93" s="311">
        <f t="shared" si="175"/>
        <v>812.8</v>
      </c>
      <c r="J93" s="327">
        <f t="shared" si="91"/>
        <v>660643.83999999997</v>
      </c>
      <c r="K93" s="311">
        <v>200</v>
      </c>
      <c r="L93" s="327">
        <f t="shared" si="92"/>
        <v>650.24</v>
      </c>
      <c r="M93" s="309">
        <f t="shared" si="165"/>
        <v>1</v>
      </c>
      <c r="N93" s="309">
        <f t="shared" si="134"/>
        <v>0.5</v>
      </c>
      <c r="O93" s="309">
        <f t="shared" si="124"/>
        <v>0.5</v>
      </c>
      <c r="P93" s="306">
        <f t="shared" si="166"/>
        <v>103368</v>
      </c>
      <c r="Q93" s="306">
        <f t="shared" si="125"/>
        <v>162560</v>
      </c>
      <c r="R93" s="309">
        <f t="shared" si="148"/>
        <v>0.63587598425196845</v>
      </c>
      <c r="S93" s="295">
        <v>400</v>
      </c>
      <c r="T93" s="312">
        <f t="shared" si="176"/>
        <v>812.8</v>
      </c>
      <c r="U93" s="360">
        <v>19.3</v>
      </c>
      <c r="V93" s="360">
        <v>17.2</v>
      </c>
      <c r="W93" s="387">
        <f t="shared" si="135"/>
        <v>17.2</v>
      </c>
      <c r="X93" s="360">
        <f t="shared" si="177"/>
        <v>21.15</v>
      </c>
      <c r="Y93" s="387">
        <f t="shared" si="136"/>
        <v>21.15</v>
      </c>
      <c r="Z93" s="420">
        <f t="shared" si="178"/>
        <v>0.52500000000000002</v>
      </c>
      <c r="AA93" s="373">
        <v>9.23</v>
      </c>
      <c r="AB93" s="366">
        <f t="shared" si="167"/>
        <v>12.535661697780872</v>
      </c>
      <c r="AC93" s="298">
        <v>3</v>
      </c>
      <c r="AD93" s="328">
        <f t="shared" si="168"/>
        <v>3</v>
      </c>
      <c r="AE93" s="298" t="s">
        <v>413</v>
      </c>
      <c r="AF93" s="313">
        <f t="shared" si="98"/>
        <v>0.87823286469972417</v>
      </c>
      <c r="AG93" s="313">
        <f t="shared" si="169"/>
        <v>8.1060893411784551</v>
      </c>
      <c r="AH93" s="313">
        <f t="shared" si="170"/>
        <v>11.009230083748703</v>
      </c>
      <c r="AI93" s="308">
        <f t="shared" si="171"/>
        <v>9.6162368632733131</v>
      </c>
      <c r="AJ93" s="298" t="s">
        <v>413</v>
      </c>
      <c r="AK93" s="298" t="s">
        <v>724</v>
      </c>
      <c r="AL93" s="360">
        <v>200</v>
      </c>
      <c r="AM93" s="360">
        <v>200</v>
      </c>
      <c r="AN93" s="306">
        <f t="shared" si="154"/>
        <v>1.5378937007874014E-3</v>
      </c>
      <c r="AO93" s="360">
        <v>345</v>
      </c>
      <c r="AP93" s="313">
        <f t="shared" si="108"/>
        <v>0.53057332677165348</v>
      </c>
      <c r="AQ93" s="360">
        <v>600</v>
      </c>
      <c r="AR93" s="312" t="s">
        <v>413</v>
      </c>
      <c r="AS93" s="360">
        <v>0</v>
      </c>
      <c r="AT93" s="312" t="s">
        <v>413</v>
      </c>
      <c r="AU93" s="360">
        <v>0</v>
      </c>
      <c r="AV93" s="360">
        <v>0</v>
      </c>
      <c r="AW93" s="360">
        <f t="shared" si="162"/>
        <v>0</v>
      </c>
      <c r="AX93" s="360">
        <v>0</v>
      </c>
      <c r="AY93" s="360">
        <v>0</v>
      </c>
      <c r="AZ93" s="360">
        <v>0</v>
      </c>
      <c r="BA93" s="360">
        <v>0</v>
      </c>
      <c r="BB93" s="360">
        <v>0</v>
      </c>
      <c r="BC93" s="360">
        <v>0</v>
      </c>
      <c r="BD93" s="313">
        <f t="shared" si="137"/>
        <v>0</v>
      </c>
      <c r="BE93" s="360">
        <v>0</v>
      </c>
      <c r="BF93" s="312" t="s">
        <v>413</v>
      </c>
      <c r="BG93" s="327">
        <f t="shared" si="172"/>
        <v>186.0624</v>
      </c>
      <c r="BH93" s="327">
        <f t="shared" si="157"/>
        <v>186.0624</v>
      </c>
      <c r="BI93" s="373">
        <v>0.94430000000000003</v>
      </c>
      <c r="BJ93" s="360">
        <f t="shared" si="126"/>
        <v>1</v>
      </c>
      <c r="BK93" s="360">
        <f t="shared" si="127"/>
        <v>1</v>
      </c>
      <c r="BL93" s="311">
        <f t="shared" si="173"/>
        <v>175.69872432</v>
      </c>
      <c r="BM93" s="309">
        <f t="shared" si="96"/>
        <v>1.0808238454724408</v>
      </c>
      <c r="BN93" s="328">
        <v>1.8</v>
      </c>
      <c r="BO93" s="376"/>
      <c r="BP93" s="328">
        <f t="shared" si="139"/>
        <v>6.2020115650563934</v>
      </c>
      <c r="BQ93" s="328">
        <f t="shared" si="128"/>
        <v>0</v>
      </c>
      <c r="BR93" s="328">
        <f t="shared" si="146"/>
        <v>0.13136844265105665</v>
      </c>
      <c r="BS93" s="328">
        <f t="shared" si="140"/>
        <v>0</v>
      </c>
      <c r="BT93" s="328">
        <f t="shared" si="141"/>
        <v>0</v>
      </c>
      <c r="BU93" s="376"/>
      <c r="BV93" s="328">
        <f t="shared" si="129"/>
        <v>0.5</v>
      </c>
      <c r="BW93" s="328">
        <f t="shared" si="130"/>
        <v>0.625</v>
      </c>
      <c r="BX93" s="373">
        <f t="shared" si="142"/>
        <v>0.68222127215620332</v>
      </c>
      <c r="BY93" s="311">
        <f t="shared" si="131"/>
        <v>44360.756000684967</v>
      </c>
      <c r="BZ93" s="311">
        <f t="shared" si="132"/>
        <v>0</v>
      </c>
      <c r="CA93" s="311">
        <f t="shared" si="143"/>
        <v>80655.920001245395</v>
      </c>
      <c r="CB93" s="307">
        <f t="shared" si="144"/>
        <v>44.360756000684965</v>
      </c>
      <c r="CC93" s="309">
        <f t="shared" si="145"/>
        <v>0.27288850886248134</v>
      </c>
      <c r="CD93" s="379">
        <f t="shared" si="133"/>
        <v>3.9606792164968305</v>
      </c>
    </row>
    <row r="94" spans="1:82" x14ac:dyDescent="0.25">
      <c r="A94" s="305">
        <v>86</v>
      </c>
      <c r="B94" s="298" t="s">
        <v>621</v>
      </c>
      <c r="C94" s="360" t="s">
        <v>747</v>
      </c>
      <c r="D94" s="360" t="s">
        <v>598</v>
      </c>
      <c r="E94" s="360" t="s">
        <v>668</v>
      </c>
      <c r="F94" s="360" t="s">
        <v>485</v>
      </c>
      <c r="G94" s="311">
        <f t="shared" si="174"/>
        <v>812.8</v>
      </c>
      <c r="H94" s="311">
        <f t="shared" si="90"/>
        <v>406.4</v>
      </c>
      <c r="I94" s="311">
        <f t="shared" si="175"/>
        <v>812.8</v>
      </c>
      <c r="J94" s="327">
        <f t="shared" si="91"/>
        <v>660643.83999999997</v>
      </c>
      <c r="K94" s="311">
        <v>200</v>
      </c>
      <c r="L94" s="327">
        <f t="shared" si="92"/>
        <v>650.24</v>
      </c>
      <c r="M94" s="309">
        <f t="shared" si="165"/>
        <v>1</v>
      </c>
      <c r="N94" s="309">
        <f t="shared" si="134"/>
        <v>0.5</v>
      </c>
      <c r="O94" s="309">
        <f t="shared" si="124"/>
        <v>0.5</v>
      </c>
      <c r="P94" s="306">
        <f t="shared" si="166"/>
        <v>103368</v>
      </c>
      <c r="Q94" s="306">
        <f t="shared" si="125"/>
        <v>162560</v>
      </c>
      <c r="R94" s="309">
        <f t="shared" si="148"/>
        <v>0.63587598425196845</v>
      </c>
      <c r="S94" s="295">
        <v>400</v>
      </c>
      <c r="T94" s="312">
        <f t="shared" si="176"/>
        <v>812.8</v>
      </c>
      <c r="U94" s="360">
        <v>19.3</v>
      </c>
      <c r="V94" s="360">
        <v>19.600000000000001</v>
      </c>
      <c r="W94" s="387">
        <f t="shared" si="135"/>
        <v>19.600000000000001</v>
      </c>
      <c r="X94" s="360">
        <f t="shared" si="177"/>
        <v>21.15</v>
      </c>
      <c r="Y94" s="387">
        <f t="shared" si="136"/>
        <v>21.15</v>
      </c>
      <c r="Z94" s="420">
        <f t="shared" si="178"/>
        <v>0.52500000000000002</v>
      </c>
      <c r="AA94" s="373">
        <v>8.41</v>
      </c>
      <c r="AB94" s="366">
        <f t="shared" si="167"/>
        <v>13.065616905801569</v>
      </c>
      <c r="AC94" s="298">
        <v>3</v>
      </c>
      <c r="AD94" s="328">
        <f t="shared" si="168"/>
        <v>3</v>
      </c>
      <c r="AE94" s="298" t="s">
        <v>413</v>
      </c>
      <c r="AF94" s="313">
        <f t="shared" si="98"/>
        <v>0.87823286469972417</v>
      </c>
      <c r="AG94" s="313">
        <f t="shared" si="169"/>
        <v>7.3859383921246806</v>
      </c>
      <c r="AH94" s="313">
        <f t="shared" si="170"/>
        <v>11.474654164251259</v>
      </c>
      <c r="AI94" s="308">
        <f t="shared" si="171"/>
        <v>9.5127949724090275</v>
      </c>
      <c r="AJ94" s="298" t="s">
        <v>413</v>
      </c>
      <c r="AK94" s="298" t="s">
        <v>724</v>
      </c>
      <c r="AL94" s="360">
        <v>200</v>
      </c>
      <c r="AM94" s="360">
        <v>200</v>
      </c>
      <c r="AN94" s="306">
        <f t="shared" si="154"/>
        <v>1.5378937007874014E-3</v>
      </c>
      <c r="AO94" s="360">
        <v>345</v>
      </c>
      <c r="AP94" s="313">
        <f t="shared" si="108"/>
        <v>0.53057332677165348</v>
      </c>
      <c r="AQ94" s="360">
        <v>600</v>
      </c>
      <c r="AR94" s="312" t="s">
        <v>413</v>
      </c>
      <c r="AS94" s="360">
        <v>0</v>
      </c>
      <c r="AT94" s="312" t="s">
        <v>413</v>
      </c>
      <c r="AU94" s="360">
        <v>0</v>
      </c>
      <c r="AV94" s="360">
        <v>0</v>
      </c>
      <c r="AW94" s="360">
        <f t="shared" si="162"/>
        <v>0</v>
      </c>
      <c r="AX94" s="360">
        <v>0</v>
      </c>
      <c r="AY94" s="360">
        <v>0</v>
      </c>
      <c r="AZ94" s="360">
        <v>0</v>
      </c>
      <c r="BA94" s="360">
        <v>0</v>
      </c>
      <c r="BB94" s="360">
        <v>0</v>
      </c>
      <c r="BC94" s="360">
        <v>0</v>
      </c>
      <c r="BD94" s="313">
        <f t="shared" si="137"/>
        <v>0</v>
      </c>
      <c r="BE94" s="360">
        <v>0</v>
      </c>
      <c r="BF94" s="312" t="s">
        <v>413</v>
      </c>
      <c r="BG94" s="327">
        <f t="shared" si="172"/>
        <v>103.26463199999999</v>
      </c>
      <c r="BH94" s="327">
        <f t="shared" si="157"/>
        <v>103.26463199999999</v>
      </c>
      <c r="BI94" s="373">
        <v>0.94430000000000003</v>
      </c>
      <c r="BJ94" s="360">
        <f t="shared" si="126"/>
        <v>1</v>
      </c>
      <c r="BK94" s="360">
        <f t="shared" si="127"/>
        <v>1</v>
      </c>
      <c r="BL94" s="311">
        <f t="shared" si="173"/>
        <v>97.51279199759999</v>
      </c>
      <c r="BM94" s="309">
        <f t="shared" si="96"/>
        <v>0.59985723423720472</v>
      </c>
      <c r="BN94" s="328">
        <v>0.999</v>
      </c>
      <c r="BO94" s="376"/>
      <c r="BP94" s="328">
        <f t="shared" si="139"/>
        <v>6.1685638433622545</v>
      </c>
      <c r="BQ94" s="328">
        <f t="shared" si="128"/>
        <v>0</v>
      </c>
      <c r="BR94" s="328">
        <f t="shared" si="146"/>
        <v>0.13136844265105665</v>
      </c>
      <c r="BS94" s="328">
        <f t="shared" si="140"/>
        <v>0</v>
      </c>
      <c r="BT94" s="328">
        <f t="shared" si="141"/>
        <v>0</v>
      </c>
      <c r="BU94" s="376"/>
      <c r="BV94" s="328">
        <f t="shared" si="129"/>
        <v>0.5</v>
      </c>
      <c r="BW94" s="328">
        <f t="shared" si="130"/>
        <v>0.625</v>
      </c>
      <c r="BX94" s="373">
        <f t="shared" si="142"/>
        <v>0.67854202276984799</v>
      </c>
      <c r="BY94" s="311">
        <f t="shared" si="131"/>
        <v>44121.516488586596</v>
      </c>
      <c r="BZ94" s="311">
        <f t="shared" si="132"/>
        <v>0</v>
      </c>
      <c r="CA94" s="311">
        <f t="shared" si="143"/>
        <v>80220.939070157459</v>
      </c>
      <c r="CB94" s="307">
        <f t="shared" si="144"/>
        <v>44.121516488586593</v>
      </c>
      <c r="CC94" s="309">
        <f t="shared" si="145"/>
        <v>0.27141680910793919</v>
      </c>
      <c r="CD94" s="379">
        <f t="shared" si="133"/>
        <v>2.2100961108810644</v>
      </c>
    </row>
    <row r="95" spans="1:82" x14ac:dyDescent="0.25">
      <c r="A95" s="305">
        <v>87</v>
      </c>
      <c r="B95" s="298" t="s">
        <v>621</v>
      </c>
      <c r="C95" s="360" t="s">
        <v>748</v>
      </c>
      <c r="D95" s="360" t="s">
        <v>598</v>
      </c>
      <c r="E95" s="360" t="s">
        <v>668</v>
      </c>
      <c r="F95" s="360" t="s">
        <v>485</v>
      </c>
      <c r="G95" s="311">
        <f t="shared" si="174"/>
        <v>812.8</v>
      </c>
      <c r="H95" s="311">
        <f t="shared" si="90"/>
        <v>406.4</v>
      </c>
      <c r="I95" s="311">
        <f t="shared" si="175"/>
        <v>812.8</v>
      </c>
      <c r="J95" s="327">
        <f t="shared" si="91"/>
        <v>660643.83999999997</v>
      </c>
      <c r="K95" s="311">
        <v>200</v>
      </c>
      <c r="L95" s="327">
        <f t="shared" si="92"/>
        <v>650.24</v>
      </c>
      <c r="M95" s="309">
        <f t="shared" si="165"/>
        <v>1</v>
      </c>
      <c r="N95" s="309">
        <f t="shared" si="134"/>
        <v>0.5</v>
      </c>
      <c r="O95" s="309">
        <f t="shared" si="124"/>
        <v>0.5</v>
      </c>
      <c r="P95" s="306">
        <f t="shared" si="166"/>
        <v>103368</v>
      </c>
      <c r="Q95" s="306">
        <f t="shared" si="125"/>
        <v>162560</v>
      </c>
      <c r="R95" s="309">
        <f t="shared" si="148"/>
        <v>0.63587598425196845</v>
      </c>
      <c r="S95" s="295">
        <v>400</v>
      </c>
      <c r="T95" s="312">
        <f t="shared" si="176"/>
        <v>812.8</v>
      </c>
      <c r="U95" s="360">
        <v>19.3</v>
      </c>
      <c r="V95" s="360">
        <v>19.600000000000001</v>
      </c>
      <c r="W95" s="387">
        <f t="shared" si="135"/>
        <v>19.600000000000001</v>
      </c>
      <c r="X95" s="360">
        <f t="shared" si="177"/>
        <v>21.15</v>
      </c>
      <c r="Y95" s="387">
        <f t="shared" si="136"/>
        <v>21.15</v>
      </c>
      <c r="Z95" s="420">
        <f t="shared" si="178"/>
        <v>0.52500000000000002</v>
      </c>
      <c r="AA95" s="373">
        <v>8.41</v>
      </c>
      <c r="AB95" s="366">
        <f t="shared" si="167"/>
        <v>13.065616905801569</v>
      </c>
      <c r="AC95" s="298">
        <v>3</v>
      </c>
      <c r="AD95" s="328">
        <f t="shared" si="168"/>
        <v>3</v>
      </c>
      <c r="AE95" s="298" t="s">
        <v>413</v>
      </c>
      <c r="AF95" s="313">
        <f t="shared" si="98"/>
        <v>0.87823286469972417</v>
      </c>
      <c r="AG95" s="313">
        <f t="shared" si="169"/>
        <v>7.3859383921246806</v>
      </c>
      <c r="AH95" s="313">
        <f t="shared" si="170"/>
        <v>11.474654164251259</v>
      </c>
      <c r="AI95" s="308">
        <f t="shared" si="171"/>
        <v>9.5127949724090275</v>
      </c>
      <c r="AJ95" s="298" t="s">
        <v>413</v>
      </c>
      <c r="AK95" s="298" t="s">
        <v>724</v>
      </c>
      <c r="AL95" s="360">
        <v>200</v>
      </c>
      <c r="AM95" s="360">
        <v>200</v>
      </c>
      <c r="AN95" s="306">
        <f t="shared" si="154"/>
        <v>1.5378937007874014E-3</v>
      </c>
      <c r="AO95" s="360">
        <v>345</v>
      </c>
      <c r="AP95" s="313">
        <f t="shared" si="108"/>
        <v>0.53057332677165348</v>
      </c>
      <c r="AQ95" s="360">
        <v>600</v>
      </c>
      <c r="AR95" s="312" t="s">
        <v>413</v>
      </c>
      <c r="AS95" s="360">
        <v>0</v>
      </c>
      <c r="AT95" s="312" t="s">
        <v>413</v>
      </c>
      <c r="AU95" s="360">
        <v>0</v>
      </c>
      <c r="AV95" s="360">
        <v>0</v>
      </c>
      <c r="AW95" s="360">
        <f t="shared" si="162"/>
        <v>0</v>
      </c>
      <c r="AX95" s="360">
        <v>0</v>
      </c>
      <c r="AY95" s="360">
        <v>0</v>
      </c>
      <c r="AZ95" s="360">
        <v>0</v>
      </c>
      <c r="BA95" s="360">
        <v>0</v>
      </c>
      <c r="BB95" s="360">
        <v>0</v>
      </c>
      <c r="BC95" s="360">
        <v>0</v>
      </c>
      <c r="BD95" s="313">
        <f t="shared" si="137"/>
        <v>0</v>
      </c>
      <c r="BE95" s="360">
        <v>0</v>
      </c>
      <c r="BF95" s="312" t="s">
        <v>413</v>
      </c>
      <c r="BG95" s="327">
        <f t="shared" si="172"/>
        <v>106.46904000000001</v>
      </c>
      <c r="BH95" s="327">
        <f t="shared" si="157"/>
        <v>106.46904000000001</v>
      </c>
      <c r="BI95" s="373">
        <v>0.94430000000000003</v>
      </c>
      <c r="BJ95" s="360">
        <f t="shared" si="126"/>
        <v>1</v>
      </c>
      <c r="BK95" s="360">
        <f t="shared" si="127"/>
        <v>1</v>
      </c>
      <c r="BL95" s="311">
        <f t="shared" si="173"/>
        <v>100.53871447200001</v>
      </c>
      <c r="BM95" s="309">
        <f t="shared" si="96"/>
        <v>0.61847142268700794</v>
      </c>
      <c r="BN95" s="328">
        <v>1.03</v>
      </c>
      <c r="BO95" s="376"/>
      <c r="BP95" s="328">
        <f t="shared" si="139"/>
        <v>6.1685638433622545</v>
      </c>
      <c r="BQ95" s="328">
        <f t="shared" si="128"/>
        <v>0</v>
      </c>
      <c r="BR95" s="328">
        <f t="shared" si="146"/>
        <v>0.13136844265105665</v>
      </c>
      <c r="BS95" s="328">
        <f t="shared" si="140"/>
        <v>0</v>
      </c>
      <c r="BT95" s="328">
        <f t="shared" si="141"/>
        <v>0</v>
      </c>
      <c r="BU95" s="376"/>
      <c r="BV95" s="328">
        <f t="shared" si="129"/>
        <v>0.5</v>
      </c>
      <c r="BW95" s="328">
        <f t="shared" si="130"/>
        <v>0.625</v>
      </c>
      <c r="BX95" s="373">
        <f t="shared" si="142"/>
        <v>0.67854202276984799</v>
      </c>
      <c r="BY95" s="311">
        <f t="shared" si="131"/>
        <v>44121.516488586596</v>
      </c>
      <c r="BZ95" s="311">
        <f t="shared" si="132"/>
        <v>0</v>
      </c>
      <c r="CA95" s="311">
        <f t="shared" si="143"/>
        <v>80220.939070157459</v>
      </c>
      <c r="CB95" s="307">
        <f t="shared" si="144"/>
        <v>44.121516488586593</v>
      </c>
      <c r="CC95" s="309">
        <f t="shared" si="145"/>
        <v>0.27141680910793919</v>
      </c>
      <c r="CD95" s="379">
        <f t="shared" si="133"/>
        <v>2.2786776718793762</v>
      </c>
    </row>
    <row r="96" spans="1:82" x14ac:dyDescent="0.25">
      <c r="A96" s="305">
        <v>88</v>
      </c>
      <c r="B96" s="298" t="s">
        <v>621</v>
      </c>
      <c r="C96" s="298" t="s">
        <v>749</v>
      </c>
      <c r="D96" s="360" t="s">
        <v>598</v>
      </c>
      <c r="E96" s="360" t="s">
        <v>668</v>
      </c>
      <c r="F96" s="360" t="s">
        <v>485</v>
      </c>
      <c r="G96" s="311">
        <f t="shared" si="174"/>
        <v>812.8</v>
      </c>
      <c r="H96" s="311">
        <f t="shared" si="90"/>
        <v>406.4</v>
      </c>
      <c r="I96" s="311">
        <f t="shared" si="175"/>
        <v>812.8</v>
      </c>
      <c r="J96" s="327">
        <f t="shared" si="91"/>
        <v>660643.83999999997</v>
      </c>
      <c r="K96" s="311">
        <v>200</v>
      </c>
      <c r="L96" s="327">
        <f t="shared" si="92"/>
        <v>650.24</v>
      </c>
      <c r="M96" s="309">
        <f t="shared" si="165"/>
        <v>1</v>
      </c>
      <c r="N96" s="309">
        <f t="shared" si="134"/>
        <v>0.5</v>
      </c>
      <c r="O96" s="309">
        <f t="shared" si="124"/>
        <v>0.5</v>
      </c>
      <c r="P96" s="306">
        <f t="shared" si="166"/>
        <v>103368</v>
      </c>
      <c r="Q96" s="306">
        <f t="shared" si="125"/>
        <v>162560</v>
      </c>
      <c r="R96" s="309">
        <f t="shared" si="148"/>
        <v>0.63587598425196845</v>
      </c>
      <c r="S96" s="295">
        <v>400</v>
      </c>
      <c r="T96" s="312">
        <f t="shared" si="176"/>
        <v>812.8</v>
      </c>
      <c r="U96" s="360">
        <v>19.3</v>
      </c>
      <c r="V96" s="360">
        <v>22.3</v>
      </c>
      <c r="W96" s="387">
        <f t="shared" si="135"/>
        <v>22.3</v>
      </c>
      <c r="X96" s="360">
        <f t="shared" si="177"/>
        <v>21.15</v>
      </c>
      <c r="Y96" s="387">
        <f t="shared" si="136"/>
        <v>21.15</v>
      </c>
      <c r="Z96" s="420">
        <f t="shared" si="178"/>
        <v>0.52500000000000002</v>
      </c>
      <c r="AA96" s="373">
        <v>11.2</v>
      </c>
      <c r="AB96" s="366">
        <f t="shared" si="167"/>
        <v>13.611230453686041</v>
      </c>
      <c r="AC96" s="298">
        <v>3</v>
      </c>
      <c r="AD96" s="328">
        <f t="shared" si="168"/>
        <v>3</v>
      </c>
      <c r="AE96" s="298" t="s">
        <v>413</v>
      </c>
      <c r="AF96" s="313">
        <f t="shared" si="98"/>
        <v>0.87823286469972417</v>
      </c>
      <c r="AG96" s="313">
        <f t="shared" si="169"/>
        <v>9.83620808463691</v>
      </c>
      <c r="AH96" s="313">
        <f t="shared" si="170"/>
        <v>11.953829913428818</v>
      </c>
      <c r="AI96" s="308">
        <f t="shared" si="171"/>
        <v>10.937746604830338</v>
      </c>
      <c r="AJ96" s="298" t="s">
        <v>413</v>
      </c>
      <c r="AK96" s="298" t="s">
        <v>724</v>
      </c>
      <c r="AL96" s="360">
        <v>200</v>
      </c>
      <c r="AM96" s="360">
        <v>200</v>
      </c>
      <c r="AN96" s="306">
        <f t="shared" si="154"/>
        <v>1.5378937007874014E-3</v>
      </c>
      <c r="AO96" s="360">
        <v>345</v>
      </c>
      <c r="AP96" s="313">
        <f t="shared" si="108"/>
        <v>0.53057332677165348</v>
      </c>
      <c r="AQ96" s="360">
        <v>600</v>
      </c>
      <c r="AR96" s="312" t="s">
        <v>413</v>
      </c>
      <c r="AS96" s="360">
        <v>0</v>
      </c>
      <c r="AT96" s="312" t="s">
        <v>413</v>
      </c>
      <c r="AU96" s="360">
        <v>0</v>
      </c>
      <c r="AV96" s="360">
        <v>0</v>
      </c>
      <c r="AW96" s="360">
        <f t="shared" si="162"/>
        <v>0</v>
      </c>
      <c r="AX96" s="360">
        <v>0</v>
      </c>
      <c r="AY96" s="360">
        <v>0</v>
      </c>
      <c r="AZ96" s="360">
        <v>0</v>
      </c>
      <c r="BA96" s="360">
        <v>0</v>
      </c>
      <c r="BB96" s="360">
        <v>0</v>
      </c>
      <c r="BC96" s="360">
        <v>0</v>
      </c>
      <c r="BD96" s="313">
        <f t="shared" si="137"/>
        <v>0</v>
      </c>
      <c r="BE96" s="360">
        <v>0</v>
      </c>
      <c r="BF96" s="312" t="s">
        <v>413</v>
      </c>
      <c r="BG96" s="327">
        <f t="shared" si="172"/>
        <v>115.77216000000001</v>
      </c>
      <c r="BH96" s="327">
        <f t="shared" si="157"/>
        <v>115.77216000000001</v>
      </c>
      <c r="BI96" s="373">
        <v>0.94430000000000003</v>
      </c>
      <c r="BJ96" s="360">
        <f t="shared" si="126"/>
        <v>1</v>
      </c>
      <c r="BK96" s="360">
        <f t="shared" si="127"/>
        <v>1</v>
      </c>
      <c r="BL96" s="311">
        <f t="shared" si="173"/>
        <v>109.32365068800001</v>
      </c>
      <c r="BM96" s="309">
        <f t="shared" si="96"/>
        <v>0.67251261496063008</v>
      </c>
      <c r="BN96" s="328">
        <v>1.1200000000000001</v>
      </c>
      <c r="BO96" s="376"/>
      <c r="BP96" s="328">
        <f t="shared" si="139"/>
        <v>6.614452843532967</v>
      </c>
      <c r="BQ96" s="328">
        <f t="shared" si="128"/>
        <v>0</v>
      </c>
      <c r="BR96" s="328">
        <f t="shared" si="146"/>
        <v>0.13136844265105665</v>
      </c>
      <c r="BS96" s="328">
        <f t="shared" si="140"/>
        <v>0</v>
      </c>
      <c r="BT96" s="328">
        <f t="shared" si="141"/>
        <v>0</v>
      </c>
      <c r="BU96" s="376"/>
      <c r="BV96" s="328">
        <f t="shared" si="129"/>
        <v>0.5</v>
      </c>
      <c r="BW96" s="328">
        <f t="shared" si="130"/>
        <v>0.625</v>
      </c>
      <c r="BX96" s="373">
        <f t="shared" si="142"/>
        <v>0.72758981278862633</v>
      </c>
      <c r="BY96" s="311">
        <f t="shared" si="131"/>
        <v>47310.799986767641</v>
      </c>
      <c r="BZ96" s="311">
        <f t="shared" si="132"/>
        <v>0</v>
      </c>
      <c r="CA96" s="311">
        <f t="shared" si="143"/>
        <v>86019.636339577541</v>
      </c>
      <c r="CB96" s="307">
        <f t="shared" si="144"/>
        <v>47.310799986767641</v>
      </c>
      <c r="CC96" s="309">
        <f t="shared" si="145"/>
        <v>0.29103592511545051</v>
      </c>
      <c r="CD96" s="379">
        <f t="shared" si="133"/>
        <v>2.3107546420389582</v>
      </c>
    </row>
    <row r="97" spans="1:82" x14ac:dyDescent="0.25">
      <c r="A97" s="305">
        <v>89</v>
      </c>
      <c r="B97" s="298" t="s">
        <v>621</v>
      </c>
      <c r="C97" s="298" t="s">
        <v>750</v>
      </c>
      <c r="D97" s="360" t="s">
        <v>598</v>
      </c>
      <c r="E97" s="360" t="s">
        <v>668</v>
      </c>
      <c r="F97" s="360" t="s">
        <v>485</v>
      </c>
      <c r="G97" s="311">
        <f t="shared" si="174"/>
        <v>812.8</v>
      </c>
      <c r="H97" s="311">
        <f t="shared" si="90"/>
        <v>406.4</v>
      </c>
      <c r="I97" s="311">
        <f t="shared" si="175"/>
        <v>812.8</v>
      </c>
      <c r="J97" s="327">
        <f t="shared" si="91"/>
        <v>660643.83999999997</v>
      </c>
      <c r="K97" s="311">
        <v>200</v>
      </c>
      <c r="L97" s="327">
        <f t="shared" si="92"/>
        <v>650.24</v>
      </c>
      <c r="M97" s="309">
        <f t="shared" si="165"/>
        <v>1</v>
      </c>
      <c r="N97" s="309">
        <f t="shared" si="134"/>
        <v>0.5</v>
      </c>
      <c r="O97" s="309">
        <f t="shared" si="124"/>
        <v>0.5</v>
      </c>
      <c r="P97" s="306">
        <f t="shared" si="166"/>
        <v>103368</v>
      </c>
      <c r="Q97" s="306">
        <f t="shared" si="125"/>
        <v>162560</v>
      </c>
      <c r="R97" s="309">
        <f t="shared" si="148"/>
        <v>0.63587598425196845</v>
      </c>
      <c r="S97" s="295">
        <v>400</v>
      </c>
      <c r="T97" s="312">
        <f t="shared" si="176"/>
        <v>812.8</v>
      </c>
      <c r="U97" s="360">
        <v>19.3</v>
      </c>
      <c r="V97" s="360">
        <v>22.3</v>
      </c>
      <c r="W97" s="387">
        <f t="shared" si="135"/>
        <v>22.3</v>
      </c>
      <c r="X97" s="360">
        <f t="shared" si="177"/>
        <v>21.15</v>
      </c>
      <c r="Y97" s="387">
        <f t="shared" si="136"/>
        <v>21.15</v>
      </c>
      <c r="Z97" s="420">
        <f t="shared" si="178"/>
        <v>0.52500000000000002</v>
      </c>
      <c r="AA97" s="373">
        <v>11.2</v>
      </c>
      <c r="AB97" s="366">
        <f t="shared" si="167"/>
        <v>13.611230453686041</v>
      </c>
      <c r="AC97" s="298">
        <v>3</v>
      </c>
      <c r="AD97" s="328">
        <f t="shared" si="168"/>
        <v>3</v>
      </c>
      <c r="AE97" s="298" t="s">
        <v>413</v>
      </c>
      <c r="AF97" s="313">
        <f t="shared" si="98"/>
        <v>0.87823286469972417</v>
      </c>
      <c r="AG97" s="313">
        <f t="shared" si="169"/>
        <v>9.83620808463691</v>
      </c>
      <c r="AH97" s="313">
        <f t="shared" si="170"/>
        <v>11.953829913428818</v>
      </c>
      <c r="AI97" s="308">
        <f t="shared" si="171"/>
        <v>10.937746604830338</v>
      </c>
      <c r="AJ97" s="298" t="s">
        <v>413</v>
      </c>
      <c r="AK97" s="298" t="s">
        <v>724</v>
      </c>
      <c r="AL97" s="360">
        <v>200</v>
      </c>
      <c r="AM97" s="360">
        <v>200</v>
      </c>
      <c r="AN97" s="306">
        <f t="shared" si="154"/>
        <v>1.5378937007874014E-3</v>
      </c>
      <c r="AO97" s="360">
        <v>345</v>
      </c>
      <c r="AP97" s="313">
        <f t="shared" si="108"/>
        <v>0.53057332677165348</v>
      </c>
      <c r="AQ97" s="360">
        <v>600</v>
      </c>
      <c r="AR97" s="312" t="s">
        <v>413</v>
      </c>
      <c r="AS97" s="360">
        <v>0</v>
      </c>
      <c r="AT97" s="312" t="s">
        <v>413</v>
      </c>
      <c r="AU97" s="360">
        <v>0</v>
      </c>
      <c r="AV97" s="360">
        <v>0</v>
      </c>
      <c r="AW97" s="360">
        <f t="shared" si="162"/>
        <v>0</v>
      </c>
      <c r="AX97" s="360">
        <v>0</v>
      </c>
      <c r="AY97" s="360">
        <v>0</v>
      </c>
      <c r="AZ97" s="360">
        <v>0</v>
      </c>
      <c r="BA97" s="360">
        <v>0</v>
      </c>
      <c r="BB97" s="360">
        <v>0</v>
      </c>
      <c r="BC97" s="360">
        <v>0</v>
      </c>
      <c r="BD97" s="313">
        <f t="shared" si="137"/>
        <v>0</v>
      </c>
      <c r="BE97" s="360">
        <v>0</v>
      </c>
      <c r="BF97" s="312" t="s">
        <v>413</v>
      </c>
      <c r="BG97" s="327">
        <f t="shared" si="172"/>
        <v>104.40168000000001</v>
      </c>
      <c r="BH97" s="327">
        <f t="shared" si="157"/>
        <v>104.40168000000001</v>
      </c>
      <c r="BI97" s="373">
        <v>0.94430000000000003</v>
      </c>
      <c r="BJ97" s="360">
        <f t="shared" si="126"/>
        <v>1</v>
      </c>
      <c r="BK97" s="360">
        <f t="shared" si="127"/>
        <v>1</v>
      </c>
      <c r="BL97" s="311">
        <f t="shared" si="173"/>
        <v>98.586506424000021</v>
      </c>
      <c r="BM97" s="309">
        <f t="shared" si="96"/>
        <v>0.60646226884842525</v>
      </c>
      <c r="BN97" s="328">
        <v>1.01</v>
      </c>
      <c r="BO97" s="376"/>
      <c r="BP97" s="328">
        <f t="shared" si="139"/>
        <v>6.614452843532967</v>
      </c>
      <c r="BQ97" s="328">
        <f t="shared" si="128"/>
        <v>0</v>
      </c>
      <c r="BR97" s="328">
        <f t="shared" si="146"/>
        <v>0.13136844265105665</v>
      </c>
      <c r="BS97" s="328">
        <f t="shared" si="140"/>
        <v>0</v>
      </c>
      <c r="BT97" s="328">
        <f t="shared" si="141"/>
        <v>0</v>
      </c>
      <c r="BU97" s="376"/>
      <c r="BV97" s="328">
        <f t="shared" si="129"/>
        <v>0.5</v>
      </c>
      <c r="BW97" s="328">
        <f t="shared" si="130"/>
        <v>0.625</v>
      </c>
      <c r="BX97" s="373">
        <f t="shared" si="142"/>
        <v>0.72758981278862633</v>
      </c>
      <c r="BY97" s="311">
        <f t="shared" si="131"/>
        <v>47310.799986767641</v>
      </c>
      <c r="BZ97" s="311">
        <f t="shared" si="132"/>
        <v>0</v>
      </c>
      <c r="CA97" s="311">
        <f t="shared" si="143"/>
        <v>86019.636339577541</v>
      </c>
      <c r="CB97" s="307">
        <f t="shared" si="144"/>
        <v>47.310799986767641</v>
      </c>
      <c r="CC97" s="309">
        <f t="shared" si="145"/>
        <v>0.29103592511545051</v>
      </c>
      <c r="CD97" s="379">
        <f t="shared" si="133"/>
        <v>2.0838055254101322</v>
      </c>
    </row>
    <row r="98" spans="1:82" x14ac:dyDescent="0.25">
      <c r="A98" s="305">
        <v>90</v>
      </c>
      <c r="B98" s="298" t="s">
        <v>621</v>
      </c>
      <c r="C98" s="298" t="s">
        <v>751</v>
      </c>
      <c r="D98" s="360" t="s">
        <v>598</v>
      </c>
      <c r="E98" s="360" t="s">
        <v>668</v>
      </c>
      <c r="F98" s="360" t="s">
        <v>485</v>
      </c>
      <c r="G98" s="311">
        <f t="shared" si="174"/>
        <v>812.8</v>
      </c>
      <c r="H98" s="311">
        <f t="shared" si="90"/>
        <v>406.4</v>
      </c>
      <c r="I98" s="311">
        <f t="shared" si="175"/>
        <v>812.8</v>
      </c>
      <c r="J98" s="327">
        <f t="shared" si="91"/>
        <v>660643.83999999997</v>
      </c>
      <c r="K98" s="311">
        <v>200</v>
      </c>
      <c r="L98" s="327">
        <f t="shared" si="92"/>
        <v>650.24</v>
      </c>
      <c r="M98" s="309">
        <f t="shared" si="165"/>
        <v>1</v>
      </c>
      <c r="N98" s="309">
        <f t="shared" si="134"/>
        <v>0.5</v>
      </c>
      <c r="O98" s="309">
        <f t="shared" si="124"/>
        <v>0.5</v>
      </c>
      <c r="P98" s="306">
        <f t="shared" si="166"/>
        <v>103368</v>
      </c>
      <c r="Q98" s="306">
        <f t="shared" si="125"/>
        <v>162560</v>
      </c>
      <c r="R98" s="309">
        <f t="shared" si="148"/>
        <v>0.63587598425196845</v>
      </c>
      <c r="S98" s="295">
        <v>400</v>
      </c>
      <c r="T98" s="312">
        <f t="shared" si="176"/>
        <v>812.8</v>
      </c>
      <c r="U98" s="360">
        <v>19.3</v>
      </c>
      <c r="V98" s="360">
        <v>17.3</v>
      </c>
      <c r="W98" s="387">
        <f t="shared" si="135"/>
        <v>17.3</v>
      </c>
      <c r="X98" s="360">
        <f t="shared" si="177"/>
        <v>21.15</v>
      </c>
      <c r="Y98" s="387">
        <f t="shared" si="136"/>
        <v>21.15</v>
      </c>
      <c r="Z98" s="420">
        <f t="shared" si="178"/>
        <v>0.52500000000000002</v>
      </c>
      <c r="AA98" s="373">
        <v>9.23</v>
      </c>
      <c r="AB98" s="366">
        <f t="shared" si="167"/>
        <v>12.55871949162565</v>
      </c>
      <c r="AC98" s="298">
        <v>3</v>
      </c>
      <c r="AD98" s="328">
        <f t="shared" si="168"/>
        <v>3</v>
      </c>
      <c r="AE98" s="298" t="s">
        <v>413</v>
      </c>
      <c r="AF98" s="313">
        <f t="shared" si="98"/>
        <v>0.87823286469972417</v>
      </c>
      <c r="AG98" s="313">
        <f t="shared" si="169"/>
        <v>8.1060893411784551</v>
      </c>
      <c r="AH98" s="313">
        <f t="shared" si="170"/>
        <v>11.029480196090658</v>
      </c>
      <c r="AI98" s="308">
        <f t="shared" si="171"/>
        <v>9.6267705093094573</v>
      </c>
      <c r="AJ98" s="298" t="s">
        <v>413</v>
      </c>
      <c r="AK98" s="298" t="s">
        <v>724</v>
      </c>
      <c r="AL98" s="360">
        <v>200</v>
      </c>
      <c r="AM98" s="360">
        <v>200</v>
      </c>
      <c r="AN98" s="306">
        <f t="shared" si="154"/>
        <v>1.5378937007874014E-3</v>
      </c>
      <c r="AO98" s="360">
        <v>345</v>
      </c>
      <c r="AP98" s="313">
        <f t="shared" si="108"/>
        <v>0.53057332677165348</v>
      </c>
      <c r="AQ98" s="360">
        <v>600</v>
      </c>
      <c r="AR98" s="312" t="s">
        <v>413</v>
      </c>
      <c r="AS98" s="360">
        <v>0</v>
      </c>
      <c r="AT98" s="312" t="s">
        <v>413</v>
      </c>
      <c r="AU98" s="360">
        <v>0</v>
      </c>
      <c r="AV98" s="360">
        <v>0</v>
      </c>
      <c r="AW98" s="360">
        <f t="shared" si="162"/>
        <v>0</v>
      </c>
      <c r="AX98" s="360">
        <v>0</v>
      </c>
      <c r="AY98" s="360">
        <v>0</v>
      </c>
      <c r="AZ98" s="360">
        <v>0</v>
      </c>
      <c r="BA98" s="360">
        <v>0</v>
      </c>
      <c r="BB98" s="360">
        <v>0</v>
      </c>
      <c r="BC98" s="360">
        <v>0</v>
      </c>
      <c r="BD98" s="313">
        <f t="shared" si="137"/>
        <v>0</v>
      </c>
      <c r="BE98" s="360">
        <v>0</v>
      </c>
      <c r="BF98" s="312" t="s">
        <v>413</v>
      </c>
      <c r="BG98" s="327">
        <f t="shared" si="172"/>
        <v>113.70480000000001</v>
      </c>
      <c r="BH98" s="327">
        <f t="shared" si="157"/>
        <v>113.70480000000001</v>
      </c>
      <c r="BI98" s="373">
        <v>0.94430000000000003</v>
      </c>
      <c r="BJ98" s="360">
        <f t="shared" si="126"/>
        <v>1</v>
      </c>
      <c r="BK98" s="360">
        <f t="shared" si="127"/>
        <v>1</v>
      </c>
      <c r="BL98" s="311">
        <f t="shared" si="173"/>
        <v>107.37144264000001</v>
      </c>
      <c r="BM98" s="309">
        <f t="shared" si="96"/>
        <v>0.66050346112204739</v>
      </c>
      <c r="BN98" s="328">
        <v>1.1000000000000001</v>
      </c>
      <c r="BO98" s="376"/>
      <c r="BP98" s="328">
        <f t="shared" si="139"/>
        <v>6.2054074835773543</v>
      </c>
      <c r="BQ98" s="328">
        <f t="shared" si="128"/>
        <v>0</v>
      </c>
      <c r="BR98" s="328">
        <f t="shared" si="146"/>
        <v>0.13136844265105665</v>
      </c>
      <c r="BS98" s="328">
        <f t="shared" si="140"/>
        <v>0</v>
      </c>
      <c r="BT98" s="328">
        <f t="shared" si="141"/>
        <v>0</v>
      </c>
      <c r="BU98" s="376"/>
      <c r="BV98" s="328">
        <f t="shared" si="129"/>
        <v>0.5</v>
      </c>
      <c r="BW98" s="328">
        <f t="shared" si="130"/>
        <v>0.625</v>
      </c>
      <c r="BX98" s="373">
        <f t="shared" si="142"/>
        <v>0.68259482319350895</v>
      </c>
      <c r="BY98" s="311">
        <f t="shared" si="131"/>
        <v>44385.045783334725</v>
      </c>
      <c r="BZ98" s="311">
        <f t="shared" si="132"/>
        <v>0</v>
      </c>
      <c r="CA98" s="311">
        <f t="shared" si="143"/>
        <v>80700.083242426772</v>
      </c>
      <c r="CB98" s="307">
        <f t="shared" si="144"/>
        <v>44.385045783334725</v>
      </c>
      <c r="CC98" s="309">
        <f t="shared" si="145"/>
        <v>0.27303792927740356</v>
      </c>
      <c r="CD98" s="379">
        <f t="shared" si="133"/>
        <v>2.4190905009793822</v>
      </c>
    </row>
    <row r="99" spans="1:82" x14ac:dyDescent="0.25">
      <c r="A99" s="305">
        <v>91</v>
      </c>
      <c r="B99" s="298" t="s">
        <v>621</v>
      </c>
      <c r="C99" s="298" t="s">
        <v>752</v>
      </c>
      <c r="D99" s="360" t="s">
        <v>598</v>
      </c>
      <c r="E99" s="360" t="s">
        <v>668</v>
      </c>
      <c r="F99" s="360" t="s">
        <v>485</v>
      </c>
      <c r="G99" s="311">
        <f t="shared" si="174"/>
        <v>812.8</v>
      </c>
      <c r="H99" s="311">
        <f t="shared" si="90"/>
        <v>406.4</v>
      </c>
      <c r="I99" s="311">
        <f t="shared" si="175"/>
        <v>812.8</v>
      </c>
      <c r="J99" s="327">
        <f t="shared" si="91"/>
        <v>660643.83999999997</v>
      </c>
      <c r="K99" s="311">
        <v>200</v>
      </c>
      <c r="L99" s="327">
        <f t="shared" si="92"/>
        <v>650.24</v>
      </c>
      <c r="M99" s="309">
        <f t="shared" si="165"/>
        <v>1</v>
      </c>
      <c r="N99" s="309">
        <f t="shared" si="134"/>
        <v>0.5</v>
      </c>
      <c r="O99" s="309">
        <f t="shared" si="124"/>
        <v>0.5</v>
      </c>
      <c r="P99" s="306">
        <f t="shared" si="166"/>
        <v>103368</v>
      </c>
      <c r="Q99" s="306">
        <f t="shared" si="125"/>
        <v>162560</v>
      </c>
      <c r="R99" s="309">
        <f t="shared" si="148"/>
        <v>0.63587598425196845</v>
      </c>
      <c r="S99" s="295">
        <v>400</v>
      </c>
      <c r="T99" s="312">
        <f t="shared" si="176"/>
        <v>812.8</v>
      </c>
      <c r="U99" s="360">
        <v>19.3</v>
      </c>
      <c r="V99" s="360">
        <v>17.3</v>
      </c>
      <c r="W99" s="387">
        <f t="shared" si="135"/>
        <v>17.3</v>
      </c>
      <c r="X99" s="360">
        <f t="shared" si="177"/>
        <v>21.15</v>
      </c>
      <c r="Y99" s="387">
        <f t="shared" si="136"/>
        <v>21.15</v>
      </c>
      <c r="Z99" s="420">
        <f t="shared" si="178"/>
        <v>0.52500000000000002</v>
      </c>
      <c r="AA99" s="373">
        <v>9.23</v>
      </c>
      <c r="AB99" s="366">
        <f t="shared" si="167"/>
        <v>12.55871949162565</v>
      </c>
      <c r="AC99" s="298">
        <v>3</v>
      </c>
      <c r="AD99" s="328">
        <f t="shared" si="168"/>
        <v>3</v>
      </c>
      <c r="AE99" s="298" t="s">
        <v>413</v>
      </c>
      <c r="AF99" s="313">
        <f t="shared" si="98"/>
        <v>0.87823286469972417</v>
      </c>
      <c r="AG99" s="313">
        <f t="shared" si="169"/>
        <v>8.1060893411784551</v>
      </c>
      <c r="AH99" s="313">
        <f t="shared" si="170"/>
        <v>11.029480196090658</v>
      </c>
      <c r="AI99" s="308">
        <f t="shared" si="171"/>
        <v>9.6267705093094573</v>
      </c>
      <c r="AJ99" s="298" t="s">
        <v>413</v>
      </c>
      <c r="AK99" s="298" t="s">
        <v>724</v>
      </c>
      <c r="AL99" s="360">
        <v>200</v>
      </c>
      <c r="AM99" s="360">
        <v>200</v>
      </c>
      <c r="AN99" s="306">
        <f t="shared" si="154"/>
        <v>1.5378937007874014E-3</v>
      </c>
      <c r="AO99" s="360">
        <v>345</v>
      </c>
      <c r="AP99" s="313">
        <f t="shared" si="108"/>
        <v>0.53057332677165348</v>
      </c>
      <c r="AQ99" s="360">
        <v>600</v>
      </c>
      <c r="AR99" s="312" t="s">
        <v>413</v>
      </c>
      <c r="AS99" s="360">
        <v>0</v>
      </c>
      <c r="AT99" s="312" t="s">
        <v>413</v>
      </c>
      <c r="AU99" s="360">
        <v>0</v>
      </c>
      <c r="AV99" s="360">
        <v>0</v>
      </c>
      <c r="AW99" s="360">
        <f t="shared" si="162"/>
        <v>0</v>
      </c>
      <c r="AX99" s="360">
        <v>0</v>
      </c>
      <c r="AY99" s="360">
        <v>0</v>
      </c>
      <c r="AZ99" s="360">
        <v>0</v>
      </c>
      <c r="BA99" s="360">
        <v>0</v>
      </c>
      <c r="BB99" s="360">
        <v>0</v>
      </c>
      <c r="BC99" s="360">
        <v>0</v>
      </c>
      <c r="BD99" s="313">
        <f t="shared" si="137"/>
        <v>0</v>
      </c>
      <c r="BE99" s="360">
        <v>0</v>
      </c>
      <c r="BF99" s="312" t="s">
        <v>413</v>
      </c>
      <c r="BG99" s="327">
        <f t="shared" si="172"/>
        <v>107.50272</v>
      </c>
      <c r="BH99" s="327">
        <f t="shared" si="157"/>
        <v>107.50272</v>
      </c>
      <c r="BI99" s="373">
        <v>0.94430000000000003</v>
      </c>
      <c r="BJ99" s="360">
        <f t="shared" si="126"/>
        <v>1</v>
      </c>
      <c r="BK99" s="360">
        <f t="shared" si="127"/>
        <v>1</v>
      </c>
      <c r="BL99" s="311">
        <f t="shared" si="173"/>
        <v>101.514818496</v>
      </c>
      <c r="BM99" s="309">
        <f t="shared" si="96"/>
        <v>0.62447599960629918</v>
      </c>
      <c r="BN99" s="328">
        <v>1.04</v>
      </c>
      <c r="BO99" s="376"/>
      <c r="BP99" s="328">
        <f t="shared" si="139"/>
        <v>6.2054074835773543</v>
      </c>
      <c r="BQ99" s="328">
        <f t="shared" si="128"/>
        <v>0</v>
      </c>
      <c r="BR99" s="328">
        <f t="shared" si="146"/>
        <v>0.13136844265105665</v>
      </c>
      <c r="BS99" s="328">
        <f t="shared" si="140"/>
        <v>0</v>
      </c>
      <c r="BT99" s="328">
        <f t="shared" si="141"/>
        <v>0</v>
      </c>
      <c r="BU99" s="376"/>
      <c r="BV99" s="328">
        <f t="shared" si="129"/>
        <v>0.5</v>
      </c>
      <c r="BW99" s="328">
        <f t="shared" si="130"/>
        <v>0.625</v>
      </c>
      <c r="BX99" s="373">
        <f t="shared" si="142"/>
        <v>0.68259482319350895</v>
      </c>
      <c r="BY99" s="311">
        <f t="shared" si="131"/>
        <v>44385.045783334725</v>
      </c>
      <c r="BZ99" s="311">
        <f t="shared" si="132"/>
        <v>0</v>
      </c>
      <c r="CA99" s="311">
        <f t="shared" si="143"/>
        <v>80700.083242426772</v>
      </c>
      <c r="CB99" s="307">
        <f t="shared" si="144"/>
        <v>44.385045783334725</v>
      </c>
      <c r="CC99" s="309">
        <f t="shared" si="145"/>
        <v>0.27303792927740356</v>
      </c>
      <c r="CD99" s="379">
        <f t="shared" si="133"/>
        <v>2.2871401100168702</v>
      </c>
    </row>
    <row r="100" spans="1:82" x14ac:dyDescent="0.25">
      <c r="A100" s="305">
        <v>92</v>
      </c>
      <c r="B100" s="298" t="s">
        <v>621</v>
      </c>
      <c r="C100" s="360" t="s">
        <v>753</v>
      </c>
      <c r="D100" s="360" t="s">
        <v>598</v>
      </c>
      <c r="E100" s="360" t="s">
        <v>668</v>
      </c>
      <c r="F100" s="360" t="s">
        <v>485</v>
      </c>
      <c r="G100" s="311">
        <f t="shared" si="174"/>
        <v>812.8</v>
      </c>
      <c r="H100" s="311">
        <f t="shared" si="90"/>
        <v>406.4</v>
      </c>
      <c r="I100" s="311">
        <f t="shared" si="175"/>
        <v>812.8</v>
      </c>
      <c r="J100" s="327">
        <f t="shared" si="91"/>
        <v>660643.83999999997</v>
      </c>
      <c r="K100" s="311">
        <v>200</v>
      </c>
      <c r="L100" s="327">
        <f t="shared" si="92"/>
        <v>650.24</v>
      </c>
      <c r="M100" s="309">
        <f t="shared" si="165"/>
        <v>1</v>
      </c>
      <c r="N100" s="309">
        <f t="shared" si="134"/>
        <v>0.5</v>
      </c>
      <c r="O100" s="309">
        <f t="shared" si="124"/>
        <v>0.5</v>
      </c>
      <c r="P100" s="306">
        <f t="shared" si="166"/>
        <v>103368</v>
      </c>
      <c r="Q100" s="306">
        <f t="shared" si="125"/>
        <v>162560</v>
      </c>
      <c r="R100" s="309">
        <f t="shared" si="148"/>
        <v>0.63587598425196845</v>
      </c>
      <c r="S100" s="295">
        <v>400</v>
      </c>
      <c r="T100" s="312">
        <f t="shared" si="176"/>
        <v>812.8</v>
      </c>
      <c r="U100" s="360">
        <v>19.3</v>
      </c>
      <c r="V100" s="360">
        <v>18.100000000000001</v>
      </c>
      <c r="W100" s="387">
        <f t="shared" si="135"/>
        <v>18.100000000000001</v>
      </c>
      <c r="X100" s="360">
        <f t="shared" si="177"/>
        <v>21.15</v>
      </c>
      <c r="Y100" s="387">
        <f t="shared" si="136"/>
        <v>21.15</v>
      </c>
      <c r="Z100" s="420">
        <f t="shared" si="178"/>
        <v>0.52500000000000002</v>
      </c>
      <c r="AA100" s="373">
        <v>11</v>
      </c>
      <c r="AB100" s="366">
        <f t="shared" si="167"/>
        <v>12.739983155825591</v>
      </c>
      <c r="AC100" s="298">
        <v>3</v>
      </c>
      <c r="AD100" s="328">
        <f t="shared" si="168"/>
        <v>3</v>
      </c>
      <c r="AE100" s="298" t="s">
        <v>413</v>
      </c>
      <c r="AF100" s="313">
        <f t="shared" si="98"/>
        <v>0.87823286469972417</v>
      </c>
      <c r="AG100" s="313">
        <f t="shared" si="169"/>
        <v>9.6605615116969652</v>
      </c>
      <c r="AH100" s="313">
        <f t="shared" si="170"/>
        <v>11.188671903166941</v>
      </c>
      <c r="AI100" s="308">
        <f t="shared" si="171"/>
        <v>10.455449643480312</v>
      </c>
      <c r="AJ100" s="298" t="s">
        <v>413</v>
      </c>
      <c r="AK100" s="298" t="s">
        <v>724</v>
      </c>
      <c r="AL100" s="360">
        <v>200</v>
      </c>
      <c r="AM100" s="360">
        <v>200</v>
      </c>
      <c r="AN100" s="306">
        <f t="shared" si="154"/>
        <v>1.5378937007874014E-3</v>
      </c>
      <c r="AO100" s="360">
        <v>345</v>
      </c>
      <c r="AP100" s="313">
        <f t="shared" si="108"/>
        <v>0.53057332677165348</v>
      </c>
      <c r="AQ100" s="360">
        <v>600</v>
      </c>
      <c r="AR100" s="312" t="s">
        <v>413</v>
      </c>
      <c r="AS100" s="360">
        <v>0</v>
      </c>
      <c r="AT100" s="312" t="s">
        <v>413</v>
      </c>
      <c r="AU100" s="360">
        <v>0</v>
      </c>
      <c r="AV100" s="360">
        <v>0</v>
      </c>
      <c r="AW100" s="360">
        <f t="shared" si="162"/>
        <v>0</v>
      </c>
      <c r="AX100" s="360">
        <v>0</v>
      </c>
      <c r="AY100" s="360">
        <v>0</v>
      </c>
      <c r="AZ100" s="360">
        <v>0</v>
      </c>
      <c r="BA100" s="360">
        <v>0</v>
      </c>
      <c r="BB100" s="360">
        <v>0</v>
      </c>
      <c r="BC100" s="360">
        <v>0</v>
      </c>
      <c r="BD100" s="313">
        <f t="shared" si="137"/>
        <v>0</v>
      </c>
      <c r="BE100" s="360">
        <v>0</v>
      </c>
      <c r="BF100" s="312" t="s">
        <v>413</v>
      </c>
      <c r="BG100" s="327">
        <f t="shared" si="172"/>
        <v>110.60376000000001</v>
      </c>
      <c r="BH100" s="327">
        <f t="shared" si="157"/>
        <v>110.60376000000001</v>
      </c>
      <c r="BI100" s="373">
        <v>0.94430000000000003</v>
      </c>
      <c r="BJ100" s="360">
        <f t="shared" si="126"/>
        <v>1</v>
      </c>
      <c r="BK100" s="360">
        <f t="shared" si="127"/>
        <v>1</v>
      </c>
      <c r="BL100" s="311">
        <f t="shared" si="173"/>
        <v>104.44313056800002</v>
      </c>
      <c r="BM100" s="309">
        <f t="shared" si="96"/>
        <v>0.64248973036417334</v>
      </c>
      <c r="BN100" s="328">
        <v>1.07</v>
      </c>
      <c r="BO100" s="376"/>
      <c r="BP100" s="328">
        <f t="shared" si="139"/>
        <v>6.4669775454938181</v>
      </c>
      <c r="BQ100" s="328">
        <f t="shared" si="128"/>
        <v>0</v>
      </c>
      <c r="BR100" s="328">
        <f t="shared" si="146"/>
        <v>0.13136844265105665</v>
      </c>
      <c r="BS100" s="328">
        <f t="shared" si="140"/>
        <v>0</v>
      </c>
      <c r="BT100" s="328">
        <f t="shared" si="141"/>
        <v>0</v>
      </c>
      <c r="BU100" s="376"/>
      <c r="BV100" s="328">
        <f t="shared" si="129"/>
        <v>0.5</v>
      </c>
      <c r="BW100" s="328">
        <f t="shared" si="130"/>
        <v>0.625</v>
      </c>
      <c r="BX100" s="373">
        <f t="shared" si="142"/>
        <v>0.71136753000431996</v>
      </c>
      <c r="BY100" s="311">
        <f t="shared" si="131"/>
        <v>46255.962271000899</v>
      </c>
      <c r="BZ100" s="311">
        <f t="shared" si="132"/>
        <v>0</v>
      </c>
      <c r="CA100" s="311">
        <f t="shared" si="143"/>
        <v>84101.749583638011</v>
      </c>
      <c r="CB100" s="307">
        <f t="shared" si="144"/>
        <v>46.255962271000897</v>
      </c>
      <c r="CC100" s="309">
        <f t="shared" si="145"/>
        <v>0.28454701200172794</v>
      </c>
      <c r="CD100" s="379">
        <f t="shared" si="133"/>
        <v>2.257938770273475</v>
      </c>
    </row>
    <row r="101" spans="1:82" x14ac:dyDescent="0.25">
      <c r="A101" s="305">
        <v>93</v>
      </c>
      <c r="B101" s="298" t="s">
        <v>621</v>
      </c>
      <c r="C101" s="360" t="s">
        <v>754</v>
      </c>
      <c r="D101" s="360" t="s">
        <v>598</v>
      </c>
      <c r="E101" s="360" t="s">
        <v>668</v>
      </c>
      <c r="F101" s="360" t="s">
        <v>485</v>
      </c>
      <c r="G101" s="311">
        <f t="shared" si="174"/>
        <v>812.8</v>
      </c>
      <c r="H101" s="311">
        <f t="shared" si="90"/>
        <v>406.4</v>
      </c>
      <c r="I101" s="311">
        <f t="shared" si="175"/>
        <v>812.8</v>
      </c>
      <c r="J101" s="327">
        <f t="shared" si="91"/>
        <v>660643.83999999997</v>
      </c>
      <c r="K101" s="311">
        <v>200</v>
      </c>
      <c r="L101" s="327">
        <f t="shared" si="92"/>
        <v>650.24</v>
      </c>
      <c r="M101" s="309">
        <f t="shared" si="165"/>
        <v>1</v>
      </c>
      <c r="N101" s="309">
        <f t="shared" si="134"/>
        <v>0.5</v>
      </c>
      <c r="O101" s="309">
        <f t="shared" si="124"/>
        <v>0.5</v>
      </c>
      <c r="P101" s="306">
        <f t="shared" si="166"/>
        <v>103368</v>
      </c>
      <c r="Q101" s="306">
        <f t="shared" si="125"/>
        <v>162560</v>
      </c>
      <c r="R101" s="309">
        <f t="shared" si="148"/>
        <v>0.63587598425196845</v>
      </c>
      <c r="S101" s="295">
        <v>400</v>
      </c>
      <c r="T101" s="312">
        <f t="shared" si="176"/>
        <v>812.8</v>
      </c>
      <c r="U101" s="360">
        <v>19.3</v>
      </c>
      <c r="V101" s="360">
        <v>18.100000000000001</v>
      </c>
      <c r="W101" s="387">
        <f t="shared" si="135"/>
        <v>18.100000000000001</v>
      </c>
      <c r="X101" s="360">
        <f t="shared" si="177"/>
        <v>21.15</v>
      </c>
      <c r="Y101" s="387">
        <f t="shared" si="136"/>
        <v>21.15</v>
      </c>
      <c r="Z101" s="420">
        <f t="shared" si="178"/>
        <v>0.52500000000000002</v>
      </c>
      <c r="AA101" s="373">
        <v>11</v>
      </c>
      <c r="AB101" s="366">
        <f t="shared" si="167"/>
        <v>12.739983155825591</v>
      </c>
      <c r="AC101" s="298">
        <v>3</v>
      </c>
      <c r="AD101" s="328">
        <f t="shared" si="168"/>
        <v>3</v>
      </c>
      <c r="AE101" s="298" t="s">
        <v>413</v>
      </c>
      <c r="AF101" s="313">
        <f t="shared" si="98"/>
        <v>0.87823286469972417</v>
      </c>
      <c r="AG101" s="313">
        <f t="shared" si="169"/>
        <v>9.6605615116969652</v>
      </c>
      <c r="AH101" s="313">
        <f t="shared" si="170"/>
        <v>11.188671903166941</v>
      </c>
      <c r="AI101" s="308">
        <f t="shared" si="171"/>
        <v>10.455449643480312</v>
      </c>
      <c r="AJ101" s="298" t="s">
        <v>413</v>
      </c>
      <c r="AK101" s="298" t="s">
        <v>724</v>
      </c>
      <c r="AL101" s="360">
        <v>200</v>
      </c>
      <c r="AM101" s="360">
        <v>200</v>
      </c>
      <c r="AN101" s="306">
        <f t="shared" si="154"/>
        <v>1.5378937007874014E-3</v>
      </c>
      <c r="AO101" s="360">
        <v>345</v>
      </c>
      <c r="AP101" s="313">
        <f t="shared" si="108"/>
        <v>0.53057332677165348</v>
      </c>
      <c r="AQ101" s="360">
        <v>600</v>
      </c>
      <c r="AR101" s="312" t="s">
        <v>413</v>
      </c>
      <c r="AS101" s="360">
        <v>0</v>
      </c>
      <c r="AT101" s="312" t="s">
        <v>413</v>
      </c>
      <c r="AU101" s="360">
        <v>0</v>
      </c>
      <c r="AV101" s="360">
        <v>0</v>
      </c>
      <c r="AW101" s="360">
        <f t="shared" si="162"/>
        <v>0</v>
      </c>
      <c r="AX101" s="360">
        <v>0</v>
      </c>
      <c r="AY101" s="360">
        <v>0</v>
      </c>
      <c r="AZ101" s="360">
        <v>0</v>
      </c>
      <c r="BA101" s="360">
        <v>0</v>
      </c>
      <c r="BB101" s="360">
        <v>0</v>
      </c>
      <c r="BC101" s="360">
        <v>0</v>
      </c>
      <c r="BD101" s="313">
        <f t="shared" si="137"/>
        <v>0</v>
      </c>
      <c r="BE101" s="360">
        <v>0</v>
      </c>
      <c r="BF101" s="312" t="s">
        <v>413</v>
      </c>
      <c r="BG101" s="327">
        <f t="shared" si="172"/>
        <v>108.53640000000001</v>
      </c>
      <c r="BH101" s="327">
        <f t="shared" si="157"/>
        <v>108.53640000000001</v>
      </c>
      <c r="BI101" s="373">
        <v>0.94430000000000003</v>
      </c>
      <c r="BJ101" s="360">
        <f t="shared" si="126"/>
        <v>1</v>
      </c>
      <c r="BK101" s="360">
        <f t="shared" si="127"/>
        <v>1</v>
      </c>
      <c r="BL101" s="311">
        <f t="shared" si="173"/>
        <v>102.49092252000001</v>
      </c>
      <c r="BM101" s="309">
        <f t="shared" si="96"/>
        <v>0.63048057652559064</v>
      </c>
      <c r="BN101" s="328">
        <v>1.05</v>
      </c>
      <c r="BO101" s="376"/>
      <c r="BP101" s="328">
        <f t="shared" si="139"/>
        <v>6.4669775454938181</v>
      </c>
      <c r="BQ101" s="328">
        <f t="shared" si="128"/>
        <v>0</v>
      </c>
      <c r="BR101" s="328">
        <f t="shared" si="146"/>
        <v>0.13136844265105665</v>
      </c>
      <c r="BS101" s="328">
        <f t="shared" si="140"/>
        <v>0</v>
      </c>
      <c r="BT101" s="328">
        <f t="shared" si="141"/>
        <v>0</v>
      </c>
      <c r="BU101" s="376"/>
      <c r="BV101" s="328">
        <f t="shared" si="129"/>
        <v>0.5</v>
      </c>
      <c r="BW101" s="328">
        <f t="shared" si="130"/>
        <v>0.625</v>
      </c>
      <c r="BX101" s="373">
        <f t="shared" si="142"/>
        <v>0.71136753000431996</v>
      </c>
      <c r="BY101" s="311">
        <f t="shared" si="131"/>
        <v>46255.962271000899</v>
      </c>
      <c r="BZ101" s="311">
        <f t="shared" si="132"/>
        <v>0</v>
      </c>
      <c r="CA101" s="311">
        <f t="shared" si="143"/>
        <v>84101.749583638011</v>
      </c>
      <c r="CB101" s="307">
        <f t="shared" si="144"/>
        <v>46.255962271000897</v>
      </c>
      <c r="CC101" s="309">
        <f t="shared" si="145"/>
        <v>0.28454701200172794</v>
      </c>
      <c r="CD101" s="379">
        <f t="shared" si="133"/>
        <v>2.2157343072777089</v>
      </c>
    </row>
    <row r="102" spans="1:82" x14ac:dyDescent="0.25">
      <c r="A102" s="305">
        <v>94</v>
      </c>
      <c r="B102" s="298" t="s">
        <v>621</v>
      </c>
      <c r="C102" s="360" t="s">
        <v>755</v>
      </c>
      <c r="D102" s="360" t="s">
        <v>598</v>
      </c>
      <c r="E102" s="360" t="s">
        <v>668</v>
      </c>
      <c r="F102" s="360" t="s">
        <v>485</v>
      </c>
      <c r="G102" s="311">
        <f t="shared" si="174"/>
        <v>812.8</v>
      </c>
      <c r="H102" s="311">
        <f t="shared" si="90"/>
        <v>406.4</v>
      </c>
      <c r="I102" s="311">
        <f t="shared" si="175"/>
        <v>812.8</v>
      </c>
      <c r="J102" s="327">
        <f t="shared" si="91"/>
        <v>660643.83999999997</v>
      </c>
      <c r="K102" s="311">
        <v>200</v>
      </c>
      <c r="L102" s="327">
        <f t="shared" si="92"/>
        <v>650.24</v>
      </c>
      <c r="M102" s="309">
        <f t="shared" si="165"/>
        <v>1</v>
      </c>
      <c r="N102" s="309">
        <f t="shared" si="134"/>
        <v>0.5</v>
      </c>
      <c r="O102" s="309">
        <f t="shared" si="124"/>
        <v>0.5</v>
      </c>
      <c r="P102" s="306">
        <f t="shared" si="166"/>
        <v>103368</v>
      </c>
      <c r="Q102" s="306">
        <f t="shared" si="125"/>
        <v>162560</v>
      </c>
      <c r="R102" s="309">
        <f t="shared" si="148"/>
        <v>0.63587598425196845</v>
      </c>
      <c r="S102" s="295">
        <v>400</v>
      </c>
      <c r="T102" s="312">
        <f t="shared" si="176"/>
        <v>812.8</v>
      </c>
      <c r="U102" s="360">
        <v>19.3</v>
      </c>
      <c r="V102" s="360">
        <v>19.600000000000001</v>
      </c>
      <c r="W102" s="387">
        <f t="shared" si="135"/>
        <v>19.600000000000001</v>
      </c>
      <c r="X102" s="360">
        <f t="shared" si="177"/>
        <v>21.15</v>
      </c>
      <c r="Y102" s="387">
        <f t="shared" si="136"/>
        <v>21.15</v>
      </c>
      <c r="Z102" s="420">
        <f t="shared" si="178"/>
        <v>0.52500000000000002</v>
      </c>
      <c r="AA102" s="373">
        <v>8.41</v>
      </c>
      <c r="AB102" s="366">
        <f t="shared" si="167"/>
        <v>13.065616905801569</v>
      </c>
      <c r="AC102" s="298">
        <v>3</v>
      </c>
      <c r="AD102" s="328">
        <f t="shared" si="168"/>
        <v>3</v>
      </c>
      <c r="AE102" s="298" t="s">
        <v>413</v>
      </c>
      <c r="AF102" s="313">
        <f t="shared" si="98"/>
        <v>0.87823286469972417</v>
      </c>
      <c r="AG102" s="313">
        <f t="shared" si="169"/>
        <v>7.3859383921246806</v>
      </c>
      <c r="AH102" s="313">
        <f t="shared" si="170"/>
        <v>11.474654164251259</v>
      </c>
      <c r="AI102" s="308">
        <f t="shared" si="171"/>
        <v>9.5127949724090275</v>
      </c>
      <c r="AJ102" s="298" t="s">
        <v>413</v>
      </c>
      <c r="AK102" s="298" t="s">
        <v>724</v>
      </c>
      <c r="AL102" s="360">
        <v>200</v>
      </c>
      <c r="AM102" s="360">
        <v>200</v>
      </c>
      <c r="AN102" s="306">
        <f t="shared" si="154"/>
        <v>1.5378937007874014E-3</v>
      </c>
      <c r="AO102" s="360">
        <v>345</v>
      </c>
      <c r="AP102" s="313">
        <f t="shared" si="108"/>
        <v>0.53057332677165348</v>
      </c>
      <c r="AQ102" s="360">
        <v>600</v>
      </c>
      <c r="AR102" s="312" t="s">
        <v>413</v>
      </c>
      <c r="AS102" s="360">
        <v>0</v>
      </c>
      <c r="AT102" s="312" t="s">
        <v>413</v>
      </c>
      <c r="AU102" s="360">
        <v>0</v>
      </c>
      <c r="AV102" s="360">
        <v>0</v>
      </c>
      <c r="AW102" s="360">
        <f t="shared" si="162"/>
        <v>0</v>
      </c>
      <c r="AX102" s="360">
        <v>0</v>
      </c>
      <c r="AY102" s="360">
        <v>0</v>
      </c>
      <c r="AZ102" s="360">
        <v>0</v>
      </c>
      <c r="BA102" s="360">
        <v>0</v>
      </c>
      <c r="BB102" s="360">
        <v>0</v>
      </c>
      <c r="BC102" s="360">
        <v>0</v>
      </c>
      <c r="BD102" s="313">
        <f t="shared" si="137"/>
        <v>0</v>
      </c>
      <c r="BE102" s="360">
        <v>0</v>
      </c>
      <c r="BF102" s="312" t="s">
        <v>413</v>
      </c>
      <c r="BG102" s="327">
        <f t="shared" si="172"/>
        <v>108.53640000000001</v>
      </c>
      <c r="BH102" s="327">
        <f t="shared" si="157"/>
        <v>108.53640000000001</v>
      </c>
      <c r="BI102" s="373">
        <v>0.94430000000000003</v>
      </c>
      <c r="BJ102" s="360">
        <f t="shared" si="126"/>
        <v>1</v>
      </c>
      <c r="BK102" s="360">
        <f t="shared" si="127"/>
        <v>1</v>
      </c>
      <c r="BL102" s="311">
        <f t="shared" si="173"/>
        <v>102.49092252000001</v>
      </c>
      <c r="BM102" s="309">
        <f t="shared" si="96"/>
        <v>0.63048057652559064</v>
      </c>
      <c r="BN102" s="328">
        <v>1.05</v>
      </c>
      <c r="BO102" s="376"/>
      <c r="BP102" s="328">
        <f t="shared" si="139"/>
        <v>6.1685638433622545</v>
      </c>
      <c r="BQ102" s="328">
        <f t="shared" si="128"/>
        <v>0</v>
      </c>
      <c r="BR102" s="328">
        <f t="shared" si="146"/>
        <v>0.13136844265105665</v>
      </c>
      <c r="BS102" s="328">
        <f t="shared" si="140"/>
        <v>0</v>
      </c>
      <c r="BT102" s="328">
        <f t="shared" si="141"/>
        <v>0</v>
      </c>
      <c r="BU102" s="376"/>
      <c r="BV102" s="328">
        <f t="shared" si="129"/>
        <v>0.5</v>
      </c>
      <c r="BW102" s="328">
        <f t="shared" si="130"/>
        <v>0.625</v>
      </c>
      <c r="BX102" s="373">
        <f t="shared" si="142"/>
        <v>0.67854202276984799</v>
      </c>
      <c r="BY102" s="311">
        <f t="shared" si="131"/>
        <v>44121.516488586596</v>
      </c>
      <c r="BZ102" s="311">
        <f t="shared" si="132"/>
        <v>0</v>
      </c>
      <c r="CA102" s="311">
        <f t="shared" si="143"/>
        <v>80220.939070157459</v>
      </c>
      <c r="CB102" s="307">
        <f t="shared" si="144"/>
        <v>44.121516488586593</v>
      </c>
      <c r="CC102" s="309">
        <f t="shared" si="145"/>
        <v>0.27141680910793919</v>
      </c>
      <c r="CD102" s="379">
        <f t="shared" si="133"/>
        <v>2.3229238402653838</v>
      </c>
    </row>
    <row r="103" spans="1:82" x14ac:dyDescent="0.25">
      <c r="A103" s="305">
        <v>95</v>
      </c>
      <c r="B103" s="298" t="s">
        <v>621</v>
      </c>
      <c r="C103" s="360" t="s">
        <v>756</v>
      </c>
      <c r="D103" s="360" t="s">
        <v>598</v>
      </c>
      <c r="E103" s="360" t="s">
        <v>668</v>
      </c>
      <c r="F103" s="360" t="s">
        <v>485</v>
      </c>
      <c r="G103" s="311">
        <f t="shared" si="174"/>
        <v>812.8</v>
      </c>
      <c r="H103" s="311">
        <f t="shared" si="90"/>
        <v>406.4</v>
      </c>
      <c r="I103" s="311">
        <f t="shared" si="175"/>
        <v>812.8</v>
      </c>
      <c r="J103" s="327">
        <f t="shared" si="91"/>
        <v>660643.83999999997</v>
      </c>
      <c r="K103" s="311">
        <v>200</v>
      </c>
      <c r="L103" s="327">
        <f t="shared" si="92"/>
        <v>650.24</v>
      </c>
      <c r="M103" s="309">
        <f t="shared" si="165"/>
        <v>1</v>
      </c>
      <c r="N103" s="309">
        <f t="shared" si="134"/>
        <v>0.5</v>
      </c>
      <c r="O103" s="309">
        <f t="shared" si="124"/>
        <v>0.5</v>
      </c>
      <c r="P103" s="306">
        <f t="shared" si="166"/>
        <v>103368</v>
      </c>
      <c r="Q103" s="306">
        <f t="shared" si="125"/>
        <v>162560</v>
      </c>
      <c r="R103" s="309">
        <f t="shared" si="148"/>
        <v>0.63587598425196845</v>
      </c>
      <c r="S103" s="295">
        <v>400</v>
      </c>
      <c r="T103" s="312">
        <f t="shared" si="176"/>
        <v>812.8</v>
      </c>
      <c r="U103" s="360">
        <v>19.3</v>
      </c>
      <c r="V103" s="360">
        <v>19.600000000000001</v>
      </c>
      <c r="W103" s="387">
        <f t="shared" si="135"/>
        <v>19.600000000000001</v>
      </c>
      <c r="X103" s="360">
        <f t="shared" si="177"/>
        <v>21.15</v>
      </c>
      <c r="Y103" s="387">
        <f t="shared" si="136"/>
        <v>21.15</v>
      </c>
      <c r="Z103" s="420">
        <f t="shared" si="178"/>
        <v>0.52500000000000002</v>
      </c>
      <c r="AA103" s="373">
        <v>8.41</v>
      </c>
      <c r="AB103" s="366">
        <f t="shared" si="167"/>
        <v>13.065616905801569</v>
      </c>
      <c r="AC103" s="298">
        <v>3</v>
      </c>
      <c r="AD103" s="328">
        <f t="shared" si="168"/>
        <v>3</v>
      </c>
      <c r="AE103" s="298" t="s">
        <v>413</v>
      </c>
      <c r="AF103" s="313">
        <f t="shared" si="98"/>
        <v>0.87823286469972417</v>
      </c>
      <c r="AG103" s="313">
        <f t="shared" si="169"/>
        <v>7.3859383921246806</v>
      </c>
      <c r="AH103" s="313">
        <f t="shared" si="170"/>
        <v>11.474654164251259</v>
      </c>
      <c r="AI103" s="308">
        <f t="shared" si="171"/>
        <v>9.5127949724090275</v>
      </c>
      <c r="AJ103" s="298" t="s">
        <v>413</v>
      </c>
      <c r="AK103" s="298" t="s">
        <v>724</v>
      </c>
      <c r="AL103" s="360">
        <v>200</v>
      </c>
      <c r="AM103" s="360">
        <v>200</v>
      </c>
      <c r="AN103" s="306">
        <f t="shared" si="154"/>
        <v>1.5378937007874014E-3</v>
      </c>
      <c r="AO103" s="360">
        <v>345</v>
      </c>
      <c r="AP103" s="313">
        <f t="shared" si="108"/>
        <v>0.53057332677165348</v>
      </c>
      <c r="AQ103" s="360">
        <v>600</v>
      </c>
      <c r="AR103" s="312" t="s">
        <v>413</v>
      </c>
      <c r="AS103" s="360">
        <v>0</v>
      </c>
      <c r="AT103" s="312" t="s">
        <v>413</v>
      </c>
      <c r="AU103" s="360">
        <v>0</v>
      </c>
      <c r="AV103" s="360">
        <v>0</v>
      </c>
      <c r="AW103" s="360">
        <f t="shared" si="162"/>
        <v>0</v>
      </c>
      <c r="AX103" s="360">
        <v>0</v>
      </c>
      <c r="AY103" s="360">
        <v>0</v>
      </c>
      <c r="AZ103" s="360">
        <v>0</v>
      </c>
      <c r="BA103" s="360">
        <v>0</v>
      </c>
      <c r="BB103" s="360">
        <v>0</v>
      </c>
      <c r="BC103" s="360">
        <v>0</v>
      </c>
      <c r="BD103" s="313">
        <f t="shared" si="137"/>
        <v>0</v>
      </c>
      <c r="BE103" s="360">
        <v>0</v>
      </c>
      <c r="BF103" s="312" t="s">
        <v>413</v>
      </c>
      <c r="BG103" s="327">
        <f t="shared" si="172"/>
        <v>106.46904000000001</v>
      </c>
      <c r="BH103" s="327">
        <f t="shared" si="157"/>
        <v>106.46904000000001</v>
      </c>
      <c r="BI103" s="373">
        <v>0.94430000000000003</v>
      </c>
      <c r="BJ103" s="360">
        <f t="shared" si="126"/>
        <v>1</v>
      </c>
      <c r="BK103" s="360">
        <f t="shared" si="127"/>
        <v>1</v>
      </c>
      <c r="BL103" s="311">
        <f t="shared" si="173"/>
        <v>100.53871447200001</v>
      </c>
      <c r="BM103" s="309">
        <f t="shared" si="96"/>
        <v>0.61847142268700794</v>
      </c>
      <c r="BN103" s="328">
        <v>1.03</v>
      </c>
      <c r="BO103" s="376"/>
      <c r="BP103" s="328">
        <f t="shared" si="139"/>
        <v>6.1685638433622545</v>
      </c>
      <c r="BQ103" s="328">
        <f t="shared" si="128"/>
        <v>0</v>
      </c>
      <c r="BR103" s="328">
        <f t="shared" si="146"/>
        <v>0.13136844265105665</v>
      </c>
      <c r="BS103" s="328">
        <f t="shared" si="140"/>
        <v>0</v>
      </c>
      <c r="BT103" s="328">
        <f t="shared" si="141"/>
        <v>0</v>
      </c>
      <c r="BU103" s="376"/>
      <c r="BV103" s="328">
        <f t="shared" si="129"/>
        <v>0.5</v>
      </c>
      <c r="BW103" s="328">
        <f t="shared" si="130"/>
        <v>0.625</v>
      </c>
      <c r="BX103" s="373">
        <f t="shared" si="142"/>
        <v>0.67854202276984799</v>
      </c>
      <c r="BY103" s="311">
        <f t="shared" si="131"/>
        <v>44121.516488586596</v>
      </c>
      <c r="BZ103" s="311">
        <f t="shared" si="132"/>
        <v>0</v>
      </c>
      <c r="CA103" s="311">
        <f t="shared" si="143"/>
        <v>80220.939070157459</v>
      </c>
      <c r="CB103" s="307">
        <f t="shared" si="144"/>
        <v>44.121516488586593</v>
      </c>
      <c r="CC103" s="309">
        <f t="shared" si="145"/>
        <v>0.27141680910793919</v>
      </c>
      <c r="CD103" s="379">
        <f t="shared" si="133"/>
        <v>2.2786776718793762</v>
      </c>
    </row>
    <row r="104" spans="1:82" x14ac:dyDescent="0.25">
      <c r="A104" s="305">
        <v>96</v>
      </c>
      <c r="B104" s="298" t="s">
        <v>621</v>
      </c>
      <c r="C104" s="298" t="s">
        <v>757</v>
      </c>
      <c r="D104" s="360" t="s">
        <v>598</v>
      </c>
      <c r="E104" s="360" t="s">
        <v>668</v>
      </c>
      <c r="F104" s="360" t="s">
        <v>485</v>
      </c>
      <c r="G104" s="311">
        <f t="shared" si="174"/>
        <v>812.8</v>
      </c>
      <c r="H104" s="311">
        <f t="shared" si="90"/>
        <v>406.4</v>
      </c>
      <c r="I104" s="311">
        <f t="shared" si="175"/>
        <v>812.8</v>
      </c>
      <c r="J104" s="327">
        <f t="shared" si="91"/>
        <v>660643.83999999997</v>
      </c>
      <c r="K104" s="311">
        <v>200</v>
      </c>
      <c r="L104" s="327">
        <f t="shared" si="92"/>
        <v>650.24</v>
      </c>
      <c r="M104" s="309">
        <f t="shared" si="165"/>
        <v>1</v>
      </c>
      <c r="N104" s="309">
        <f t="shared" si="134"/>
        <v>0.5</v>
      </c>
      <c r="O104" s="309">
        <f t="shared" si="124"/>
        <v>0.5</v>
      </c>
      <c r="P104" s="306">
        <f t="shared" si="166"/>
        <v>103368</v>
      </c>
      <c r="Q104" s="306">
        <f t="shared" si="125"/>
        <v>162560</v>
      </c>
      <c r="R104" s="309">
        <f t="shared" si="148"/>
        <v>0.63587598425196845</v>
      </c>
      <c r="S104" s="295">
        <v>400</v>
      </c>
      <c r="T104" s="312">
        <f t="shared" si="176"/>
        <v>812.8</v>
      </c>
      <c r="U104" s="360">
        <v>19.3</v>
      </c>
      <c r="V104" s="360">
        <v>17.899999999999999</v>
      </c>
      <c r="W104" s="387">
        <f t="shared" si="135"/>
        <v>17.899999999999999</v>
      </c>
      <c r="X104" s="360">
        <f t="shared" si="177"/>
        <v>21.15</v>
      </c>
      <c r="Y104" s="387">
        <f t="shared" si="136"/>
        <v>21.15</v>
      </c>
      <c r="Z104" s="420">
        <f t="shared" si="178"/>
        <v>0.52500000000000002</v>
      </c>
      <c r="AA104" s="373">
        <v>8.34</v>
      </c>
      <c r="AB104" s="366">
        <f t="shared" si="167"/>
        <v>12.695188577730024</v>
      </c>
      <c r="AC104" s="298">
        <v>3</v>
      </c>
      <c r="AD104" s="328">
        <f t="shared" si="168"/>
        <v>3</v>
      </c>
      <c r="AE104" s="298" t="s">
        <v>413</v>
      </c>
      <c r="AF104" s="313">
        <f t="shared" si="98"/>
        <v>0.87823286469972417</v>
      </c>
      <c r="AG104" s="313">
        <f t="shared" si="169"/>
        <v>7.3244620915956995</v>
      </c>
      <c r="AH104" s="313">
        <f t="shared" si="170"/>
        <v>11.149331832523055</v>
      </c>
      <c r="AI104" s="308">
        <f t="shared" si="171"/>
        <v>9.3140719912808443</v>
      </c>
      <c r="AJ104" s="298" t="s">
        <v>413</v>
      </c>
      <c r="AK104" s="298" t="s">
        <v>724</v>
      </c>
      <c r="AL104" s="360">
        <v>200</v>
      </c>
      <c r="AM104" s="360">
        <v>200</v>
      </c>
      <c r="AN104" s="306">
        <f t="shared" si="154"/>
        <v>1.5378937007874014E-3</v>
      </c>
      <c r="AO104" s="360">
        <v>345</v>
      </c>
      <c r="AP104" s="313">
        <f t="shared" si="108"/>
        <v>0.53057332677165348</v>
      </c>
      <c r="AQ104" s="360">
        <v>600</v>
      </c>
      <c r="AR104" s="312" t="s">
        <v>413</v>
      </c>
      <c r="AS104" s="360">
        <v>0</v>
      </c>
      <c r="AT104" s="312" t="s">
        <v>413</v>
      </c>
      <c r="AU104" s="360">
        <v>0</v>
      </c>
      <c r="AV104" s="360">
        <v>0</v>
      </c>
      <c r="AW104" s="360">
        <f t="shared" si="162"/>
        <v>0</v>
      </c>
      <c r="AX104" s="360">
        <v>0</v>
      </c>
      <c r="AY104" s="360">
        <v>0</v>
      </c>
      <c r="AZ104" s="360">
        <v>0</v>
      </c>
      <c r="BA104" s="360">
        <v>0</v>
      </c>
      <c r="BB104" s="360">
        <v>0</v>
      </c>
      <c r="BC104" s="360">
        <v>0</v>
      </c>
      <c r="BD104" s="313">
        <f t="shared" si="137"/>
        <v>0</v>
      </c>
      <c r="BE104" s="360">
        <v>0</v>
      </c>
      <c r="BF104" s="312" t="s">
        <v>413</v>
      </c>
      <c r="BG104" s="327">
        <f t="shared" si="172"/>
        <v>104.40168000000001</v>
      </c>
      <c r="BH104" s="327">
        <f t="shared" si="157"/>
        <v>104.40168000000001</v>
      </c>
      <c r="BI104" s="373">
        <v>0.94430000000000003</v>
      </c>
      <c r="BJ104" s="360">
        <f t="shared" si="126"/>
        <v>1</v>
      </c>
      <c r="BK104" s="360">
        <f t="shared" si="127"/>
        <v>1</v>
      </c>
      <c r="BL104" s="311">
        <f t="shared" si="173"/>
        <v>98.586506424000021</v>
      </c>
      <c r="BM104" s="309">
        <f t="shared" si="96"/>
        <v>0.60646226884842525</v>
      </c>
      <c r="BN104" s="328">
        <v>1.01</v>
      </c>
      <c r="BO104" s="376"/>
      <c r="BP104" s="328">
        <f t="shared" si="139"/>
        <v>6.1037929163040401</v>
      </c>
      <c r="BQ104" s="328">
        <f t="shared" si="128"/>
        <v>0</v>
      </c>
      <c r="BR104" s="328">
        <f t="shared" si="146"/>
        <v>0.13136844265105665</v>
      </c>
      <c r="BS104" s="328">
        <f t="shared" si="140"/>
        <v>0</v>
      </c>
      <c r="BT104" s="328">
        <f t="shared" si="141"/>
        <v>0</v>
      </c>
      <c r="BU104" s="376"/>
      <c r="BV104" s="328">
        <f t="shared" si="129"/>
        <v>0.5</v>
      </c>
      <c r="BW104" s="328">
        <f t="shared" si="130"/>
        <v>0.625</v>
      </c>
      <c r="BX104" s="373">
        <f t="shared" si="142"/>
        <v>0.67141722079344446</v>
      </c>
      <c r="BY104" s="311">
        <f t="shared" si="131"/>
        <v>43658.233364872933</v>
      </c>
      <c r="BZ104" s="311">
        <f t="shared" si="132"/>
        <v>0</v>
      </c>
      <c r="CA104" s="311">
        <f t="shared" si="143"/>
        <v>79378.606117950781</v>
      </c>
      <c r="CB104" s="307">
        <f t="shared" si="144"/>
        <v>43.658233364872935</v>
      </c>
      <c r="CC104" s="309">
        <f t="shared" si="145"/>
        <v>0.26856688831737779</v>
      </c>
      <c r="CD104" s="379">
        <f t="shared" si="133"/>
        <v>2.2581423668719021</v>
      </c>
    </row>
    <row r="105" spans="1:82" x14ac:dyDescent="0.25">
      <c r="A105" s="315">
        <v>97</v>
      </c>
      <c r="B105" s="315" t="s">
        <v>621</v>
      </c>
      <c r="C105" s="315" t="s">
        <v>758</v>
      </c>
      <c r="D105" s="315" t="s">
        <v>598</v>
      </c>
      <c r="E105" s="315" t="s">
        <v>668</v>
      </c>
      <c r="F105" s="315" t="s">
        <v>485</v>
      </c>
      <c r="G105" s="321">
        <f t="shared" si="174"/>
        <v>812.8</v>
      </c>
      <c r="H105" s="321">
        <f t="shared" ref="H105:H138" si="179">IF(F105="Cantilever",G105,0.5*G105)</f>
        <v>406.4</v>
      </c>
      <c r="I105" s="321">
        <f t="shared" si="175"/>
        <v>812.8</v>
      </c>
      <c r="J105" s="329">
        <f t="shared" si="91"/>
        <v>660643.83999999997</v>
      </c>
      <c r="K105" s="321">
        <v>200</v>
      </c>
      <c r="L105" s="329">
        <f t="shared" si="92"/>
        <v>650.24</v>
      </c>
      <c r="M105" s="319">
        <f t="shared" si="165"/>
        <v>1</v>
      </c>
      <c r="N105" s="319">
        <f t="shared" si="134"/>
        <v>0.5</v>
      </c>
      <c r="O105" s="319">
        <f t="shared" si="124"/>
        <v>0.5</v>
      </c>
      <c r="P105" s="316">
        <f t="shared" si="166"/>
        <v>103368</v>
      </c>
      <c r="Q105" s="316">
        <f t="shared" si="125"/>
        <v>162560</v>
      </c>
      <c r="R105" s="319">
        <f t="shared" si="148"/>
        <v>0.63587598425196845</v>
      </c>
      <c r="S105" s="294">
        <v>400</v>
      </c>
      <c r="T105" s="322">
        <f t="shared" si="176"/>
        <v>812.8</v>
      </c>
      <c r="U105" s="315">
        <v>19.3</v>
      </c>
      <c r="V105" s="315">
        <v>17.899999999999999</v>
      </c>
      <c r="W105" s="387">
        <f t="shared" si="135"/>
        <v>17.899999999999999</v>
      </c>
      <c r="X105" s="315">
        <f t="shared" si="177"/>
        <v>21.15</v>
      </c>
      <c r="Y105" s="387">
        <f t="shared" si="136"/>
        <v>21.15</v>
      </c>
      <c r="Z105" s="421">
        <f t="shared" si="178"/>
        <v>0.52500000000000002</v>
      </c>
      <c r="AA105" s="315">
        <v>8.34</v>
      </c>
      <c r="AB105" s="367">
        <f t="shared" si="167"/>
        <v>12.695188577730024</v>
      </c>
      <c r="AC105" s="315">
        <v>3</v>
      </c>
      <c r="AD105" s="330">
        <f t="shared" si="168"/>
        <v>3</v>
      </c>
      <c r="AE105" s="315" t="s">
        <v>413</v>
      </c>
      <c r="AF105" s="324">
        <f t="shared" si="98"/>
        <v>0.87823286469972417</v>
      </c>
      <c r="AG105" s="324">
        <f t="shared" si="169"/>
        <v>7.3244620915956995</v>
      </c>
      <c r="AH105" s="324">
        <f t="shared" si="170"/>
        <v>11.149331832523055</v>
      </c>
      <c r="AI105" s="318">
        <f t="shared" si="171"/>
        <v>9.3140719912808443</v>
      </c>
      <c r="AJ105" s="315" t="s">
        <v>413</v>
      </c>
      <c r="AK105" s="315" t="s">
        <v>724</v>
      </c>
      <c r="AL105" s="315">
        <v>200</v>
      </c>
      <c r="AM105" s="315">
        <v>200</v>
      </c>
      <c r="AN105" s="316">
        <f t="shared" si="154"/>
        <v>1.5378937007874014E-3</v>
      </c>
      <c r="AO105" s="315">
        <v>345</v>
      </c>
      <c r="AP105" s="324">
        <f t="shared" si="108"/>
        <v>0.53057332677165348</v>
      </c>
      <c r="AQ105" s="315">
        <v>600</v>
      </c>
      <c r="AR105" s="315" t="s">
        <v>413</v>
      </c>
      <c r="AS105" s="315">
        <v>0</v>
      </c>
      <c r="AT105" s="315" t="s">
        <v>413</v>
      </c>
      <c r="AU105" s="315">
        <v>0</v>
      </c>
      <c r="AV105" s="315">
        <v>0</v>
      </c>
      <c r="AW105" s="315">
        <f t="shared" si="162"/>
        <v>0</v>
      </c>
      <c r="AX105" s="315">
        <v>0</v>
      </c>
      <c r="AY105" s="315">
        <v>0</v>
      </c>
      <c r="AZ105" s="315">
        <v>0</v>
      </c>
      <c r="BA105" s="315">
        <v>0</v>
      </c>
      <c r="BB105" s="315">
        <v>0</v>
      </c>
      <c r="BC105" s="315">
        <v>0</v>
      </c>
      <c r="BD105" s="324">
        <f t="shared" si="137"/>
        <v>0</v>
      </c>
      <c r="BE105" s="315">
        <v>0</v>
      </c>
      <c r="BF105" s="315" t="s">
        <v>413</v>
      </c>
      <c r="BG105" s="329">
        <f t="shared" si="172"/>
        <v>101.09390399999999</v>
      </c>
      <c r="BH105" s="329">
        <f t="shared" si="157"/>
        <v>101.09390399999999</v>
      </c>
      <c r="BI105" s="373">
        <v>0.94430000000000003</v>
      </c>
      <c r="BJ105" s="315">
        <f t="shared" si="126"/>
        <v>1</v>
      </c>
      <c r="BK105" s="315">
        <f t="shared" si="127"/>
        <v>1</v>
      </c>
      <c r="BL105" s="321">
        <f t="shared" si="173"/>
        <v>95.462973547199994</v>
      </c>
      <c r="BM105" s="319">
        <f t="shared" si="96"/>
        <v>0.58724762270669295</v>
      </c>
      <c r="BN105" s="330">
        <v>0.97799999999999998</v>
      </c>
      <c r="BO105" s="376"/>
      <c r="BP105" s="330">
        <f t="shared" si="139"/>
        <v>6.1037929163040401</v>
      </c>
      <c r="BQ105" s="330">
        <f t="shared" si="128"/>
        <v>0</v>
      </c>
      <c r="BR105" s="330">
        <f t="shared" si="146"/>
        <v>0.13136844265105665</v>
      </c>
      <c r="BS105" s="330">
        <f t="shared" si="140"/>
        <v>0</v>
      </c>
      <c r="BT105" s="330">
        <f t="shared" si="141"/>
        <v>0</v>
      </c>
      <c r="BU105" s="376"/>
      <c r="BV105" s="328">
        <f t="shared" si="129"/>
        <v>0.5</v>
      </c>
      <c r="BW105" s="328">
        <f t="shared" si="130"/>
        <v>0.625</v>
      </c>
      <c r="BX105" s="373">
        <f t="shared" si="142"/>
        <v>0.67141722079344446</v>
      </c>
      <c r="BY105" s="311">
        <f t="shared" si="131"/>
        <v>43658.233364872933</v>
      </c>
      <c r="BZ105" s="311">
        <f t="shared" si="132"/>
        <v>0</v>
      </c>
      <c r="CA105" s="311">
        <f t="shared" si="143"/>
        <v>79378.606117950781</v>
      </c>
      <c r="CB105" s="307">
        <f t="shared" si="144"/>
        <v>43.658233364872935</v>
      </c>
      <c r="CC105" s="309">
        <f t="shared" si="145"/>
        <v>0.26856688831737779</v>
      </c>
      <c r="CD105" s="379">
        <f t="shared" si="133"/>
        <v>2.1865972621789305</v>
      </c>
    </row>
    <row r="106" spans="1:82" x14ac:dyDescent="0.25">
      <c r="A106" s="305">
        <v>98</v>
      </c>
      <c r="B106" s="298" t="s">
        <v>48</v>
      </c>
      <c r="C106" s="295" t="s">
        <v>510</v>
      </c>
      <c r="D106" s="298" t="s">
        <v>598</v>
      </c>
      <c r="E106" s="298" t="s">
        <v>759</v>
      </c>
      <c r="F106" s="295" t="s">
        <v>485</v>
      </c>
      <c r="G106" s="311">
        <f t="shared" ref="G106:G115" si="180">56*$O$3</f>
        <v>1422.3999999999999</v>
      </c>
      <c r="H106" s="311">
        <f t="shared" si="179"/>
        <v>711.19999999999993</v>
      </c>
      <c r="I106" s="311">
        <f t="shared" ref="I106:I115" si="181">48*$O$3</f>
        <v>1219.1999999999998</v>
      </c>
      <c r="J106" s="327">
        <f t="shared" ref="J106:J143" si="182">I106*G106</f>
        <v>1734190.0799999996</v>
      </c>
      <c r="K106" s="311">
        <f t="shared" ref="K106:K115" si="183">(7+5/8)*$O$3</f>
        <v>193.67499999999998</v>
      </c>
      <c r="L106" s="327">
        <f t="shared" ref="L106:L113" si="184">48*$O$3</f>
        <v>1219.1999999999998</v>
      </c>
      <c r="M106" s="309">
        <f t="shared" ref="M106:M143" si="185">G106/I106</f>
        <v>1.1666666666666667</v>
      </c>
      <c r="N106" s="309">
        <f t="shared" si="134"/>
        <v>0.58333333333333337</v>
      </c>
      <c r="O106" s="309">
        <f t="shared" si="124"/>
        <v>0.58333333333333337</v>
      </c>
      <c r="P106" s="327">
        <f t="shared" ref="P106:P115" si="186">196.5*$O$3^2</f>
        <v>126773.93999999999</v>
      </c>
      <c r="Q106" s="306">
        <f t="shared" si="125"/>
        <v>236128.55999999994</v>
      </c>
      <c r="R106" s="309">
        <f t="shared" si="148"/>
        <v>0.53688524590163944</v>
      </c>
      <c r="S106" s="368">
        <f>I106</f>
        <v>1219.1999999999998</v>
      </c>
      <c r="T106" s="312">
        <f>G106</f>
        <v>1422.3999999999999</v>
      </c>
      <c r="U106" s="310">
        <f>1813*$J$3</f>
        <v>12.50019988</v>
      </c>
      <c r="V106" s="308" t="s">
        <v>413</v>
      </c>
      <c r="W106" s="387">
        <f t="shared" si="135"/>
        <v>0</v>
      </c>
      <c r="X106" s="307">
        <f t="shared" ref="X106:X115" si="187">1550*$J$3</f>
        <v>10.686878</v>
      </c>
      <c r="Y106" s="387">
        <f t="shared" si="136"/>
        <v>10.686878</v>
      </c>
      <c r="Z106" s="420">
        <f>61.5/119.2</f>
        <v>0.51593959731543626</v>
      </c>
      <c r="AA106" s="429" t="s">
        <v>1020</v>
      </c>
      <c r="AB106" s="429" t="s">
        <v>1020</v>
      </c>
      <c r="AC106" s="342">
        <v>2</v>
      </c>
      <c r="AD106" s="354">
        <v>2</v>
      </c>
      <c r="AE106" s="307" t="s">
        <v>413</v>
      </c>
      <c r="AF106" s="313">
        <f t="shared" si="98"/>
        <v>0.81209093304219504</v>
      </c>
      <c r="AG106" s="431" t="s">
        <v>1020</v>
      </c>
      <c r="AH106" s="431" t="s">
        <v>1020</v>
      </c>
      <c r="AI106" s="431" t="s">
        <v>1020</v>
      </c>
      <c r="AJ106" s="361" t="s">
        <v>413</v>
      </c>
      <c r="AK106" s="361" t="s">
        <v>413</v>
      </c>
      <c r="AL106" s="298">
        <v>0</v>
      </c>
      <c r="AM106" s="298">
        <v>0</v>
      </c>
      <c r="AN106" s="298">
        <v>0</v>
      </c>
      <c r="AO106" s="298">
        <v>0</v>
      </c>
      <c r="AP106" s="298">
        <f t="shared" ref="AP106:AP115" si="188">AN106*AO106</f>
        <v>0</v>
      </c>
      <c r="AQ106" s="298">
        <v>0</v>
      </c>
      <c r="AR106" s="298" t="s">
        <v>413</v>
      </c>
      <c r="AS106" s="298">
        <v>0</v>
      </c>
      <c r="AT106" s="298" t="s">
        <v>413</v>
      </c>
      <c r="AU106" s="298">
        <v>0</v>
      </c>
      <c r="AV106" s="307">
        <v>0</v>
      </c>
      <c r="AW106" s="312">
        <f t="shared" ref="AW106:AW125" si="189">AU106+AS106</f>
        <v>0</v>
      </c>
      <c r="AX106" s="340">
        <v>0</v>
      </c>
      <c r="AY106" s="306">
        <v>0</v>
      </c>
      <c r="AZ106" s="306">
        <f t="shared" ref="AZ106:AZ125" si="190">AX106*AY106</f>
        <v>0</v>
      </c>
      <c r="BA106" s="298">
        <v>0</v>
      </c>
      <c r="BB106" s="298">
        <f t="shared" ref="BB106:BB115" si="191">39300*$T$3</f>
        <v>174.815046</v>
      </c>
      <c r="BC106" s="309">
        <f t="shared" ref="BC106:BC115" si="192">BB106/Q106*1000</f>
        <v>0.74033842411947126</v>
      </c>
      <c r="BD106" s="313" t="e">
        <f t="shared" si="137"/>
        <v>#VALUE!</v>
      </c>
      <c r="BE106" s="328">
        <f t="shared" ref="BE106:BE115" si="193">200*$J$3</f>
        <v>1.378952</v>
      </c>
      <c r="BF106" s="307">
        <f>23.8*1000*$T$3</f>
        <v>105.867636</v>
      </c>
      <c r="BG106" s="307">
        <f>27.5*1000*T3</f>
        <v>122.32605000000001</v>
      </c>
      <c r="BH106" s="311">
        <f t="shared" ref="BH106:BH115" si="194">(BF106+BG106)/2</f>
        <v>114.09684300000001</v>
      </c>
      <c r="BI106" s="312">
        <v>1</v>
      </c>
      <c r="BJ106" s="361">
        <f t="shared" si="126"/>
        <v>1</v>
      </c>
      <c r="BK106" s="361">
        <f t="shared" si="127"/>
        <v>1</v>
      </c>
      <c r="BL106" s="311">
        <f t="shared" ref="BL106:BL117" si="195">BH106*BI106*BJ106*BK106</f>
        <v>114.09684300000001</v>
      </c>
      <c r="BM106" s="309">
        <f t="shared" si="96"/>
        <v>0.48319797910087636</v>
      </c>
      <c r="BN106" s="309">
        <f t="shared" ref="BN106:BN137" si="196">BL106/P106*1000</f>
        <v>0.90000234275277724</v>
      </c>
      <c r="BO106" s="376"/>
      <c r="BP106" s="328" t="e">
        <f t="shared" si="139"/>
        <v>#VALUE!</v>
      </c>
      <c r="BQ106" s="328">
        <f t="shared" si="128"/>
        <v>0</v>
      </c>
      <c r="BR106" s="328">
        <f t="shared" si="146"/>
        <v>0</v>
      </c>
      <c r="BS106" s="328" t="e">
        <f t="shared" si="140"/>
        <v>#VALUE!</v>
      </c>
      <c r="BT106" s="328">
        <f t="shared" si="141"/>
        <v>0.74033842411947126</v>
      </c>
      <c r="BU106" s="376"/>
      <c r="BV106" s="328">
        <f t="shared" si="129"/>
        <v>0.5</v>
      </c>
      <c r="BW106" s="328">
        <f t="shared" si="130"/>
        <v>0.58333333333333337</v>
      </c>
      <c r="BX106" s="373" t="e">
        <f t="shared" si="142"/>
        <v>#VALUE!</v>
      </c>
      <c r="BY106" s="311" t="e">
        <f t="shared" si="131"/>
        <v>#VALUE!</v>
      </c>
      <c r="BZ106" s="311">
        <f t="shared" si="132"/>
        <v>0</v>
      </c>
      <c r="CA106" s="311" t="e">
        <f t="shared" si="143"/>
        <v>#VALUE!</v>
      </c>
      <c r="CB106" s="307" t="e">
        <f t="shared" si="144"/>
        <v>#VALUE!</v>
      </c>
      <c r="CC106" s="309"/>
      <c r="CD106" s="379"/>
    </row>
    <row r="107" spans="1:82" x14ac:dyDescent="0.25">
      <c r="A107" s="305">
        <v>99</v>
      </c>
      <c r="B107" s="298" t="s">
        <v>48</v>
      </c>
      <c r="C107" s="295" t="s">
        <v>511</v>
      </c>
      <c r="D107" s="298" t="s">
        <v>598</v>
      </c>
      <c r="E107" s="361" t="s">
        <v>759</v>
      </c>
      <c r="F107" s="295" t="s">
        <v>485</v>
      </c>
      <c r="G107" s="311">
        <f t="shared" si="180"/>
        <v>1422.3999999999999</v>
      </c>
      <c r="H107" s="311">
        <f t="shared" si="179"/>
        <v>711.19999999999993</v>
      </c>
      <c r="I107" s="311">
        <f t="shared" si="181"/>
        <v>1219.1999999999998</v>
      </c>
      <c r="J107" s="306">
        <f t="shared" si="182"/>
        <v>1734190.0799999996</v>
      </c>
      <c r="K107" s="311">
        <f t="shared" si="183"/>
        <v>193.67499999999998</v>
      </c>
      <c r="L107" s="327">
        <f t="shared" si="184"/>
        <v>1219.1999999999998</v>
      </c>
      <c r="M107" s="309">
        <f t="shared" si="185"/>
        <v>1.1666666666666667</v>
      </c>
      <c r="N107" s="309">
        <f t="shared" si="134"/>
        <v>0.58333333333333337</v>
      </c>
      <c r="O107" s="309">
        <f t="shared" si="124"/>
        <v>0.58333333333333337</v>
      </c>
      <c r="P107" s="327">
        <f>196.5*$O$3^2</f>
        <v>126773.93999999999</v>
      </c>
      <c r="Q107" s="306">
        <f t="shared" si="125"/>
        <v>236128.55999999994</v>
      </c>
      <c r="R107" s="309">
        <f t="shared" si="148"/>
        <v>0.53688524590163944</v>
      </c>
      <c r="S107" s="312">
        <f t="shared" ref="S107:S115" si="197">I107</f>
        <v>1219.1999999999998</v>
      </c>
      <c r="T107" s="312">
        <f t="shared" ref="T107:T108" si="198">G107</f>
        <v>1422.3999999999999</v>
      </c>
      <c r="U107" s="310">
        <f t="shared" ref="U107:U115" si="199">1813*$J$3</f>
        <v>12.50019988</v>
      </c>
      <c r="V107" s="308" t="s">
        <v>413</v>
      </c>
      <c r="W107" s="387">
        <f t="shared" si="135"/>
        <v>0</v>
      </c>
      <c r="X107" s="307">
        <f t="shared" si="187"/>
        <v>10.686878</v>
      </c>
      <c r="Y107" s="387">
        <f t="shared" si="136"/>
        <v>10.686878</v>
      </c>
      <c r="Z107" s="420">
        <f t="shared" ref="Z107:Z115" si="200">61.5/119.2</f>
        <v>0.51593959731543626</v>
      </c>
      <c r="AA107" s="429" t="s">
        <v>1020</v>
      </c>
      <c r="AB107" s="429" t="s">
        <v>1020</v>
      </c>
      <c r="AC107" s="342">
        <v>2</v>
      </c>
      <c r="AD107" s="354">
        <v>2</v>
      </c>
      <c r="AE107" s="307" t="s">
        <v>413</v>
      </c>
      <c r="AF107" s="313">
        <f t="shared" si="98"/>
        <v>0.81209093304219504</v>
      </c>
      <c r="AG107" s="429" t="s">
        <v>1020</v>
      </c>
      <c r="AH107" s="429" t="s">
        <v>1020</v>
      </c>
      <c r="AI107" s="429" t="s">
        <v>1020</v>
      </c>
      <c r="AJ107" s="361" t="s">
        <v>413</v>
      </c>
      <c r="AK107" s="361" t="s">
        <v>413</v>
      </c>
      <c r="AL107" s="298">
        <v>0</v>
      </c>
      <c r="AM107" s="298">
        <v>0</v>
      </c>
      <c r="AN107" s="298">
        <v>0</v>
      </c>
      <c r="AO107" s="298">
        <v>0</v>
      </c>
      <c r="AP107" s="298">
        <f t="shared" si="188"/>
        <v>0</v>
      </c>
      <c r="AQ107" s="298">
        <v>0</v>
      </c>
      <c r="AR107" s="298" t="s">
        <v>413</v>
      </c>
      <c r="AS107" s="298">
        <v>0</v>
      </c>
      <c r="AT107" s="298" t="s">
        <v>760</v>
      </c>
      <c r="AU107" s="311">
        <f>6.63*2*3</f>
        <v>39.78</v>
      </c>
      <c r="AV107" s="307">
        <f>6.63*2</f>
        <v>13.26</v>
      </c>
      <c r="AW107" s="312">
        <f t="shared" si="189"/>
        <v>39.78</v>
      </c>
      <c r="AX107" s="340">
        <v>2.42E-4</v>
      </c>
      <c r="AY107" s="327">
        <f>100525*J3</f>
        <v>693.09574899999996</v>
      </c>
      <c r="AZ107" s="306">
        <f t="shared" si="190"/>
        <v>0.16772917125799999</v>
      </c>
      <c r="BA107" s="298">
        <f>16*O3</f>
        <v>406.4</v>
      </c>
      <c r="BB107" s="298">
        <f t="shared" si="191"/>
        <v>174.815046</v>
      </c>
      <c r="BC107" s="309">
        <f t="shared" si="192"/>
        <v>0.74033842411947126</v>
      </c>
      <c r="BD107" s="313" t="e">
        <f t="shared" si="137"/>
        <v>#VALUE!</v>
      </c>
      <c r="BE107" s="328">
        <f t="shared" si="193"/>
        <v>1.378952</v>
      </c>
      <c r="BF107" s="307">
        <f>28.9*1000*$T$3</f>
        <v>128.55355800000001</v>
      </c>
      <c r="BG107" s="307">
        <f>35.1*1000*T3</f>
        <v>156.13252199999999</v>
      </c>
      <c r="BH107" s="311">
        <f t="shared" si="194"/>
        <v>142.34304</v>
      </c>
      <c r="BI107" s="312">
        <v>1</v>
      </c>
      <c r="BJ107" s="361">
        <f t="shared" si="126"/>
        <v>1</v>
      </c>
      <c r="BK107" s="361">
        <f t="shared" si="127"/>
        <v>1</v>
      </c>
      <c r="BL107" s="311">
        <f t="shared" si="195"/>
        <v>142.34304</v>
      </c>
      <c r="BM107" s="309">
        <f t="shared" si="96"/>
        <v>0.60282009088608357</v>
      </c>
      <c r="BN107" s="309">
        <f t="shared" si="196"/>
        <v>1.1228099402763692</v>
      </c>
      <c r="BO107" s="376"/>
      <c r="BP107" s="328" t="e">
        <f t="shared" si="139"/>
        <v>#VALUE!</v>
      </c>
      <c r="BQ107" s="328">
        <f t="shared" si="128"/>
        <v>0.16772917125799999</v>
      </c>
      <c r="BR107" s="328">
        <f t="shared" si="146"/>
        <v>0</v>
      </c>
      <c r="BS107" s="328" t="e">
        <f t="shared" si="140"/>
        <v>#VALUE!</v>
      </c>
      <c r="BT107" s="328">
        <f t="shared" si="141"/>
        <v>0.74033842411947126</v>
      </c>
      <c r="BU107" s="376"/>
      <c r="BV107" s="328">
        <f t="shared" si="129"/>
        <v>0.5</v>
      </c>
      <c r="BW107" s="328">
        <f t="shared" si="130"/>
        <v>0.58333333333333337</v>
      </c>
      <c r="BX107" s="373" t="e">
        <f t="shared" si="142"/>
        <v>#VALUE!</v>
      </c>
      <c r="BY107" s="311" t="e">
        <f t="shared" si="131"/>
        <v>#VALUE!</v>
      </c>
      <c r="BZ107" s="311">
        <f t="shared" si="132"/>
        <v>49628.428011395998</v>
      </c>
      <c r="CA107" s="311" t="e">
        <f t="shared" si="143"/>
        <v>#VALUE!</v>
      </c>
      <c r="CB107" s="307" t="e">
        <f t="shared" si="144"/>
        <v>#VALUE!</v>
      </c>
      <c r="CC107" s="309"/>
      <c r="CD107" s="379"/>
    </row>
    <row r="108" spans="1:82" x14ac:dyDescent="0.25">
      <c r="A108" s="305">
        <v>100</v>
      </c>
      <c r="B108" s="298" t="s">
        <v>48</v>
      </c>
      <c r="C108" s="295" t="s">
        <v>512</v>
      </c>
      <c r="D108" s="298" t="s">
        <v>598</v>
      </c>
      <c r="E108" s="361" t="s">
        <v>759</v>
      </c>
      <c r="F108" s="295" t="s">
        <v>485</v>
      </c>
      <c r="G108" s="311">
        <f t="shared" si="180"/>
        <v>1422.3999999999999</v>
      </c>
      <c r="H108" s="311">
        <f t="shared" si="179"/>
        <v>711.19999999999993</v>
      </c>
      <c r="I108" s="311">
        <f t="shared" si="181"/>
        <v>1219.1999999999998</v>
      </c>
      <c r="J108" s="306">
        <f t="shared" si="182"/>
        <v>1734190.0799999996</v>
      </c>
      <c r="K108" s="311">
        <f t="shared" si="183"/>
        <v>193.67499999999998</v>
      </c>
      <c r="L108" s="327">
        <f t="shared" si="184"/>
        <v>1219.1999999999998</v>
      </c>
      <c r="M108" s="309">
        <f t="shared" si="185"/>
        <v>1.1666666666666667</v>
      </c>
      <c r="N108" s="309">
        <f t="shared" si="134"/>
        <v>0.58333333333333337</v>
      </c>
      <c r="O108" s="309">
        <f t="shared" si="124"/>
        <v>0.58333333333333337</v>
      </c>
      <c r="P108" s="327">
        <f t="shared" si="186"/>
        <v>126773.93999999999</v>
      </c>
      <c r="Q108" s="306">
        <f t="shared" si="125"/>
        <v>236128.55999999994</v>
      </c>
      <c r="R108" s="309">
        <f t="shared" si="148"/>
        <v>0.53688524590163944</v>
      </c>
      <c r="S108" s="312">
        <f t="shared" si="197"/>
        <v>1219.1999999999998</v>
      </c>
      <c r="T108" s="312">
        <f t="shared" si="198"/>
        <v>1422.3999999999999</v>
      </c>
      <c r="U108" s="310">
        <f t="shared" si="199"/>
        <v>12.50019988</v>
      </c>
      <c r="V108" s="308" t="s">
        <v>413</v>
      </c>
      <c r="W108" s="387">
        <f t="shared" si="135"/>
        <v>0</v>
      </c>
      <c r="X108" s="307">
        <f t="shared" si="187"/>
        <v>10.686878</v>
      </c>
      <c r="Y108" s="387">
        <f t="shared" si="136"/>
        <v>10.686878</v>
      </c>
      <c r="Z108" s="420">
        <f t="shared" si="200"/>
        <v>0.51593959731543626</v>
      </c>
      <c r="AA108" s="429" t="s">
        <v>1020</v>
      </c>
      <c r="AB108" s="429" t="s">
        <v>1020</v>
      </c>
      <c r="AC108" s="342">
        <v>2</v>
      </c>
      <c r="AD108" s="354">
        <v>2</v>
      </c>
      <c r="AE108" s="307" t="s">
        <v>413</v>
      </c>
      <c r="AF108" s="313">
        <f t="shared" si="98"/>
        <v>0.81209093304219504</v>
      </c>
      <c r="AG108" s="429" t="s">
        <v>1020</v>
      </c>
      <c r="AH108" s="429" t="s">
        <v>1020</v>
      </c>
      <c r="AI108" s="429" t="s">
        <v>1020</v>
      </c>
      <c r="AJ108" s="361" t="s">
        <v>413</v>
      </c>
      <c r="AK108" s="361" t="s">
        <v>413</v>
      </c>
      <c r="AL108" s="298">
        <v>0</v>
      </c>
      <c r="AM108" s="298">
        <v>0</v>
      </c>
      <c r="AN108" s="298">
        <v>0</v>
      </c>
      <c r="AO108" s="298">
        <v>0</v>
      </c>
      <c r="AP108" s="298">
        <f t="shared" si="188"/>
        <v>0</v>
      </c>
      <c r="AQ108" s="298">
        <v>0</v>
      </c>
      <c r="AR108" s="298" t="s">
        <v>413</v>
      </c>
      <c r="AS108" s="298">
        <v>0</v>
      </c>
      <c r="AT108" s="298" t="s">
        <v>760</v>
      </c>
      <c r="AU108" s="311">
        <f>6.63*2*3</f>
        <v>39.78</v>
      </c>
      <c r="AV108" s="307">
        <f>6.63*2</f>
        <v>13.26</v>
      </c>
      <c r="AW108" s="312">
        <f t="shared" si="189"/>
        <v>39.78</v>
      </c>
      <c r="AX108" s="340">
        <v>5.6599999999999999E-4</v>
      </c>
      <c r="AY108" s="327">
        <f>100525*J3</f>
        <v>693.09574899999996</v>
      </c>
      <c r="AZ108" s="306">
        <f t="shared" si="190"/>
        <v>0.39229219393399994</v>
      </c>
      <c r="BA108" s="298">
        <f>8*O3</f>
        <v>203.2</v>
      </c>
      <c r="BB108" s="298">
        <f t="shared" si="191"/>
        <v>174.815046</v>
      </c>
      <c r="BC108" s="309">
        <f t="shared" si="192"/>
        <v>0.74033842411947126</v>
      </c>
      <c r="BD108" s="313" t="e">
        <f t="shared" si="137"/>
        <v>#VALUE!</v>
      </c>
      <c r="BE108" s="328">
        <f t="shared" si="193"/>
        <v>1.378952</v>
      </c>
      <c r="BF108" s="307">
        <f>31.9*1000*$T$3</f>
        <v>141.89821800000001</v>
      </c>
      <c r="BG108" s="307">
        <f>33.4*1000*T3</f>
        <v>148.570548</v>
      </c>
      <c r="BH108" s="311">
        <f t="shared" si="194"/>
        <v>145.23438300000001</v>
      </c>
      <c r="BI108" s="312">
        <v>1</v>
      </c>
      <c r="BJ108" s="361">
        <f t="shared" si="126"/>
        <v>1</v>
      </c>
      <c r="BK108" s="361">
        <f t="shared" si="127"/>
        <v>1</v>
      </c>
      <c r="BL108" s="311">
        <f t="shared" si="195"/>
        <v>145.23438300000001</v>
      </c>
      <c r="BM108" s="309">
        <f t="shared" si="96"/>
        <v>0.61506487398220711</v>
      </c>
      <c r="BN108" s="309">
        <f t="shared" si="196"/>
        <v>1.1456170171882332</v>
      </c>
      <c r="BO108" s="376"/>
      <c r="BP108" s="328" t="e">
        <f t="shared" si="139"/>
        <v>#VALUE!</v>
      </c>
      <c r="BQ108" s="328">
        <f t="shared" si="128"/>
        <v>0.39229219393399994</v>
      </c>
      <c r="BR108" s="328">
        <f t="shared" si="146"/>
        <v>0</v>
      </c>
      <c r="BS108" s="328" t="e">
        <f t="shared" si="140"/>
        <v>#VALUE!</v>
      </c>
      <c r="BT108" s="328">
        <f t="shared" si="141"/>
        <v>0.74033842411947126</v>
      </c>
      <c r="BU108" s="376"/>
      <c r="BV108" s="328">
        <f t="shared" si="129"/>
        <v>0.5</v>
      </c>
      <c r="BW108" s="328">
        <f t="shared" si="130"/>
        <v>0.58333333333333337</v>
      </c>
      <c r="BX108" s="373" t="e">
        <f t="shared" si="142"/>
        <v>#VALUE!</v>
      </c>
      <c r="BY108" s="311" t="e">
        <f t="shared" si="131"/>
        <v>#VALUE!</v>
      </c>
      <c r="BZ108" s="311">
        <f t="shared" si="132"/>
        <v>99256.856022791995</v>
      </c>
      <c r="CA108" s="311" t="e">
        <f t="shared" si="143"/>
        <v>#VALUE!</v>
      </c>
      <c r="CB108" s="307" t="e">
        <f t="shared" si="144"/>
        <v>#VALUE!</v>
      </c>
      <c r="CC108" s="309"/>
      <c r="CD108" s="379"/>
    </row>
    <row r="109" spans="1:82" x14ac:dyDescent="0.25">
      <c r="A109" s="305">
        <v>101</v>
      </c>
      <c r="B109" s="298" t="s">
        <v>48</v>
      </c>
      <c r="C109" s="295" t="s">
        <v>513</v>
      </c>
      <c r="D109" s="298" t="s">
        <v>598</v>
      </c>
      <c r="E109" s="361" t="s">
        <v>759</v>
      </c>
      <c r="F109" s="295" t="s">
        <v>485</v>
      </c>
      <c r="G109" s="311">
        <f t="shared" si="180"/>
        <v>1422.3999999999999</v>
      </c>
      <c r="H109" s="311">
        <f t="shared" si="179"/>
        <v>711.19999999999993</v>
      </c>
      <c r="I109" s="311">
        <f t="shared" si="181"/>
        <v>1219.1999999999998</v>
      </c>
      <c r="J109" s="306">
        <f t="shared" si="182"/>
        <v>1734190.0799999996</v>
      </c>
      <c r="K109" s="311">
        <f t="shared" si="183"/>
        <v>193.67499999999998</v>
      </c>
      <c r="L109" s="327">
        <f t="shared" si="184"/>
        <v>1219.1999999999998</v>
      </c>
      <c r="M109" s="309">
        <f t="shared" si="185"/>
        <v>1.1666666666666667</v>
      </c>
      <c r="N109" s="309">
        <f t="shared" si="134"/>
        <v>0.58333333333333337</v>
      </c>
      <c r="O109" s="309">
        <f t="shared" si="124"/>
        <v>0.58333333333333337</v>
      </c>
      <c r="P109" s="327">
        <f t="shared" si="186"/>
        <v>126773.93999999999</v>
      </c>
      <c r="Q109" s="306">
        <f t="shared" si="125"/>
        <v>236128.55999999994</v>
      </c>
      <c r="R109" s="309">
        <f t="shared" si="148"/>
        <v>0.53688524590163944</v>
      </c>
      <c r="S109" s="312">
        <f t="shared" si="197"/>
        <v>1219.1999999999998</v>
      </c>
      <c r="T109" s="312">
        <f>G109/2</f>
        <v>711.19999999999993</v>
      </c>
      <c r="U109" s="310">
        <f t="shared" si="199"/>
        <v>12.50019988</v>
      </c>
      <c r="V109" s="308" t="s">
        <v>413</v>
      </c>
      <c r="W109" s="387">
        <f t="shared" si="135"/>
        <v>0</v>
      </c>
      <c r="X109" s="307">
        <f t="shared" si="187"/>
        <v>10.686878</v>
      </c>
      <c r="Y109" s="387">
        <f t="shared" si="136"/>
        <v>10.686878</v>
      </c>
      <c r="Z109" s="420">
        <f t="shared" si="200"/>
        <v>0.51593959731543626</v>
      </c>
      <c r="AA109" s="429" t="s">
        <v>1020</v>
      </c>
      <c r="AB109" s="429" t="s">
        <v>1020</v>
      </c>
      <c r="AC109" s="342">
        <v>2</v>
      </c>
      <c r="AD109" s="354">
        <v>2</v>
      </c>
      <c r="AE109" s="307" t="s">
        <v>413</v>
      </c>
      <c r="AF109" s="313">
        <f t="shared" si="98"/>
        <v>0.81209093304219504</v>
      </c>
      <c r="AG109" s="429" t="s">
        <v>1020</v>
      </c>
      <c r="AH109" s="429" t="s">
        <v>1020</v>
      </c>
      <c r="AI109" s="429" t="s">
        <v>1020</v>
      </c>
      <c r="AJ109" s="361" t="s">
        <v>413</v>
      </c>
      <c r="AK109" s="361" t="s">
        <v>413</v>
      </c>
      <c r="AL109" s="298">
        <v>0</v>
      </c>
      <c r="AM109" s="298">
        <v>0</v>
      </c>
      <c r="AN109" s="298">
        <v>0</v>
      </c>
      <c r="AO109" s="298">
        <v>0</v>
      </c>
      <c r="AP109" s="298">
        <f t="shared" si="188"/>
        <v>0</v>
      </c>
      <c r="AQ109" s="298">
        <v>0</v>
      </c>
      <c r="AR109" s="298" t="s">
        <v>703</v>
      </c>
      <c r="AS109" s="298">
        <f>2*129</f>
        <v>258</v>
      </c>
      <c r="AT109" s="298" t="s">
        <v>413</v>
      </c>
      <c r="AU109" s="311">
        <v>0</v>
      </c>
      <c r="AV109" s="307">
        <v>0</v>
      </c>
      <c r="AW109" s="312">
        <f t="shared" si="189"/>
        <v>258</v>
      </c>
      <c r="AX109" s="340">
        <v>9.3599999999999998E-4</v>
      </c>
      <c r="AY109" s="327">
        <f>AVERAGE(48.5,49)*1000*J3</f>
        <v>336.11955</v>
      </c>
      <c r="AZ109" s="306">
        <f t="shared" si="190"/>
        <v>0.31460789880000001</v>
      </c>
      <c r="BA109" s="298">
        <v>0</v>
      </c>
      <c r="BB109" s="298">
        <f t="shared" si="191"/>
        <v>174.815046</v>
      </c>
      <c r="BC109" s="309">
        <f t="shared" si="192"/>
        <v>0.74033842411947126</v>
      </c>
      <c r="BD109" s="313" t="e">
        <f t="shared" si="137"/>
        <v>#VALUE!</v>
      </c>
      <c r="BE109" s="328">
        <f t="shared" si="193"/>
        <v>1.378952</v>
      </c>
      <c r="BF109" s="307">
        <f>42.5*1000*$T$3</f>
        <v>189.04935</v>
      </c>
      <c r="BG109" s="307">
        <f>45.4*1000*T3</f>
        <v>201.94918799999999</v>
      </c>
      <c r="BH109" s="311">
        <f t="shared" si="194"/>
        <v>195.499269</v>
      </c>
      <c r="BI109" s="312">
        <v>1</v>
      </c>
      <c r="BJ109" s="361">
        <f t="shared" si="126"/>
        <v>1</v>
      </c>
      <c r="BK109" s="361">
        <f t="shared" si="127"/>
        <v>1</v>
      </c>
      <c r="BL109" s="311">
        <f t="shared" si="195"/>
        <v>195.499269</v>
      </c>
      <c r="BM109" s="309">
        <f t="shared" si="96"/>
        <v>0.8279357185763554</v>
      </c>
      <c r="BN109" s="309">
        <f t="shared" si="196"/>
        <v>1.5421092773483258</v>
      </c>
      <c r="BO109" s="376"/>
      <c r="BP109" s="328" t="e">
        <f t="shared" si="139"/>
        <v>#VALUE!</v>
      </c>
      <c r="BQ109" s="328">
        <f t="shared" si="128"/>
        <v>0.31460789880000001</v>
      </c>
      <c r="BR109" s="328">
        <f t="shared" si="146"/>
        <v>0</v>
      </c>
      <c r="BS109" s="328" t="e">
        <f t="shared" si="140"/>
        <v>#VALUE!</v>
      </c>
      <c r="BT109" s="328">
        <f t="shared" si="141"/>
        <v>0.74033842411947126</v>
      </c>
      <c r="BU109" s="376"/>
      <c r="BV109" s="328">
        <f t="shared" si="129"/>
        <v>0.5</v>
      </c>
      <c r="BW109" s="328">
        <f t="shared" si="130"/>
        <v>0.58333333333333337</v>
      </c>
      <c r="BX109" s="373" t="e">
        <f t="shared" si="142"/>
        <v>#VALUE!</v>
      </c>
      <c r="BY109" s="311" t="e">
        <f t="shared" si="131"/>
        <v>#VALUE!</v>
      </c>
      <c r="BZ109" s="311">
        <f t="shared" si="132"/>
        <v>0</v>
      </c>
      <c r="CA109" s="311" t="e">
        <f t="shared" si="143"/>
        <v>#VALUE!</v>
      </c>
      <c r="CB109" s="307" t="e">
        <f t="shared" si="144"/>
        <v>#VALUE!</v>
      </c>
      <c r="CC109" s="309"/>
      <c r="CD109" s="379"/>
    </row>
    <row r="110" spans="1:82" x14ac:dyDescent="0.25">
      <c r="A110" s="305">
        <v>102</v>
      </c>
      <c r="B110" s="298" t="s">
        <v>48</v>
      </c>
      <c r="C110" s="295" t="s">
        <v>514</v>
      </c>
      <c r="D110" s="298" t="s">
        <v>598</v>
      </c>
      <c r="E110" s="361" t="s">
        <v>759</v>
      </c>
      <c r="F110" s="295" t="s">
        <v>485</v>
      </c>
      <c r="G110" s="311">
        <f t="shared" si="180"/>
        <v>1422.3999999999999</v>
      </c>
      <c r="H110" s="311">
        <f t="shared" si="179"/>
        <v>711.19999999999993</v>
      </c>
      <c r="I110" s="311">
        <f t="shared" si="181"/>
        <v>1219.1999999999998</v>
      </c>
      <c r="J110" s="306">
        <f t="shared" si="182"/>
        <v>1734190.0799999996</v>
      </c>
      <c r="K110" s="311">
        <f t="shared" si="183"/>
        <v>193.67499999999998</v>
      </c>
      <c r="L110" s="327">
        <f t="shared" si="184"/>
        <v>1219.1999999999998</v>
      </c>
      <c r="M110" s="309">
        <f t="shared" si="185"/>
        <v>1.1666666666666667</v>
      </c>
      <c r="N110" s="309">
        <f t="shared" si="134"/>
        <v>0.58333333333333337</v>
      </c>
      <c r="O110" s="309">
        <f t="shared" si="124"/>
        <v>0.58333333333333337</v>
      </c>
      <c r="P110" s="327">
        <f t="shared" si="186"/>
        <v>126773.93999999999</v>
      </c>
      <c r="Q110" s="306">
        <f t="shared" si="125"/>
        <v>236128.55999999994</v>
      </c>
      <c r="R110" s="309">
        <f t="shared" si="148"/>
        <v>0.53688524590163944</v>
      </c>
      <c r="S110" s="312">
        <f t="shared" si="197"/>
        <v>1219.1999999999998</v>
      </c>
      <c r="T110" s="312">
        <f>G110/2</f>
        <v>711.19999999999993</v>
      </c>
      <c r="U110" s="310">
        <f t="shared" si="199"/>
        <v>12.50019988</v>
      </c>
      <c r="V110" s="308" t="s">
        <v>413</v>
      </c>
      <c r="W110" s="387">
        <f t="shared" si="135"/>
        <v>0</v>
      </c>
      <c r="X110" s="307">
        <f t="shared" si="187"/>
        <v>10.686878</v>
      </c>
      <c r="Y110" s="387">
        <f t="shared" si="136"/>
        <v>10.686878</v>
      </c>
      <c r="Z110" s="420">
        <f t="shared" si="200"/>
        <v>0.51593959731543626</v>
      </c>
      <c r="AA110" s="429" t="s">
        <v>1020</v>
      </c>
      <c r="AB110" s="429" t="s">
        <v>1020</v>
      </c>
      <c r="AC110" s="342">
        <v>2</v>
      </c>
      <c r="AD110" s="354">
        <v>2</v>
      </c>
      <c r="AE110" s="307" t="s">
        <v>413</v>
      </c>
      <c r="AF110" s="313">
        <f t="shared" si="98"/>
        <v>0.81209093304219504</v>
      </c>
      <c r="AG110" s="429" t="s">
        <v>1020</v>
      </c>
      <c r="AH110" s="429" t="s">
        <v>1020</v>
      </c>
      <c r="AI110" s="429" t="s">
        <v>1020</v>
      </c>
      <c r="AJ110" s="361" t="s">
        <v>413</v>
      </c>
      <c r="AK110" s="361" t="s">
        <v>413</v>
      </c>
      <c r="AL110" s="298">
        <v>0</v>
      </c>
      <c r="AM110" s="298">
        <v>0</v>
      </c>
      <c r="AN110" s="298">
        <v>0</v>
      </c>
      <c r="AO110" s="298">
        <v>0</v>
      </c>
      <c r="AP110" s="298">
        <f t="shared" si="188"/>
        <v>0</v>
      </c>
      <c r="AQ110" s="298">
        <v>0</v>
      </c>
      <c r="AR110" s="298" t="s">
        <v>761</v>
      </c>
      <c r="AS110" s="298">
        <f>3*200</f>
        <v>600</v>
      </c>
      <c r="AT110" s="298" t="s">
        <v>413</v>
      </c>
      <c r="AU110" s="311">
        <v>0</v>
      </c>
      <c r="AV110" s="307">
        <v>0</v>
      </c>
      <c r="AW110" s="312">
        <f t="shared" si="189"/>
        <v>600</v>
      </c>
      <c r="AX110" s="340">
        <v>2.1800000000000001E-3</v>
      </c>
      <c r="AY110" s="327">
        <f>AVERAGE(67.1,67.1,56.1)*1000*J3</f>
        <v>437.3576093333333</v>
      </c>
      <c r="AZ110" s="306">
        <f t="shared" si="190"/>
        <v>0.95343958834666664</v>
      </c>
      <c r="BA110" s="298">
        <v>0</v>
      </c>
      <c r="BB110" s="298">
        <f t="shared" si="191"/>
        <v>174.815046</v>
      </c>
      <c r="BC110" s="309">
        <f t="shared" si="192"/>
        <v>0.74033842411947126</v>
      </c>
      <c r="BD110" s="313" t="e">
        <f t="shared" si="137"/>
        <v>#VALUE!</v>
      </c>
      <c r="BE110" s="328">
        <f t="shared" si="193"/>
        <v>1.378952</v>
      </c>
      <c r="BF110" s="307">
        <f>32.7*1000*$T$3</f>
        <v>145.45679400000003</v>
      </c>
      <c r="BG110" s="307">
        <f>35.1*1000*T3</f>
        <v>156.13252199999999</v>
      </c>
      <c r="BH110" s="311">
        <f t="shared" si="194"/>
        <v>150.79465800000003</v>
      </c>
      <c r="BI110" s="312">
        <v>1</v>
      </c>
      <c r="BJ110" s="361">
        <f t="shared" si="126"/>
        <v>1</v>
      </c>
      <c r="BK110" s="361">
        <f t="shared" si="127"/>
        <v>1</v>
      </c>
      <c r="BL110" s="311">
        <f t="shared" si="195"/>
        <v>150.79465800000003</v>
      </c>
      <c r="BM110" s="309">
        <f t="shared" si="96"/>
        <v>0.63861253378244487</v>
      </c>
      <c r="BN110" s="309">
        <f t="shared" si="196"/>
        <v>1.1894767804802788</v>
      </c>
      <c r="BO110" s="376"/>
      <c r="BP110" s="328" t="e">
        <f t="shared" si="139"/>
        <v>#VALUE!</v>
      </c>
      <c r="BQ110" s="328">
        <f t="shared" si="128"/>
        <v>0.95343958834666664</v>
      </c>
      <c r="BR110" s="328">
        <f t="shared" si="146"/>
        <v>0</v>
      </c>
      <c r="BS110" s="328" t="e">
        <f t="shared" si="140"/>
        <v>#VALUE!</v>
      </c>
      <c r="BT110" s="328">
        <f t="shared" si="141"/>
        <v>0.74033842411947126</v>
      </c>
      <c r="BU110" s="376"/>
      <c r="BV110" s="328">
        <f t="shared" si="129"/>
        <v>0.5</v>
      </c>
      <c r="BW110" s="328">
        <f t="shared" si="130"/>
        <v>0.58333333333333337</v>
      </c>
      <c r="BX110" s="373" t="e">
        <f t="shared" si="142"/>
        <v>#VALUE!</v>
      </c>
      <c r="BY110" s="311" t="e">
        <f t="shared" si="131"/>
        <v>#VALUE!</v>
      </c>
      <c r="BZ110" s="311">
        <f t="shared" si="132"/>
        <v>0</v>
      </c>
      <c r="CA110" s="311" t="e">
        <f t="shared" si="143"/>
        <v>#VALUE!</v>
      </c>
      <c r="CB110" s="307" t="e">
        <f t="shared" si="144"/>
        <v>#VALUE!</v>
      </c>
      <c r="CC110" s="309"/>
      <c r="CD110" s="379"/>
    </row>
    <row r="111" spans="1:82" x14ac:dyDescent="0.25">
      <c r="A111" s="305">
        <v>103</v>
      </c>
      <c r="B111" s="298" t="s">
        <v>48</v>
      </c>
      <c r="C111" s="295" t="s">
        <v>515</v>
      </c>
      <c r="D111" s="298" t="s">
        <v>598</v>
      </c>
      <c r="E111" s="361" t="s">
        <v>759</v>
      </c>
      <c r="F111" s="295" t="s">
        <v>485</v>
      </c>
      <c r="G111" s="311">
        <f t="shared" si="180"/>
        <v>1422.3999999999999</v>
      </c>
      <c r="H111" s="311">
        <f t="shared" si="179"/>
        <v>711.19999999999993</v>
      </c>
      <c r="I111" s="311">
        <f t="shared" si="181"/>
        <v>1219.1999999999998</v>
      </c>
      <c r="J111" s="306">
        <f t="shared" si="182"/>
        <v>1734190.0799999996</v>
      </c>
      <c r="K111" s="311">
        <f t="shared" si="183"/>
        <v>193.67499999999998</v>
      </c>
      <c r="L111" s="327">
        <f t="shared" si="184"/>
        <v>1219.1999999999998</v>
      </c>
      <c r="M111" s="309">
        <f t="shared" si="185"/>
        <v>1.1666666666666667</v>
      </c>
      <c r="N111" s="309">
        <f t="shared" si="134"/>
        <v>0.58333333333333337</v>
      </c>
      <c r="O111" s="309">
        <f t="shared" si="124"/>
        <v>0.58333333333333337</v>
      </c>
      <c r="P111" s="327">
        <f t="shared" si="186"/>
        <v>126773.93999999999</v>
      </c>
      <c r="Q111" s="306">
        <f t="shared" si="125"/>
        <v>236128.55999999994</v>
      </c>
      <c r="R111" s="309">
        <f t="shared" si="148"/>
        <v>0.53688524590163944</v>
      </c>
      <c r="S111" s="312">
        <f t="shared" si="197"/>
        <v>1219.1999999999998</v>
      </c>
      <c r="T111" s="312">
        <f>4*200</f>
        <v>800</v>
      </c>
      <c r="U111" s="310">
        <f t="shared" si="199"/>
        <v>12.50019988</v>
      </c>
      <c r="V111" s="308" t="s">
        <v>413</v>
      </c>
      <c r="W111" s="387">
        <f t="shared" si="135"/>
        <v>0</v>
      </c>
      <c r="X111" s="307">
        <f t="shared" si="187"/>
        <v>10.686878</v>
      </c>
      <c r="Y111" s="387">
        <f t="shared" si="136"/>
        <v>10.686878</v>
      </c>
      <c r="Z111" s="420">
        <f t="shared" si="200"/>
        <v>0.51593959731543626</v>
      </c>
      <c r="AA111" s="429" t="s">
        <v>1020</v>
      </c>
      <c r="AB111" s="429" t="s">
        <v>1020</v>
      </c>
      <c r="AC111" s="342">
        <v>2</v>
      </c>
      <c r="AD111" s="354">
        <v>2</v>
      </c>
      <c r="AE111" s="307" t="s">
        <v>413</v>
      </c>
      <c r="AF111" s="313">
        <f t="shared" si="98"/>
        <v>0.81209093304219504</v>
      </c>
      <c r="AG111" s="429" t="s">
        <v>1020</v>
      </c>
      <c r="AH111" s="429" t="s">
        <v>1020</v>
      </c>
      <c r="AI111" s="429" t="s">
        <v>1020</v>
      </c>
      <c r="AJ111" s="361" t="s">
        <v>413</v>
      </c>
      <c r="AK111" s="361" t="s">
        <v>413</v>
      </c>
      <c r="AL111" s="298">
        <v>0</v>
      </c>
      <c r="AM111" s="298">
        <v>0</v>
      </c>
      <c r="AN111" s="298">
        <v>0</v>
      </c>
      <c r="AO111" s="298">
        <v>0</v>
      </c>
      <c r="AP111" s="298">
        <f t="shared" si="188"/>
        <v>0</v>
      </c>
      <c r="AQ111" s="298">
        <v>0</v>
      </c>
      <c r="AR111" s="298" t="s">
        <v>762</v>
      </c>
      <c r="AS111" s="298">
        <f>1*200</f>
        <v>200</v>
      </c>
      <c r="AT111" s="298" t="s">
        <v>413</v>
      </c>
      <c r="AU111" s="311">
        <v>0</v>
      </c>
      <c r="AV111" s="307">
        <v>0</v>
      </c>
      <c r="AW111" s="312">
        <f t="shared" si="189"/>
        <v>200</v>
      </c>
      <c r="AX111" s="340">
        <v>1.4499999999999999E-3</v>
      </c>
      <c r="AY111" s="327">
        <f>AVERAGE(55.8,55.8)*1000*J3</f>
        <v>384.72760799999998</v>
      </c>
      <c r="AZ111" s="306">
        <f t="shared" si="190"/>
        <v>0.55785503159999994</v>
      </c>
      <c r="BA111" s="298">
        <v>0</v>
      </c>
      <c r="BB111" s="298">
        <f t="shared" si="191"/>
        <v>174.815046</v>
      </c>
      <c r="BC111" s="309">
        <f t="shared" si="192"/>
        <v>0.74033842411947126</v>
      </c>
      <c r="BD111" s="313" t="e">
        <f t="shared" si="137"/>
        <v>#VALUE!</v>
      </c>
      <c r="BE111" s="328">
        <f t="shared" si="193"/>
        <v>1.378952</v>
      </c>
      <c r="BF111" s="307">
        <f>35.2*1000*$T$3</f>
        <v>156.57734400000001</v>
      </c>
      <c r="BG111" s="307">
        <f>36.8*1000*T3</f>
        <v>163.69449600000002</v>
      </c>
      <c r="BH111" s="311">
        <f t="shared" si="194"/>
        <v>160.13592</v>
      </c>
      <c r="BI111" s="312">
        <v>1</v>
      </c>
      <c r="BJ111" s="361">
        <f t="shared" si="126"/>
        <v>1</v>
      </c>
      <c r="BK111" s="361">
        <f t="shared" si="127"/>
        <v>1</v>
      </c>
      <c r="BL111" s="311">
        <f t="shared" si="195"/>
        <v>160.13592</v>
      </c>
      <c r="BM111" s="309">
        <f t="shared" si="96"/>
        <v>0.67817260224684395</v>
      </c>
      <c r="BN111" s="309">
        <f t="shared" si="196"/>
        <v>1.2631611828109153</v>
      </c>
      <c r="BO111" s="376"/>
      <c r="BP111" s="328" t="e">
        <f t="shared" si="139"/>
        <v>#VALUE!</v>
      </c>
      <c r="BQ111" s="328">
        <f t="shared" si="128"/>
        <v>0.55785503159999994</v>
      </c>
      <c r="BR111" s="328">
        <f t="shared" si="146"/>
        <v>0</v>
      </c>
      <c r="BS111" s="328" t="e">
        <f t="shared" si="140"/>
        <v>#VALUE!</v>
      </c>
      <c r="BT111" s="328">
        <f t="shared" si="141"/>
        <v>0.74033842411947126</v>
      </c>
      <c r="BU111" s="376"/>
      <c r="BV111" s="328">
        <f t="shared" si="129"/>
        <v>0.5</v>
      </c>
      <c r="BW111" s="328">
        <f t="shared" si="130"/>
        <v>0.58333333333333337</v>
      </c>
      <c r="BX111" s="373" t="e">
        <f t="shared" si="142"/>
        <v>#VALUE!</v>
      </c>
      <c r="BY111" s="311" t="e">
        <f t="shared" si="131"/>
        <v>#VALUE!</v>
      </c>
      <c r="BZ111" s="311">
        <f t="shared" si="132"/>
        <v>0</v>
      </c>
      <c r="CA111" s="311" t="e">
        <f t="shared" si="143"/>
        <v>#VALUE!</v>
      </c>
      <c r="CB111" s="307" t="e">
        <f t="shared" si="144"/>
        <v>#VALUE!</v>
      </c>
      <c r="CC111" s="309"/>
      <c r="CD111" s="379"/>
    </row>
    <row r="112" spans="1:82" x14ac:dyDescent="0.25">
      <c r="A112" s="305">
        <v>104</v>
      </c>
      <c r="B112" s="298" t="s">
        <v>48</v>
      </c>
      <c r="C112" s="295" t="s">
        <v>516</v>
      </c>
      <c r="D112" s="298" t="s">
        <v>598</v>
      </c>
      <c r="E112" s="361" t="s">
        <v>759</v>
      </c>
      <c r="F112" s="295" t="s">
        <v>485</v>
      </c>
      <c r="G112" s="311">
        <f t="shared" si="180"/>
        <v>1422.3999999999999</v>
      </c>
      <c r="H112" s="311">
        <f t="shared" si="179"/>
        <v>711.19999999999993</v>
      </c>
      <c r="I112" s="311">
        <f t="shared" si="181"/>
        <v>1219.1999999999998</v>
      </c>
      <c r="J112" s="306">
        <f t="shared" si="182"/>
        <v>1734190.0799999996</v>
      </c>
      <c r="K112" s="311">
        <f t="shared" si="183"/>
        <v>193.67499999999998</v>
      </c>
      <c r="L112" s="327">
        <f t="shared" si="184"/>
        <v>1219.1999999999998</v>
      </c>
      <c r="M112" s="309">
        <f t="shared" si="185"/>
        <v>1.1666666666666667</v>
      </c>
      <c r="N112" s="309">
        <f t="shared" si="134"/>
        <v>0.58333333333333337</v>
      </c>
      <c r="O112" s="309">
        <f t="shared" si="124"/>
        <v>0.58333333333333337</v>
      </c>
      <c r="P112" s="327">
        <f t="shared" si="186"/>
        <v>126773.93999999999</v>
      </c>
      <c r="Q112" s="306">
        <f t="shared" si="125"/>
        <v>236128.55999999994</v>
      </c>
      <c r="R112" s="309">
        <f t="shared" ref="R112:R143" si="201">P112/Q112</f>
        <v>0.53688524590163944</v>
      </c>
      <c r="S112" s="312">
        <f t="shared" si="197"/>
        <v>1219.1999999999998</v>
      </c>
      <c r="T112" s="312">
        <f t="shared" ref="T112:T114" si="202">G112/2</f>
        <v>711.19999999999993</v>
      </c>
      <c r="U112" s="310">
        <f t="shared" si="199"/>
        <v>12.50019988</v>
      </c>
      <c r="V112" s="308" t="s">
        <v>413</v>
      </c>
      <c r="W112" s="387">
        <f t="shared" si="135"/>
        <v>0</v>
      </c>
      <c r="X112" s="307">
        <f t="shared" si="187"/>
        <v>10.686878</v>
      </c>
      <c r="Y112" s="387">
        <f t="shared" si="136"/>
        <v>10.686878</v>
      </c>
      <c r="Z112" s="420">
        <f t="shared" si="200"/>
        <v>0.51593959731543626</v>
      </c>
      <c r="AA112" s="429" t="s">
        <v>1020</v>
      </c>
      <c r="AB112" s="429" t="s">
        <v>1020</v>
      </c>
      <c r="AC112" s="342">
        <v>2</v>
      </c>
      <c r="AD112" s="354">
        <v>2</v>
      </c>
      <c r="AE112" s="307" t="s">
        <v>413</v>
      </c>
      <c r="AF112" s="313">
        <f t="shared" si="98"/>
        <v>0.81209093304219504</v>
      </c>
      <c r="AG112" s="429" t="s">
        <v>1020</v>
      </c>
      <c r="AH112" s="429" t="s">
        <v>1020</v>
      </c>
      <c r="AI112" s="429" t="s">
        <v>1020</v>
      </c>
      <c r="AJ112" s="361" t="s">
        <v>413</v>
      </c>
      <c r="AK112" s="361" t="s">
        <v>413</v>
      </c>
      <c r="AL112" s="298">
        <v>0</v>
      </c>
      <c r="AM112" s="298">
        <v>0</v>
      </c>
      <c r="AN112" s="298">
        <v>0</v>
      </c>
      <c r="AO112" s="298">
        <v>0</v>
      </c>
      <c r="AP112" s="298">
        <f t="shared" si="188"/>
        <v>0</v>
      </c>
      <c r="AQ112" s="298">
        <v>0</v>
      </c>
      <c r="AR112" s="298" t="s">
        <v>761</v>
      </c>
      <c r="AS112" s="298">
        <f>3*200</f>
        <v>600</v>
      </c>
      <c r="AT112" s="298" t="s">
        <v>413</v>
      </c>
      <c r="AU112" s="311">
        <v>0</v>
      </c>
      <c r="AV112" s="307">
        <v>0</v>
      </c>
      <c r="AW112" s="312">
        <f t="shared" si="189"/>
        <v>600</v>
      </c>
      <c r="AX112" s="340">
        <v>2.1800000000000001E-3</v>
      </c>
      <c r="AY112" s="327">
        <f>AVERAGE(53.9,54.8,53.2,54.8)*1000*J3</f>
        <v>373.52362299999999</v>
      </c>
      <c r="AZ112" s="306">
        <f t="shared" si="190"/>
        <v>0.81428149813999995</v>
      </c>
      <c r="BA112" s="298">
        <v>0</v>
      </c>
      <c r="BB112" s="298">
        <f t="shared" si="191"/>
        <v>174.815046</v>
      </c>
      <c r="BC112" s="309">
        <f t="shared" si="192"/>
        <v>0.74033842411947126</v>
      </c>
      <c r="BD112" s="313" t="e">
        <f t="shared" si="137"/>
        <v>#VALUE!</v>
      </c>
      <c r="BE112" s="328">
        <f t="shared" si="193"/>
        <v>1.378952</v>
      </c>
      <c r="BF112" s="307">
        <f>26.8*1000*$T$3</f>
        <v>119.21229600000001</v>
      </c>
      <c r="BG112" s="307">
        <f>26.8*1000*T3</f>
        <v>119.21229600000001</v>
      </c>
      <c r="BH112" s="311">
        <f t="shared" si="194"/>
        <v>119.21229600000001</v>
      </c>
      <c r="BI112" s="312">
        <v>1</v>
      </c>
      <c r="BJ112" s="361">
        <f t="shared" si="126"/>
        <v>1</v>
      </c>
      <c r="BK112" s="361">
        <f t="shared" si="127"/>
        <v>1</v>
      </c>
      <c r="BL112" s="311">
        <f t="shared" si="195"/>
        <v>119.21229600000001</v>
      </c>
      <c r="BM112" s="309">
        <f t="shared" ref="BM112:BM175" si="203">BL112/(K112*I112)*1000</f>
        <v>0.50486182611709496</v>
      </c>
      <c r="BN112" s="309">
        <f t="shared" si="196"/>
        <v>0.94035332498145929</v>
      </c>
      <c r="BO112" s="376"/>
      <c r="BP112" s="328" t="e">
        <f t="shared" si="139"/>
        <v>#VALUE!</v>
      </c>
      <c r="BQ112" s="328">
        <f t="shared" si="128"/>
        <v>0.81428149813999995</v>
      </c>
      <c r="BR112" s="328">
        <f t="shared" si="146"/>
        <v>0</v>
      </c>
      <c r="BS112" s="328" t="e">
        <f t="shared" si="140"/>
        <v>#VALUE!</v>
      </c>
      <c r="BT112" s="328">
        <f t="shared" si="141"/>
        <v>0.74033842411947126</v>
      </c>
      <c r="BU112" s="376"/>
      <c r="BV112" s="328">
        <f t="shared" si="129"/>
        <v>0.5</v>
      </c>
      <c r="BW112" s="328">
        <f t="shared" si="130"/>
        <v>0.58333333333333337</v>
      </c>
      <c r="BX112" s="373" t="e">
        <f t="shared" si="142"/>
        <v>#VALUE!</v>
      </c>
      <c r="BY112" s="311" t="e">
        <f t="shared" si="131"/>
        <v>#VALUE!</v>
      </c>
      <c r="BZ112" s="311">
        <f t="shared" si="132"/>
        <v>0</v>
      </c>
      <c r="CA112" s="311" t="e">
        <f t="shared" si="143"/>
        <v>#VALUE!</v>
      </c>
      <c r="CB112" s="307" t="e">
        <f t="shared" si="144"/>
        <v>#VALUE!</v>
      </c>
      <c r="CC112" s="309"/>
      <c r="CD112" s="379"/>
    </row>
    <row r="113" spans="1:82" x14ac:dyDescent="0.25">
      <c r="A113" s="305">
        <v>105</v>
      </c>
      <c r="B113" s="298" t="s">
        <v>48</v>
      </c>
      <c r="C113" s="295" t="s">
        <v>517</v>
      </c>
      <c r="D113" s="298" t="s">
        <v>598</v>
      </c>
      <c r="E113" s="361" t="s">
        <v>759</v>
      </c>
      <c r="F113" s="295" t="s">
        <v>485</v>
      </c>
      <c r="G113" s="311">
        <f t="shared" si="180"/>
        <v>1422.3999999999999</v>
      </c>
      <c r="H113" s="311">
        <f t="shared" si="179"/>
        <v>711.19999999999993</v>
      </c>
      <c r="I113" s="311">
        <f t="shared" si="181"/>
        <v>1219.1999999999998</v>
      </c>
      <c r="J113" s="306">
        <f t="shared" si="182"/>
        <v>1734190.0799999996</v>
      </c>
      <c r="K113" s="311">
        <f t="shared" si="183"/>
        <v>193.67499999999998</v>
      </c>
      <c r="L113" s="327">
        <f t="shared" si="184"/>
        <v>1219.1999999999998</v>
      </c>
      <c r="M113" s="309">
        <f t="shared" si="185"/>
        <v>1.1666666666666667</v>
      </c>
      <c r="N113" s="309">
        <f t="shared" si="134"/>
        <v>0.58333333333333337</v>
      </c>
      <c r="O113" s="309">
        <f t="shared" si="124"/>
        <v>0.58333333333333337</v>
      </c>
      <c r="P113" s="327">
        <f t="shared" si="186"/>
        <v>126773.93999999999</v>
      </c>
      <c r="Q113" s="306">
        <f t="shared" si="125"/>
        <v>236128.55999999994</v>
      </c>
      <c r="R113" s="309">
        <f t="shared" si="201"/>
        <v>0.53688524590163944</v>
      </c>
      <c r="S113" s="312">
        <f t="shared" si="197"/>
        <v>1219.1999999999998</v>
      </c>
      <c r="T113" s="312">
        <f t="shared" si="202"/>
        <v>711.19999999999993</v>
      </c>
      <c r="U113" s="310">
        <f t="shared" si="199"/>
        <v>12.50019988</v>
      </c>
      <c r="V113" s="308" t="s">
        <v>413</v>
      </c>
      <c r="W113" s="387">
        <f t="shared" si="135"/>
        <v>0</v>
      </c>
      <c r="X113" s="307">
        <f t="shared" si="187"/>
        <v>10.686878</v>
      </c>
      <c r="Y113" s="387">
        <f t="shared" si="136"/>
        <v>10.686878</v>
      </c>
      <c r="Z113" s="420">
        <f t="shared" si="200"/>
        <v>0.51593959731543626</v>
      </c>
      <c r="AA113" s="429" t="s">
        <v>1020</v>
      </c>
      <c r="AB113" s="429" t="s">
        <v>1020</v>
      </c>
      <c r="AC113" s="342">
        <v>2</v>
      </c>
      <c r="AD113" s="354">
        <v>2</v>
      </c>
      <c r="AE113" s="307" t="s">
        <v>413</v>
      </c>
      <c r="AF113" s="313">
        <f t="shared" si="98"/>
        <v>0.81209093304219504</v>
      </c>
      <c r="AG113" s="429" t="s">
        <v>1020</v>
      </c>
      <c r="AH113" s="429" t="s">
        <v>1020</v>
      </c>
      <c r="AI113" s="429" t="s">
        <v>1020</v>
      </c>
      <c r="AJ113" s="361" t="s">
        <v>413</v>
      </c>
      <c r="AK113" s="361" t="s">
        <v>413</v>
      </c>
      <c r="AL113" s="298">
        <v>0</v>
      </c>
      <c r="AM113" s="298">
        <v>0</v>
      </c>
      <c r="AN113" s="298">
        <v>0</v>
      </c>
      <c r="AO113" s="298">
        <v>0</v>
      </c>
      <c r="AP113" s="298">
        <f t="shared" si="188"/>
        <v>0</v>
      </c>
      <c r="AQ113" s="298">
        <v>0</v>
      </c>
      <c r="AR113" s="298" t="s">
        <v>763</v>
      </c>
      <c r="AS113" s="298">
        <f>1*71</f>
        <v>71</v>
      </c>
      <c r="AT113" s="361" t="s">
        <v>760</v>
      </c>
      <c r="AU113" s="311">
        <f>6.63*2*3</f>
        <v>39.78</v>
      </c>
      <c r="AV113" s="307">
        <f>6.63*2</f>
        <v>13.26</v>
      </c>
      <c r="AW113" s="312">
        <f t="shared" si="189"/>
        <v>110.78</v>
      </c>
      <c r="AX113" s="340">
        <v>7.5700000000000008E-4</v>
      </c>
      <c r="AY113" s="362">
        <f>AY115</f>
        <v>372.66177799999997</v>
      </c>
      <c r="AZ113" s="306">
        <f t="shared" si="190"/>
        <v>0.28210496594599999</v>
      </c>
      <c r="BA113" s="298">
        <f>16*O3</f>
        <v>406.4</v>
      </c>
      <c r="BB113" s="298">
        <f t="shared" si="191"/>
        <v>174.815046</v>
      </c>
      <c r="BC113" s="309">
        <f t="shared" si="192"/>
        <v>0.74033842411947126</v>
      </c>
      <c r="BD113" s="313" t="e">
        <f t="shared" si="137"/>
        <v>#VALUE!</v>
      </c>
      <c r="BE113" s="328">
        <f t="shared" si="193"/>
        <v>1.378952</v>
      </c>
      <c r="BF113" s="307">
        <f>36.3*1000*$T$3</f>
        <v>161.47038599999999</v>
      </c>
      <c r="BG113" s="307">
        <f>39.7*1000*T3</f>
        <v>176.594334</v>
      </c>
      <c r="BH113" s="311">
        <f t="shared" si="194"/>
        <v>169.03235999999998</v>
      </c>
      <c r="BI113" s="312">
        <v>1</v>
      </c>
      <c r="BJ113" s="361">
        <f t="shared" si="126"/>
        <v>1</v>
      </c>
      <c r="BK113" s="361">
        <f t="shared" si="127"/>
        <v>1</v>
      </c>
      <c r="BL113" s="311">
        <f t="shared" si="195"/>
        <v>169.03235999999998</v>
      </c>
      <c r="BM113" s="309">
        <f t="shared" si="203"/>
        <v>0.71584885792722419</v>
      </c>
      <c r="BN113" s="309">
        <f t="shared" si="196"/>
        <v>1.3333368040781881</v>
      </c>
      <c r="BO113" s="376"/>
      <c r="BP113" s="328" t="e">
        <f t="shared" si="139"/>
        <v>#VALUE!</v>
      </c>
      <c r="BQ113" s="328">
        <f t="shared" si="128"/>
        <v>0.28210496594599999</v>
      </c>
      <c r="BR113" s="328">
        <f t="shared" si="146"/>
        <v>0</v>
      </c>
      <c r="BS113" s="328" t="e">
        <f t="shared" si="140"/>
        <v>#VALUE!</v>
      </c>
      <c r="BT113" s="328">
        <f t="shared" si="141"/>
        <v>0.74033842411947126</v>
      </c>
      <c r="BU113" s="376"/>
      <c r="BV113" s="328">
        <f t="shared" si="129"/>
        <v>0.5</v>
      </c>
      <c r="BW113" s="328">
        <f t="shared" si="130"/>
        <v>0.58333333333333337</v>
      </c>
      <c r="BX113" s="373" t="e">
        <f t="shared" si="142"/>
        <v>#VALUE!</v>
      </c>
      <c r="BY113" s="311" t="e">
        <f t="shared" si="131"/>
        <v>#VALUE!</v>
      </c>
      <c r="BZ113" s="311">
        <f t="shared" si="132"/>
        <v>74310.249180311992</v>
      </c>
      <c r="CA113" s="311" t="e">
        <f t="shared" si="143"/>
        <v>#VALUE!</v>
      </c>
      <c r="CB113" s="307" t="e">
        <f t="shared" si="144"/>
        <v>#VALUE!</v>
      </c>
      <c r="CC113" s="309"/>
      <c r="CD113" s="379"/>
    </row>
    <row r="114" spans="1:82" x14ac:dyDescent="0.25">
      <c r="A114" s="305">
        <v>106</v>
      </c>
      <c r="B114" s="298" t="s">
        <v>48</v>
      </c>
      <c r="C114" s="295" t="s">
        <v>518</v>
      </c>
      <c r="D114" s="298" t="s">
        <v>598</v>
      </c>
      <c r="E114" s="361" t="s">
        <v>759</v>
      </c>
      <c r="F114" s="295" t="s">
        <v>485</v>
      </c>
      <c r="G114" s="311">
        <f t="shared" si="180"/>
        <v>1422.3999999999999</v>
      </c>
      <c r="H114" s="311">
        <f t="shared" si="179"/>
        <v>711.19999999999993</v>
      </c>
      <c r="I114" s="311">
        <f t="shared" si="181"/>
        <v>1219.1999999999998</v>
      </c>
      <c r="J114" s="306">
        <f t="shared" si="182"/>
        <v>1734190.0799999996</v>
      </c>
      <c r="K114" s="311">
        <f t="shared" si="183"/>
        <v>193.67499999999998</v>
      </c>
      <c r="L114" s="327">
        <f>48*$O$3</f>
        <v>1219.1999999999998</v>
      </c>
      <c r="M114" s="309">
        <f t="shared" si="185"/>
        <v>1.1666666666666667</v>
      </c>
      <c r="N114" s="309">
        <f t="shared" si="134"/>
        <v>0.58333333333333337</v>
      </c>
      <c r="O114" s="309">
        <f t="shared" si="124"/>
        <v>0.58333333333333337</v>
      </c>
      <c r="P114" s="327">
        <f t="shared" si="186"/>
        <v>126773.93999999999</v>
      </c>
      <c r="Q114" s="306">
        <f t="shared" si="125"/>
        <v>236128.55999999994</v>
      </c>
      <c r="R114" s="309">
        <f t="shared" si="201"/>
        <v>0.53688524590163944</v>
      </c>
      <c r="S114" s="312">
        <f t="shared" si="197"/>
        <v>1219.1999999999998</v>
      </c>
      <c r="T114" s="312">
        <f t="shared" si="202"/>
        <v>711.19999999999993</v>
      </c>
      <c r="U114" s="310">
        <f t="shared" si="199"/>
        <v>12.50019988</v>
      </c>
      <c r="V114" s="308" t="s">
        <v>413</v>
      </c>
      <c r="W114" s="387">
        <f t="shared" si="135"/>
        <v>0</v>
      </c>
      <c r="X114" s="307">
        <f t="shared" si="187"/>
        <v>10.686878</v>
      </c>
      <c r="Y114" s="387">
        <f t="shared" si="136"/>
        <v>10.686878</v>
      </c>
      <c r="Z114" s="420">
        <f t="shared" si="200"/>
        <v>0.51593959731543626</v>
      </c>
      <c r="AA114" s="429" t="s">
        <v>1020</v>
      </c>
      <c r="AB114" s="429" t="s">
        <v>1020</v>
      </c>
      <c r="AC114" s="342">
        <v>2</v>
      </c>
      <c r="AD114" s="354">
        <v>2</v>
      </c>
      <c r="AE114" s="307" t="s">
        <v>413</v>
      </c>
      <c r="AF114" s="313">
        <f t="shared" si="98"/>
        <v>0.81209093304219504</v>
      </c>
      <c r="AG114" s="429" t="s">
        <v>1020</v>
      </c>
      <c r="AH114" s="429" t="s">
        <v>1020</v>
      </c>
      <c r="AI114" s="429" t="s">
        <v>1020</v>
      </c>
      <c r="AJ114" s="361" t="s">
        <v>413</v>
      </c>
      <c r="AK114" s="361" t="s">
        <v>413</v>
      </c>
      <c r="AL114" s="298">
        <v>0</v>
      </c>
      <c r="AM114" s="298">
        <v>0</v>
      </c>
      <c r="AN114" s="298">
        <v>0</v>
      </c>
      <c r="AO114" s="298">
        <v>0</v>
      </c>
      <c r="AP114" s="298">
        <f t="shared" si="188"/>
        <v>0</v>
      </c>
      <c r="AQ114" s="298">
        <v>0</v>
      </c>
      <c r="AR114" s="298" t="s">
        <v>764</v>
      </c>
      <c r="AS114" s="298">
        <f>1*200+2*129</f>
        <v>458</v>
      </c>
      <c r="AT114" s="361" t="s">
        <v>760</v>
      </c>
      <c r="AU114" s="311">
        <f>6.63*2*3</f>
        <v>39.78</v>
      </c>
      <c r="AV114" s="307">
        <f>6.63*2</f>
        <v>13.26</v>
      </c>
      <c r="AW114" s="312">
        <f t="shared" si="189"/>
        <v>497.78</v>
      </c>
      <c r="AX114" s="340">
        <v>2.15E-3</v>
      </c>
      <c r="AY114" s="327">
        <f>AVERAGE(49.5,49.5)*1000*J3</f>
        <v>341.29061999999999</v>
      </c>
      <c r="AZ114" s="306">
        <f t="shared" si="190"/>
        <v>0.73377483300000002</v>
      </c>
      <c r="BA114" s="298">
        <f>8*O3</f>
        <v>203.2</v>
      </c>
      <c r="BB114" s="298">
        <f t="shared" si="191"/>
        <v>174.815046</v>
      </c>
      <c r="BC114" s="309">
        <f t="shared" si="192"/>
        <v>0.74033842411947126</v>
      </c>
      <c r="BD114" s="313" t="e">
        <f t="shared" si="137"/>
        <v>#VALUE!</v>
      </c>
      <c r="BE114" s="328">
        <f t="shared" si="193"/>
        <v>1.378952</v>
      </c>
      <c r="BF114" s="307">
        <f>43.1*1000*$T$3</f>
        <v>191.71828200000002</v>
      </c>
      <c r="BG114" s="307">
        <f>45.2*1000*T3</f>
        <v>201.05954400000002</v>
      </c>
      <c r="BH114" s="311">
        <f t="shared" si="194"/>
        <v>196.388913</v>
      </c>
      <c r="BI114" s="312">
        <v>1</v>
      </c>
      <c r="BJ114" s="361">
        <f t="shared" si="126"/>
        <v>1</v>
      </c>
      <c r="BK114" s="361">
        <f t="shared" si="127"/>
        <v>1</v>
      </c>
      <c r="BL114" s="311">
        <f t="shared" si="195"/>
        <v>196.388913</v>
      </c>
      <c r="BM114" s="309">
        <f t="shared" si="203"/>
        <v>0.83170334414439351</v>
      </c>
      <c r="BN114" s="309">
        <f t="shared" si="196"/>
        <v>1.549126839475053</v>
      </c>
      <c r="BO114" s="376"/>
      <c r="BP114" s="328" t="e">
        <f t="shared" si="139"/>
        <v>#VALUE!</v>
      </c>
      <c r="BQ114" s="328">
        <f t="shared" si="128"/>
        <v>0.73377483300000002</v>
      </c>
      <c r="BR114" s="328">
        <f t="shared" si="146"/>
        <v>0</v>
      </c>
      <c r="BS114" s="328" t="e">
        <f t="shared" si="140"/>
        <v>#VALUE!</v>
      </c>
      <c r="BT114" s="328">
        <f t="shared" si="141"/>
        <v>0.74033842411947126</v>
      </c>
      <c r="BU114" s="376"/>
      <c r="BV114" s="328">
        <f t="shared" si="129"/>
        <v>0.5</v>
      </c>
      <c r="BW114" s="328">
        <f t="shared" si="130"/>
        <v>0.58333333333333337</v>
      </c>
      <c r="BX114" s="373" t="e">
        <f t="shared" si="142"/>
        <v>#VALUE!</v>
      </c>
      <c r="BY114" s="311" t="e">
        <f t="shared" si="131"/>
        <v>#VALUE!</v>
      </c>
      <c r="BZ114" s="311">
        <f t="shared" si="132"/>
        <v>611595.52136495977</v>
      </c>
      <c r="CA114" s="311" t="e">
        <f t="shared" si="143"/>
        <v>#VALUE!</v>
      </c>
      <c r="CB114" s="307" t="e">
        <f t="shared" si="144"/>
        <v>#VALUE!</v>
      </c>
      <c r="CC114" s="309"/>
      <c r="CD114" s="379"/>
    </row>
    <row r="115" spans="1:82" x14ac:dyDescent="0.25">
      <c r="A115" s="315">
        <v>107</v>
      </c>
      <c r="B115" s="315" t="s">
        <v>48</v>
      </c>
      <c r="C115" s="294" t="s">
        <v>519</v>
      </c>
      <c r="D115" s="315" t="s">
        <v>598</v>
      </c>
      <c r="E115" s="315" t="s">
        <v>759</v>
      </c>
      <c r="F115" s="315" t="s">
        <v>485</v>
      </c>
      <c r="G115" s="321">
        <f t="shared" si="180"/>
        <v>1422.3999999999999</v>
      </c>
      <c r="H115" s="321">
        <f t="shared" si="179"/>
        <v>711.19999999999993</v>
      </c>
      <c r="I115" s="321">
        <f t="shared" si="181"/>
        <v>1219.1999999999998</v>
      </c>
      <c r="J115" s="316">
        <f t="shared" si="182"/>
        <v>1734190.0799999996</v>
      </c>
      <c r="K115" s="321">
        <f t="shared" si="183"/>
        <v>193.67499999999998</v>
      </c>
      <c r="L115" s="329">
        <f>48*$O$3</f>
        <v>1219.1999999999998</v>
      </c>
      <c r="M115" s="319">
        <f t="shared" si="185"/>
        <v>1.1666666666666667</v>
      </c>
      <c r="N115" s="319">
        <f t="shared" si="134"/>
        <v>0.58333333333333337</v>
      </c>
      <c r="O115" s="319">
        <f t="shared" si="124"/>
        <v>0.58333333333333337</v>
      </c>
      <c r="P115" s="329">
        <f t="shared" si="186"/>
        <v>126773.93999999999</v>
      </c>
      <c r="Q115" s="316">
        <f t="shared" si="125"/>
        <v>236128.55999999994</v>
      </c>
      <c r="R115" s="319">
        <f t="shared" si="201"/>
        <v>0.53688524590163944</v>
      </c>
      <c r="S115" s="322">
        <f t="shared" si="197"/>
        <v>1219.1999999999998</v>
      </c>
      <c r="T115" s="322">
        <f>4*200</f>
        <v>800</v>
      </c>
      <c r="U115" s="320">
        <f t="shared" si="199"/>
        <v>12.50019988</v>
      </c>
      <c r="V115" s="318" t="s">
        <v>413</v>
      </c>
      <c r="W115" s="387">
        <f t="shared" si="135"/>
        <v>0</v>
      </c>
      <c r="X115" s="317">
        <f t="shared" si="187"/>
        <v>10.686878</v>
      </c>
      <c r="Y115" s="387">
        <f t="shared" si="136"/>
        <v>10.686878</v>
      </c>
      <c r="Z115" s="421">
        <f t="shared" si="200"/>
        <v>0.51593959731543626</v>
      </c>
      <c r="AA115" s="430" t="s">
        <v>1020</v>
      </c>
      <c r="AB115" s="430" t="s">
        <v>1020</v>
      </c>
      <c r="AC115" s="350">
        <v>2</v>
      </c>
      <c r="AD115" s="355">
        <v>2</v>
      </c>
      <c r="AE115" s="315" t="s">
        <v>413</v>
      </c>
      <c r="AF115" s="324">
        <f t="shared" si="98"/>
        <v>0.81209093304219504</v>
      </c>
      <c r="AG115" s="430" t="s">
        <v>1020</v>
      </c>
      <c r="AH115" s="430" t="s">
        <v>1020</v>
      </c>
      <c r="AI115" s="430" t="s">
        <v>1020</v>
      </c>
      <c r="AJ115" s="315" t="s">
        <v>413</v>
      </c>
      <c r="AK115" s="315" t="s">
        <v>413</v>
      </c>
      <c r="AL115" s="315">
        <v>0</v>
      </c>
      <c r="AM115" s="315">
        <v>0</v>
      </c>
      <c r="AN115" s="316">
        <v>0</v>
      </c>
      <c r="AO115" s="341">
        <v>0</v>
      </c>
      <c r="AP115" s="316">
        <f t="shared" si="188"/>
        <v>0</v>
      </c>
      <c r="AQ115" s="341">
        <v>0</v>
      </c>
      <c r="AR115" s="321" t="s">
        <v>762</v>
      </c>
      <c r="AS115" s="321">
        <f>1*200</f>
        <v>200</v>
      </c>
      <c r="AT115" s="321" t="s">
        <v>413</v>
      </c>
      <c r="AU115" s="294">
        <v>0</v>
      </c>
      <c r="AV115" s="315">
        <v>0</v>
      </c>
      <c r="AW115" s="322">
        <f t="shared" si="189"/>
        <v>200</v>
      </c>
      <c r="AX115" s="294">
        <v>1.4499999999999999E-3</v>
      </c>
      <c r="AY115" s="363">
        <f>AVERAGE(54.2,53.9)*1000*J3</f>
        <v>372.66177799999997</v>
      </c>
      <c r="AZ115" s="316">
        <f t="shared" si="190"/>
        <v>0.5403595780999999</v>
      </c>
      <c r="BA115" s="315">
        <v>0</v>
      </c>
      <c r="BB115" s="315">
        <f t="shared" si="191"/>
        <v>174.815046</v>
      </c>
      <c r="BC115" s="319">
        <f t="shared" si="192"/>
        <v>0.74033842411947126</v>
      </c>
      <c r="BD115" s="324" t="e">
        <f t="shared" si="137"/>
        <v>#VALUE!</v>
      </c>
      <c r="BE115" s="319">
        <f t="shared" si="193"/>
        <v>1.378952</v>
      </c>
      <c r="BF115" s="317">
        <f>33.2*1000*$T$3</f>
        <v>147.680904</v>
      </c>
      <c r="BG115" s="317">
        <f>38.6*1000*T3</f>
        <v>171.701292</v>
      </c>
      <c r="BH115" s="321">
        <f t="shared" si="194"/>
        <v>159.69109800000001</v>
      </c>
      <c r="BI115" s="322">
        <v>1</v>
      </c>
      <c r="BJ115" s="315">
        <f t="shared" si="126"/>
        <v>1</v>
      </c>
      <c r="BK115" s="315">
        <f t="shared" si="127"/>
        <v>1</v>
      </c>
      <c r="BL115" s="321">
        <f t="shared" si="195"/>
        <v>159.69109800000001</v>
      </c>
      <c r="BM115" s="319">
        <f t="shared" si="203"/>
        <v>0.676288789462825</v>
      </c>
      <c r="BN115" s="319">
        <f t="shared" si="196"/>
        <v>1.2596524017475519</v>
      </c>
      <c r="BO115" s="376"/>
      <c r="BP115" s="330" t="e">
        <f t="shared" si="139"/>
        <v>#VALUE!</v>
      </c>
      <c r="BQ115" s="330">
        <f t="shared" si="128"/>
        <v>0.5403595780999999</v>
      </c>
      <c r="BR115" s="330">
        <f t="shared" si="146"/>
        <v>0</v>
      </c>
      <c r="BS115" s="330" t="e">
        <f t="shared" si="140"/>
        <v>#VALUE!</v>
      </c>
      <c r="BT115" s="330">
        <f t="shared" si="141"/>
        <v>0.74033842411947126</v>
      </c>
      <c r="BU115" s="376"/>
      <c r="BV115" s="328">
        <f t="shared" si="129"/>
        <v>0.5</v>
      </c>
      <c r="BW115" s="328">
        <f t="shared" si="130"/>
        <v>0.58333333333333337</v>
      </c>
      <c r="BX115" s="373" t="e">
        <f t="shared" si="142"/>
        <v>#VALUE!</v>
      </c>
      <c r="BY115" s="311" t="e">
        <f t="shared" si="131"/>
        <v>#VALUE!</v>
      </c>
      <c r="BZ115" s="311">
        <f t="shared" si="132"/>
        <v>0</v>
      </c>
      <c r="CA115" s="311" t="e">
        <f t="shared" si="143"/>
        <v>#VALUE!</v>
      </c>
      <c r="CB115" s="307" t="e">
        <f t="shared" si="144"/>
        <v>#VALUE!</v>
      </c>
      <c r="CC115" s="309"/>
      <c r="CD115" s="379"/>
    </row>
    <row r="116" spans="1:82" x14ac:dyDescent="0.25">
      <c r="A116" s="305">
        <v>108</v>
      </c>
      <c r="B116" s="298" t="s">
        <v>552</v>
      </c>
      <c r="C116" s="298" t="s">
        <v>582</v>
      </c>
      <c r="D116" s="298" t="s">
        <v>597</v>
      </c>
      <c r="E116" s="298" t="s">
        <v>668</v>
      </c>
      <c r="F116" s="298" t="s">
        <v>484</v>
      </c>
      <c r="G116" s="311">
        <f>3.02*12*$O$3</f>
        <v>920.49599999999998</v>
      </c>
      <c r="H116" s="311">
        <f t="shared" si="179"/>
        <v>920.49599999999998</v>
      </c>
      <c r="I116" s="311">
        <f>3.08*12*$O$3</f>
        <v>938.78399999999999</v>
      </c>
      <c r="J116" s="327">
        <f t="shared" si="182"/>
        <v>864146.91686400003</v>
      </c>
      <c r="K116" s="311">
        <f>1.88*O3</f>
        <v>47.751999999999995</v>
      </c>
      <c r="L116" s="327">
        <f t="shared" ref="L116:L143" si="204">0.8*I116</f>
        <v>751.02719999999999</v>
      </c>
      <c r="M116" s="309">
        <f t="shared" si="185"/>
        <v>0.98051948051948046</v>
      </c>
      <c r="N116" s="309">
        <f t="shared" si="134"/>
        <v>0.98051948051948046</v>
      </c>
      <c r="O116" s="309">
        <f t="shared" si="124"/>
        <v>0.98051948051948046</v>
      </c>
      <c r="P116" s="342">
        <f>(2*396/2/3*K116)+(I116-2*396/2/3)*(33.7/3)*2</f>
        <v>24429.011200000001</v>
      </c>
      <c r="Q116" s="327">
        <f t="shared" si="125"/>
        <v>44828.813567999998</v>
      </c>
      <c r="R116" s="309">
        <f t="shared" si="201"/>
        <v>0.54493994499640475</v>
      </c>
      <c r="S116" s="312">
        <f>37*O3</f>
        <v>939.8</v>
      </c>
      <c r="T116" s="312">
        <f>34.3*O3</f>
        <v>871.21999999999991</v>
      </c>
      <c r="U116" s="310">
        <f>2800*$J$3</f>
        <v>19.305327999999999</v>
      </c>
      <c r="V116" s="310">
        <f>2250*$J$3</f>
        <v>15.513209999999999</v>
      </c>
      <c r="W116" s="387">
        <f t="shared" si="135"/>
        <v>15.513209999999999</v>
      </c>
      <c r="X116" s="307">
        <f>4500*$J$3</f>
        <v>31.026419999999998</v>
      </c>
      <c r="Y116" s="387">
        <f t="shared" si="136"/>
        <v>31.026419999999998</v>
      </c>
      <c r="Z116" s="420" t="s">
        <v>413</v>
      </c>
      <c r="AA116" s="310">
        <f>2900*$J$3</f>
        <v>19.994803999999998</v>
      </c>
      <c r="AB116" s="310">
        <f>2300*$J$3</f>
        <v>15.857948</v>
      </c>
      <c r="AC116" s="311">
        <v>3</v>
      </c>
      <c r="AD116" s="328">
        <f>(3*((3.02*12)/13)*$O$3)/K116</f>
        <v>4.4484451718494276</v>
      </c>
      <c r="AE116" s="311">
        <v>6</v>
      </c>
      <c r="AF116" s="313">
        <f t="shared" si="98"/>
        <v>0.9693148752999331</v>
      </c>
      <c r="AG116" s="313">
        <f t="shared" ref="AG116:AG117" si="205">AF116*AA116</f>
        <v>19.3812609459066</v>
      </c>
      <c r="AH116" s="313">
        <f t="shared" ref="AH116:AH117" si="206">AF116*AB116</f>
        <v>15.371344888132823</v>
      </c>
      <c r="AI116" s="308">
        <f>((2*390/3/2)*AG116+(I116-2*390/3/2)*AH116)/I116</f>
        <v>15.926626068372997</v>
      </c>
      <c r="AJ116" s="361" t="s">
        <v>413</v>
      </c>
      <c r="AK116" s="298" t="s">
        <v>768</v>
      </c>
      <c r="AL116" s="307">
        <f>0.0206*O3^2</f>
        <v>13.290296</v>
      </c>
      <c r="AM116" s="311">
        <f>4*0.0206*O3^2</f>
        <v>53.161183999999999</v>
      </c>
      <c r="AN116" s="306">
        <f t="shared" ref="AN116:AN147" si="207">AM116/K116/L116</f>
        <v>1.4823385834024131E-3</v>
      </c>
      <c r="AO116" s="311">
        <f>64.2*J3*1000</f>
        <v>442.64359200000001</v>
      </c>
      <c r="AP116" s="306">
        <f t="shared" ref="AP116:AP143" si="208">AO116/O116/K116</f>
        <v>9.4537995382323032</v>
      </c>
      <c r="AQ116" s="311">
        <f>34.4*F3</f>
        <v>0</v>
      </c>
      <c r="AR116" s="311" t="s">
        <v>765</v>
      </c>
      <c r="AS116" s="311">
        <f>4*0.0206*O3^2</f>
        <v>53.161183999999999</v>
      </c>
      <c r="AT116" s="311" t="s">
        <v>413</v>
      </c>
      <c r="AU116" s="311">
        <v>0</v>
      </c>
      <c r="AV116" s="307">
        <f>0.0206*$O$3^2</f>
        <v>13.290296</v>
      </c>
      <c r="AW116" s="312">
        <f t="shared" si="189"/>
        <v>53.161183999999999</v>
      </c>
      <c r="AX116" s="306">
        <f t="shared" ref="AX116:AX131" si="209">AW116/K116/G116</f>
        <v>1.2094312150673994E-3</v>
      </c>
      <c r="AY116" s="311">
        <f>64.2*$J$3*1000</f>
        <v>442.64359200000001</v>
      </c>
      <c r="AZ116" s="306">
        <f t="shared" si="190"/>
        <v>0.53534697731435821</v>
      </c>
      <c r="BA116" s="311">
        <f>34.4*O3</f>
        <v>873.75999999999988</v>
      </c>
      <c r="BB116" s="308">
        <f>BC116*Q116/1000</f>
        <v>30.908391063610363</v>
      </c>
      <c r="BC116" s="328">
        <f>100*J3</f>
        <v>0.68947599999999998</v>
      </c>
      <c r="BD116" s="313">
        <f t="shared" si="137"/>
        <v>4.3290775901944321E-2</v>
      </c>
      <c r="BE116" s="309">
        <f t="shared" ref="BE116:BE154" si="210">BB116/P116*1000</f>
        <v>1.2652329973801955</v>
      </c>
      <c r="BF116" s="310" t="s">
        <v>413</v>
      </c>
      <c r="BG116" s="310">
        <f>5.5*T3*1000</f>
        <v>24.465210000000003</v>
      </c>
      <c r="BH116" s="312">
        <f>BG116</f>
        <v>24.465210000000003</v>
      </c>
      <c r="BI116" s="373">
        <v>0.94430000000000003</v>
      </c>
      <c r="BJ116" s="361">
        <f t="shared" si="126"/>
        <v>0.81399999999999995</v>
      </c>
      <c r="BK116" s="312">
        <f t="shared" si="127"/>
        <v>1</v>
      </c>
      <c r="BL116" s="311">
        <f t="shared" si="195"/>
        <v>18.805433211642001</v>
      </c>
      <c r="BM116" s="309">
        <f t="shared" si="203"/>
        <v>0.41949433221373095</v>
      </c>
      <c r="BN116" s="309">
        <f t="shared" si="196"/>
        <v>0.7697991972610827</v>
      </c>
      <c r="BO116" s="376"/>
      <c r="BP116" s="328">
        <f t="shared" si="139"/>
        <v>4.0701054885185348</v>
      </c>
      <c r="BQ116" s="328">
        <f t="shared" si="128"/>
        <v>0.53534697731435821</v>
      </c>
      <c r="BR116" s="328">
        <f t="shared" si="146"/>
        <v>0.65939057399089573</v>
      </c>
      <c r="BS116" s="328">
        <f t="shared" si="140"/>
        <v>0.95472756825740557</v>
      </c>
      <c r="BT116" s="328">
        <f t="shared" si="141"/>
        <v>0.68947599999999998</v>
      </c>
      <c r="BU116" s="376"/>
      <c r="BV116" s="328">
        <f t="shared" si="129"/>
        <v>0.5</v>
      </c>
      <c r="BW116" s="328">
        <f t="shared" si="130"/>
        <v>1</v>
      </c>
      <c r="BX116" s="373">
        <f t="shared" si="142"/>
        <v>0.63853083508186881</v>
      </c>
      <c r="BY116" s="311">
        <f t="shared" si="131"/>
        <v>15313.380788273074</v>
      </c>
      <c r="BZ116" s="311">
        <f t="shared" si="132"/>
        <v>12135.665121062637</v>
      </c>
      <c r="CA116" s="311">
        <f t="shared" si="143"/>
        <v>28624.579763304449</v>
      </c>
      <c r="CB116" s="307">
        <f t="shared" si="144"/>
        <v>27.449045909335712</v>
      </c>
      <c r="CC116" s="309">
        <f t="shared" si="145"/>
        <v>0.61230810553794301</v>
      </c>
      <c r="CD116" s="379">
        <f t="shared" si="133"/>
        <v>0.68510334653366123</v>
      </c>
    </row>
    <row r="117" spans="1:82" ht="15" customHeight="1" x14ac:dyDescent="0.25">
      <c r="A117" s="315">
        <v>109</v>
      </c>
      <c r="B117" s="315" t="s">
        <v>552</v>
      </c>
      <c r="C117" s="315" t="s">
        <v>583</v>
      </c>
      <c r="D117" s="315" t="s">
        <v>597</v>
      </c>
      <c r="E117" s="315" t="s">
        <v>668</v>
      </c>
      <c r="F117" s="315" t="s">
        <v>484</v>
      </c>
      <c r="G117" s="321">
        <f>3.02*12*$O$3</f>
        <v>920.49599999999998</v>
      </c>
      <c r="H117" s="321">
        <f t="shared" si="179"/>
        <v>920.49599999999998</v>
      </c>
      <c r="I117" s="321">
        <f>3.08*12*$O$3</f>
        <v>938.78399999999999</v>
      </c>
      <c r="J117" s="329">
        <f t="shared" si="182"/>
        <v>864146.91686400003</v>
      </c>
      <c r="K117" s="321">
        <f>1.88*O3</f>
        <v>47.751999999999995</v>
      </c>
      <c r="L117" s="329">
        <f t="shared" si="204"/>
        <v>751.02719999999999</v>
      </c>
      <c r="M117" s="319">
        <f t="shared" si="185"/>
        <v>0.98051948051948046</v>
      </c>
      <c r="N117" s="319">
        <f t="shared" si="134"/>
        <v>0.98051948051948046</v>
      </c>
      <c r="O117" s="319">
        <f t="shared" si="124"/>
        <v>0.98051948051948046</v>
      </c>
      <c r="P117" s="350">
        <f>(2*396/2/3*K117)+(I117-2*396/2/3)*(33.7/3)*2</f>
        <v>24429.011200000001</v>
      </c>
      <c r="Q117" s="329">
        <f t="shared" si="125"/>
        <v>44828.813567999998</v>
      </c>
      <c r="R117" s="319">
        <f t="shared" si="201"/>
        <v>0.54493994499640475</v>
      </c>
      <c r="S117" s="312">
        <f>37*$O$3/2</f>
        <v>469.9</v>
      </c>
      <c r="T117" s="312">
        <f>17.15*$O$3</f>
        <v>435.60999999999996</v>
      </c>
      <c r="U117" s="320">
        <f>2800*$J$3</f>
        <v>19.305327999999999</v>
      </c>
      <c r="V117" s="320">
        <f>2250*$J$3</f>
        <v>15.513209999999999</v>
      </c>
      <c r="W117" s="387">
        <f t="shared" si="135"/>
        <v>15.513209999999999</v>
      </c>
      <c r="X117" s="317">
        <f>4500*$J$3</f>
        <v>31.026419999999998</v>
      </c>
      <c r="Y117" s="387">
        <f t="shared" si="136"/>
        <v>31.026419999999998</v>
      </c>
      <c r="Z117" s="421" t="s">
        <v>413</v>
      </c>
      <c r="AA117" s="320">
        <f>2900*$J$3</f>
        <v>19.994803999999998</v>
      </c>
      <c r="AB117" s="320">
        <f>2300*$J$3</f>
        <v>15.857948</v>
      </c>
      <c r="AC117" s="321">
        <v>3</v>
      </c>
      <c r="AD117" s="330">
        <f>(3*((3.02*12)/13)*$O$3)/K116</f>
        <v>4.4484451718494276</v>
      </c>
      <c r="AE117" s="321">
        <v>6</v>
      </c>
      <c r="AF117" s="324">
        <f t="shared" si="98"/>
        <v>0.9693148752999331</v>
      </c>
      <c r="AG117" s="324">
        <f t="shared" si="205"/>
        <v>19.3812609459066</v>
      </c>
      <c r="AH117" s="324">
        <f t="shared" si="206"/>
        <v>15.371344888132823</v>
      </c>
      <c r="AI117" s="318">
        <f>((3*390/3/2)*AG117+(I117-3*390/3/2)*AH117)/I117</f>
        <v>16.204266658493083</v>
      </c>
      <c r="AJ117" s="315" t="s">
        <v>767</v>
      </c>
      <c r="AK117" s="315" t="s">
        <v>767</v>
      </c>
      <c r="AL117" s="317">
        <f>0.0289*O3^2</f>
        <v>18.645123999999999</v>
      </c>
      <c r="AM117" s="321">
        <f>3*0.0289*O3^2</f>
        <v>55.935371999999994</v>
      </c>
      <c r="AN117" s="316">
        <f t="shared" si="207"/>
        <v>1.5596936308372477E-3</v>
      </c>
      <c r="AO117" s="321">
        <f>64.8*$J$3*1000</f>
        <v>446.78044799999992</v>
      </c>
      <c r="AP117" s="316">
        <f t="shared" si="208"/>
        <v>9.5421528049447524</v>
      </c>
      <c r="AQ117" s="321">
        <f>17*F3</f>
        <v>0</v>
      </c>
      <c r="AR117" s="321" t="s">
        <v>766</v>
      </c>
      <c r="AS117" s="321">
        <f>3*0.0289*$O$3^2</f>
        <v>55.935371999999994</v>
      </c>
      <c r="AT117" s="321" t="s">
        <v>413</v>
      </c>
      <c r="AU117" s="321">
        <v>0</v>
      </c>
      <c r="AV117" s="317">
        <f>0.0289*$O$3^2</f>
        <v>18.645123999999999</v>
      </c>
      <c r="AW117" s="322">
        <f t="shared" si="189"/>
        <v>55.935371999999994</v>
      </c>
      <c r="AX117" s="316">
        <f t="shared" si="209"/>
        <v>1.2725447372129068E-3</v>
      </c>
      <c r="AY117" s="321">
        <f t="shared" ref="AY117:AY119" si="211">64.8*$J$3*1000</f>
        <v>446.78044799999992</v>
      </c>
      <c r="AZ117" s="316">
        <f t="shared" si="190"/>
        <v>0.56854810779202469</v>
      </c>
      <c r="BA117" s="321">
        <f>17*O3</f>
        <v>431.79999999999995</v>
      </c>
      <c r="BB117" s="318">
        <f>BC117*Q117/1000</f>
        <v>30.908391063610363</v>
      </c>
      <c r="BC117" s="330">
        <f>100*J3</f>
        <v>0.68947599999999998</v>
      </c>
      <c r="BD117" s="324">
        <f t="shared" si="137"/>
        <v>4.2549040603366485E-2</v>
      </c>
      <c r="BE117" s="319">
        <f t="shared" si="210"/>
        <v>1.2652329973801955</v>
      </c>
      <c r="BF117" s="320" t="s">
        <v>413</v>
      </c>
      <c r="BG117" s="320">
        <f>6.8*T3*1000</f>
        <v>30.247896000000001</v>
      </c>
      <c r="BH117" s="322">
        <f>BG117</f>
        <v>30.247896000000001</v>
      </c>
      <c r="BI117" s="373">
        <v>0.94430000000000003</v>
      </c>
      <c r="BJ117" s="315">
        <f t="shared" si="126"/>
        <v>0.81399999999999995</v>
      </c>
      <c r="BK117" s="322">
        <f t="shared" si="127"/>
        <v>1</v>
      </c>
      <c r="BL117" s="321">
        <f t="shared" si="195"/>
        <v>23.250353788939201</v>
      </c>
      <c r="BM117" s="319">
        <f t="shared" si="203"/>
        <v>0.51864753800970376</v>
      </c>
      <c r="BN117" s="319">
        <f t="shared" si="196"/>
        <v>0.95175173479552044</v>
      </c>
      <c r="BO117" s="376"/>
      <c r="BP117" s="330">
        <f t="shared" si="139"/>
        <v>4.1054282291108919</v>
      </c>
      <c r="BQ117" s="330">
        <f t="shared" si="128"/>
        <v>0.56854810779202469</v>
      </c>
      <c r="BR117" s="330">
        <f t="shared" si="146"/>
        <v>0.67953004943437578</v>
      </c>
      <c r="BS117" s="330">
        <f t="shared" si="140"/>
        <v>0.99242613776742916</v>
      </c>
      <c r="BT117" s="330">
        <f t="shared" si="141"/>
        <v>0.68947599999999998</v>
      </c>
      <c r="BU117" s="376"/>
      <c r="BV117" s="328">
        <f t="shared" si="129"/>
        <v>0.5</v>
      </c>
      <c r="BW117" s="328">
        <f t="shared" si="130"/>
        <v>1</v>
      </c>
      <c r="BX117" s="373">
        <f t="shared" si="142"/>
        <v>0.64407237672285167</v>
      </c>
      <c r="BY117" s="311">
        <f t="shared" si="131"/>
        <v>15412.749083114246</v>
      </c>
      <c r="BZ117" s="311">
        <f t="shared" si="132"/>
        <v>26079.842754132642</v>
      </c>
      <c r="CA117" s="311">
        <f t="shared" si="143"/>
        <v>28873.000500407379</v>
      </c>
      <c r="CB117" s="307">
        <f t="shared" si="144"/>
        <v>28.873000500407379</v>
      </c>
      <c r="CC117" s="309">
        <f t="shared" si="145"/>
        <v>0.64407237672285167</v>
      </c>
      <c r="CD117" s="379">
        <f t="shared" si="133"/>
        <v>0.80526281944999634</v>
      </c>
    </row>
    <row r="118" spans="1:82" ht="15" customHeight="1" x14ac:dyDescent="0.25">
      <c r="A118" s="305">
        <v>110</v>
      </c>
      <c r="B118" s="305" t="s">
        <v>626</v>
      </c>
      <c r="C118" s="305" t="s">
        <v>721</v>
      </c>
      <c r="D118" s="305" t="s">
        <v>597</v>
      </c>
      <c r="E118" s="305" t="s">
        <v>668</v>
      </c>
      <c r="F118" s="305" t="s">
        <v>484</v>
      </c>
      <c r="G118" s="311">
        <f>37*O3</f>
        <v>939.8</v>
      </c>
      <c r="H118" s="311">
        <f t="shared" si="179"/>
        <v>939.8</v>
      </c>
      <c r="I118" s="311">
        <f>37*O3</f>
        <v>939.8</v>
      </c>
      <c r="J118" s="327">
        <f t="shared" si="182"/>
        <v>883224.03999999992</v>
      </c>
      <c r="K118" s="311">
        <f>1.88*O3</f>
        <v>47.751999999999995</v>
      </c>
      <c r="L118" s="327">
        <f t="shared" si="204"/>
        <v>751.84</v>
      </c>
      <c r="M118" s="309">
        <f t="shared" ref="M118:M119" si="212">G118/I118</f>
        <v>1</v>
      </c>
      <c r="N118" s="309">
        <f t="shared" si="134"/>
        <v>1</v>
      </c>
      <c r="O118" s="309">
        <f t="shared" si="124"/>
        <v>1</v>
      </c>
      <c r="P118" s="342">
        <f>(2*396/2/3*K118)+(I118-2*396/2/3)*(33.7/3)*2</f>
        <v>24451.837333333333</v>
      </c>
      <c r="Q118" s="327">
        <f t="shared" si="125"/>
        <v>44877.32959999999</v>
      </c>
      <c r="R118" s="309">
        <f t="shared" si="201"/>
        <v>0.54485945467961483</v>
      </c>
      <c r="S118" s="368">
        <f t="shared" ref="S118:S119" si="213">37*$O$3/2</f>
        <v>469.9</v>
      </c>
      <c r="T118" s="368">
        <f t="shared" ref="T118:T119" si="214">17.15*$O$3</f>
        <v>435.60999999999996</v>
      </c>
      <c r="U118" s="310">
        <f>2800*$J$3</f>
        <v>19.305327999999999</v>
      </c>
      <c r="V118" s="310">
        <f>2250*$J$3</f>
        <v>15.513209999999999</v>
      </c>
      <c r="W118" s="387">
        <f t="shared" si="135"/>
        <v>15.513209999999999</v>
      </c>
      <c r="X118" s="307">
        <f>4500*$J$3</f>
        <v>31.026419999999998</v>
      </c>
      <c r="Y118" s="387">
        <f t="shared" si="136"/>
        <v>31.026419999999998</v>
      </c>
      <c r="Z118" s="420" t="s">
        <v>413</v>
      </c>
      <c r="AA118" s="310">
        <f>2900*$J$3</f>
        <v>19.994803999999998</v>
      </c>
      <c r="AB118" s="310">
        <f>2300*$J$3</f>
        <v>15.857948</v>
      </c>
      <c r="AC118" s="311">
        <v>3</v>
      </c>
      <c r="AD118" s="328">
        <f>(3*((3.02*12)/13)*$O$3)/K118</f>
        <v>4.4484451718494276</v>
      </c>
      <c r="AE118" s="311">
        <v>6</v>
      </c>
      <c r="AF118" s="313">
        <f t="shared" ref="AF118:AF119" si="215">1-0.058*(5-AD118)^1.07</f>
        <v>0.9693148752999331</v>
      </c>
      <c r="AG118" s="313">
        <f t="shared" ref="AG118:AG119" si="216">AF118*AA118</f>
        <v>19.3812609459066</v>
      </c>
      <c r="AH118" s="313">
        <f t="shared" ref="AH118:AH119" si="217">AF118*AB118</f>
        <v>15.371344888132823</v>
      </c>
      <c r="AI118" s="308">
        <f t="shared" ref="AI118:AI119" si="218">((3*390/3/2)*AG118+(I118-3*390/3/2)*AH118)/I118</f>
        <v>16.203366202525125</v>
      </c>
      <c r="AJ118" s="305" t="s">
        <v>767</v>
      </c>
      <c r="AK118" s="305" t="s">
        <v>767</v>
      </c>
      <c r="AL118" s="307">
        <f>0.0289*O3^2</f>
        <v>18.645123999999999</v>
      </c>
      <c r="AM118" s="311">
        <f>3*AL118</f>
        <v>55.935372000000001</v>
      </c>
      <c r="AN118" s="306">
        <f t="shared" si="207"/>
        <v>1.5580074755606672E-3</v>
      </c>
      <c r="AO118" s="311">
        <f t="shared" ref="AO118:AO119" si="219">64.8*$J$3*1000</f>
        <v>446.78044799999992</v>
      </c>
      <c r="AP118" s="306">
        <f t="shared" si="208"/>
        <v>9.3562667113419327</v>
      </c>
      <c r="AQ118" s="311">
        <f>16*$O$3</f>
        <v>406.4</v>
      </c>
      <c r="AR118" s="311" t="s">
        <v>766</v>
      </c>
      <c r="AS118" s="311">
        <f t="shared" ref="AS118:AS119" si="220">3*0.0289*$O$3^2</f>
        <v>55.935371999999994</v>
      </c>
      <c r="AT118" s="311" t="s">
        <v>413</v>
      </c>
      <c r="AU118" s="311">
        <v>0</v>
      </c>
      <c r="AV118" s="307">
        <f>0.0289*$O$3^2</f>
        <v>18.645123999999999</v>
      </c>
      <c r="AW118" s="312">
        <f t="shared" si="189"/>
        <v>55.935371999999994</v>
      </c>
      <c r="AX118" s="306">
        <f t="shared" si="209"/>
        <v>1.2464059804485337E-3</v>
      </c>
      <c r="AY118" s="311">
        <f t="shared" si="211"/>
        <v>446.78044799999992</v>
      </c>
      <c r="AZ118" s="306">
        <f t="shared" si="190"/>
        <v>0.55686982233467497</v>
      </c>
      <c r="BA118" s="311">
        <f>17.15*$O$3</f>
        <v>435.60999999999996</v>
      </c>
      <c r="BB118" s="308">
        <f>BC118*Q118/1000</f>
        <v>30.941841703289594</v>
      </c>
      <c r="BC118" s="328">
        <f>100*J3</f>
        <v>0.68947599999999998</v>
      </c>
      <c r="BD118" s="313">
        <f t="shared" si="137"/>
        <v>4.2551405145219295E-2</v>
      </c>
      <c r="BE118" s="309">
        <f t="shared" si="210"/>
        <v>1.2654199061396882</v>
      </c>
      <c r="BF118" s="310" t="s">
        <v>413</v>
      </c>
      <c r="BG118" s="310">
        <f>5.8*T3*1000</f>
        <v>25.799676000000002</v>
      </c>
      <c r="BH118" s="312">
        <f>BG118</f>
        <v>25.799676000000002</v>
      </c>
      <c r="BI118" s="373">
        <v>0.94430000000000003</v>
      </c>
      <c r="BJ118" s="361">
        <f t="shared" si="126"/>
        <v>0.81399999999999995</v>
      </c>
      <c r="BK118" s="312">
        <f t="shared" si="127"/>
        <v>1</v>
      </c>
      <c r="BL118" s="311">
        <f t="shared" ref="BL118:BL119" si="221">BH118*BI118*BJ118*BK118</f>
        <v>19.831184114095201</v>
      </c>
      <c r="BM118" s="309">
        <f t="shared" si="203"/>
        <v>0.44189759709087517</v>
      </c>
      <c r="BN118" s="309">
        <f t="shared" si="196"/>
        <v>0.81103042866479624</v>
      </c>
      <c r="BO118" s="376"/>
      <c r="BP118" s="328">
        <f t="shared" si="139"/>
        <v>4.0253405076496476</v>
      </c>
      <c r="BQ118" s="328">
        <f t="shared" si="128"/>
        <v>0.55686982233467497</v>
      </c>
      <c r="BR118" s="328">
        <f t="shared" si="146"/>
        <v>0.67251488142229676</v>
      </c>
      <c r="BS118" s="328">
        <f t="shared" si="140"/>
        <v>0.98200841005301831</v>
      </c>
      <c r="BT118" s="328">
        <f t="shared" si="141"/>
        <v>0.68947599999999998</v>
      </c>
      <c r="BU118" s="376"/>
      <c r="BV118" s="328">
        <f t="shared" si="129"/>
        <v>0.5</v>
      </c>
      <c r="BW118" s="328">
        <f t="shared" si="130"/>
        <v>1</v>
      </c>
      <c r="BX118" s="373">
        <f t="shared" si="142"/>
        <v>0.6440544812239436</v>
      </c>
      <c r="BY118" s="311">
        <f t="shared" si="131"/>
        <v>15429.10830660877</v>
      </c>
      <c r="BZ118" s="311">
        <f t="shared" si="132"/>
        <v>25879.71724589097</v>
      </c>
      <c r="CA118" s="311">
        <f t="shared" si="143"/>
        <v>28903.445234243933</v>
      </c>
      <c r="CB118" s="307">
        <f t="shared" si="144"/>
        <v>28.903445234243932</v>
      </c>
      <c r="CC118" s="309">
        <f t="shared" si="145"/>
        <v>0.64405448122394382</v>
      </c>
      <c r="CD118" s="379">
        <f t="shared" si="133"/>
        <v>0.68611834863893006</v>
      </c>
    </row>
    <row r="119" spans="1:82" ht="15" customHeight="1" x14ac:dyDescent="0.25">
      <c r="A119" s="315">
        <v>111</v>
      </c>
      <c r="B119" s="315" t="s">
        <v>626</v>
      </c>
      <c r="C119" s="315" t="s">
        <v>722</v>
      </c>
      <c r="D119" s="315" t="s">
        <v>597</v>
      </c>
      <c r="E119" s="315" t="s">
        <v>668</v>
      </c>
      <c r="F119" s="315" t="s">
        <v>484</v>
      </c>
      <c r="G119" s="321">
        <f>37*O3</f>
        <v>939.8</v>
      </c>
      <c r="H119" s="321">
        <f t="shared" si="179"/>
        <v>939.8</v>
      </c>
      <c r="I119" s="321">
        <f>37*O3</f>
        <v>939.8</v>
      </c>
      <c r="J119" s="329">
        <f t="shared" si="182"/>
        <v>883224.03999999992</v>
      </c>
      <c r="K119" s="321">
        <f>1.88*O3</f>
        <v>47.751999999999995</v>
      </c>
      <c r="L119" s="329">
        <f t="shared" si="204"/>
        <v>751.84</v>
      </c>
      <c r="M119" s="319">
        <f t="shared" si="212"/>
        <v>1</v>
      </c>
      <c r="N119" s="319">
        <f t="shared" si="134"/>
        <v>1</v>
      </c>
      <c r="O119" s="319">
        <f t="shared" si="124"/>
        <v>1</v>
      </c>
      <c r="P119" s="350">
        <f>(2*396/2/3*K119)+(I119-2*396/2/3)*(33.7/3)*2</f>
        <v>24451.837333333333</v>
      </c>
      <c r="Q119" s="329">
        <f t="shared" si="125"/>
        <v>44877.32959999999</v>
      </c>
      <c r="R119" s="319">
        <f t="shared" si="201"/>
        <v>0.54485945467961483</v>
      </c>
      <c r="S119" s="322">
        <f t="shared" si="213"/>
        <v>469.9</v>
      </c>
      <c r="T119" s="322">
        <f t="shared" si="214"/>
        <v>435.60999999999996</v>
      </c>
      <c r="U119" s="320">
        <f>2800*$J$3</f>
        <v>19.305327999999999</v>
      </c>
      <c r="V119" s="320">
        <f>2250*$J$3</f>
        <v>15.513209999999999</v>
      </c>
      <c r="W119" s="387">
        <f t="shared" si="135"/>
        <v>15.513209999999999</v>
      </c>
      <c r="X119" s="317">
        <f>4500*$J$3</f>
        <v>31.026419999999998</v>
      </c>
      <c r="Y119" s="387">
        <f t="shared" si="136"/>
        <v>31.026419999999998</v>
      </c>
      <c r="Z119" s="421" t="s">
        <v>413</v>
      </c>
      <c r="AA119" s="320">
        <f>2900*$J$3</f>
        <v>19.994803999999998</v>
      </c>
      <c r="AB119" s="320">
        <f>2300*$J$3</f>
        <v>15.857948</v>
      </c>
      <c r="AC119" s="321">
        <v>3</v>
      </c>
      <c r="AD119" s="330">
        <f>(3*((3.02*12)/13)*$O$3)/K118</f>
        <v>4.4484451718494276</v>
      </c>
      <c r="AE119" s="321">
        <v>6</v>
      </c>
      <c r="AF119" s="324">
        <f t="shared" si="215"/>
        <v>0.9693148752999331</v>
      </c>
      <c r="AG119" s="324">
        <f t="shared" si="216"/>
        <v>19.3812609459066</v>
      </c>
      <c r="AH119" s="324">
        <f t="shared" si="217"/>
        <v>15.371344888132823</v>
      </c>
      <c r="AI119" s="318">
        <f t="shared" si="218"/>
        <v>16.203366202525125</v>
      </c>
      <c r="AJ119" s="315" t="s">
        <v>767</v>
      </c>
      <c r="AK119" s="315" t="s">
        <v>767</v>
      </c>
      <c r="AL119" s="317">
        <f>0.0289*O3^2</f>
        <v>18.645123999999999</v>
      </c>
      <c r="AM119" s="321">
        <f>3*AL119</f>
        <v>55.935372000000001</v>
      </c>
      <c r="AN119" s="316">
        <f t="shared" si="207"/>
        <v>1.5580074755606672E-3</v>
      </c>
      <c r="AO119" s="321">
        <f t="shared" si="219"/>
        <v>446.78044799999992</v>
      </c>
      <c r="AP119" s="316">
        <f t="shared" si="208"/>
        <v>9.3562667113419327</v>
      </c>
      <c r="AQ119" s="321">
        <f>16*$O$3</f>
        <v>406.4</v>
      </c>
      <c r="AR119" s="321" t="s">
        <v>766</v>
      </c>
      <c r="AS119" s="321">
        <f t="shared" si="220"/>
        <v>55.935371999999994</v>
      </c>
      <c r="AT119" s="321" t="s">
        <v>413</v>
      </c>
      <c r="AU119" s="321">
        <v>0</v>
      </c>
      <c r="AV119" s="317">
        <f>0.0289*$O$3^2</f>
        <v>18.645123999999999</v>
      </c>
      <c r="AW119" s="322">
        <f t="shared" si="189"/>
        <v>55.935371999999994</v>
      </c>
      <c r="AX119" s="316">
        <f t="shared" si="209"/>
        <v>1.2464059804485337E-3</v>
      </c>
      <c r="AY119" s="321">
        <f t="shared" si="211"/>
        <v>446.78044799999992</v>
      </c>
      <c r="AZ119" s="316">
        <f t="shared" si="190"/>
        <v>0.55686982233467497</v>
      </c>
      <c r="BA119" s="321">
        <f>17.15*$O$3</f>
        <v>435.60999999999996</v>
      </c>
      <c r="BB119" s="318">
        <f>BC119*Q119/1000</f>
        <v>61.883683406579188</v>
      </c>
      <c r="BC119" s="330">
        <f>200*J3</f>
        <v>1.378952</v>
      </c>
      <c r="BD119" s="324">
        <f t="shared" si="137"/>
        <v>8.5102810290438591E-2</v>
      </c>
      <c r="BE119" s="319">
        <f t="shared" si="210"/>
        <v>2.5308398122793765</v>
      </c>
      <c r="BF119" s="320" t="s">
        <v>413</v>
      </c>
      <c r="BG119" s="320">
        <f>7.7*T3*1000</f>
        <v>34.251294000000001</v>
      </c>
      <c r="BH119" s="322">
        <f>BG119</f>
        <v>34.251294000000001</v>
      </c>
      <c r="BI119" s="373">
        <v>0.94430000000000003</v>
      </c>
      <c r="BJ119" s="315">
        <f t="shared" si="126"/>
        <v>0.81399999999999995</v>
      </c>
      <c r="BK119" s="322">
        <f t="shared" si="127"/>
        <v>1</v>
      </c>
      <c r="BL119" s="321">
        <f t="shared" si="221"/>
        <v>26.327606496298802</v>
      </c>
      <c r="BM119" s="319">
        <f t="shared" si="203"/>
        <v>0.58665715475857561</v>
      </c>
      <c r="BN119" s="319">
        <f t="shared" si="196"/>
        <v>1.0767128104687813</v>
      </c>
      <c r="BO119" s="376"/>
      <c r="BP119" s="330">
        <f t="shared" si="139"/>
        <v>4.0253405076496476</v>
      </c>
      <c r="BQ119" s="330">
        <f t="shared" si="128"/>
        <v>0.55686982233467497</v>
      </c>
      <c r="BR119" s="330">
        <f t="shared" si="146"/>
        <v>0.67251488142229676</v>
      </c>
      <c r="BS119" s="330">
        <f t="shared" si="140"/>
        <v>0.98200841005301831</v>
      </c>
      <c r="BT119" s="330">
        <f t="shared" si="141"/>
        <v>1.378952</v>
      </c>
      <c r="BU119" s="376"/>
      <c r="BV119" s="328">
        <f t="shared" si="129"/>
        <v>0.5</v>
      </c>
      <c r="BW119" s="328">
        <f t="shared" si="130"/>
        <v>1</v>
      </c>
      <c r="BX119" s="373">
        <f t="shared" si="142"/>
        <v>0.6440544812239436</v>
      </c>
      <c r="BY119" s="311">
        <f t="shared" si="131"/>
        <v>19296.83851951997</v>
      </c>
      <c r="BZ119" s="311">
        <f t="shared" si="132"/>
        <v>25879.71724589097</v>
      </c>
      <c r="CA119" s="311">
        <f t="shared" si="143"/>
        <v>28903.445234243933</v>
      </c>
      <c r="CB119" s="307">
        <f t="shared" si="144"/>
        <v>28.903445234243932</v>
      </c>
      <c r="CC119" s="309">
        <f t="shared" si="145"/>
        <v>0.64405448122394382</v>
      </c>
      <c r="CD119" s="379">
        <f t="shared" si="133"/>
        <v>0.91088125595168312</v>
      </c>
    </row>
    <row r="120" spans="1:82" x14ac:dyDescent="0.25">
      <c r="A120" s="305">
        <v>112</v>
      </c>
      <c r="B120" s="298" t="s">
        <v>335</v>
      </c>
      <c r="C120" s="298" t="s">
        <v>341</v>
      </c>
      <c r="D120" s="298" t="s">
        <v>598</v>
      </c>
      <c r="E120" s="298" t="s">
        <v>668</v>
      </c>
      <c r="F120" s="298" t="s">
        <v>484</v>
      </c>
      <c r="G120" s="311">
        <v>760</v>
      </c>
      <c r="H120" s="311">
        <f t="shared" si="179"/>
        <v>760</v>
      </c>
      <c r="I120" s="311">
        <v>610</v>
      </c>
      <c r="J120" s="306">
        <f t="shared" si="182"/>
        <v>463600</v>
      </c>
      <c r="K120" s="311">
        <v>100</v>
      </c>
      <c r="L120" s="327">
        <f t="shared" si="204"/>
        <v>488</v>
      </c>
      <c r="M120" s="298">
        <f t="shared" si="185"/>
        <v>1.2459016393442623</v>
      </c>
      <c r="N120" s="309">
        <f t="shared" si="134"/>
        <v>1.2459016393442623</v>
      </c>
      <c r="O120" s="309">
        <f t="shared" si="124"/>
        <v>1.2459016393442623</v>
      </c>
      <c r="P120" s="327">
        <f t="shared" ref="P120:P125" si="222">(3*200/2*K120)+(I120-2*200/2)*(15)*2</f>
        <v>42300</v>
      </c>
      <c r="Q120" s="306">
        <f t="shared" si="125"/>
        <v>61000</v>
      </c>
      <c r="R120" s="309">
        <f t="shared" si="201"/>
        <v>0.69344262295081971</v>
      </c>
      <c r="S120" s="368">
        <f>I120-100</f>
        <v>510</v>
      </c>
      <c r="T120" s="312">
        <f>G120</f>
        <v>760</v>
      </c>
      <c r="U120" s="298" t="s">
        <v>413</v>
      </c>
      <c r="V120" s="298" t="s">
        <v>413</v>
      </c>
      <c r="W120" s="387">
        <f t="shared" si="135"/>
        <v>0</v>
      </c>
      <c r="X120" s="298" t="s">
        <v>413</v>
      </c>
      <c r="Y120" s="387">
        <f t="shared" si="136"/>
        <v>0</v>
      </c>
      <c r="Z120" s="420" t="s">
        <v>413</v>
      </c>
      <c r="AA120" s="429" t="s">
        <v>1020</v>
      </c>
      <c r="AB120" s="308">
        <v>13</v>
      </c>
      <c r="AC120" s="298" t="s">
        <v>413</v>
      </c>
      <c r="AD120" s="328" t="s">
        <v>413</v>
      </c>
      <c r="AE120" s="298" t="s">
        <v>413</v>
      </c>
      <c r="AF120" s="313">
        <v>1</v>
      </c>
      <c r="AG120" s="429" t="s">
        <v>1020</v>
      </c>
      <c r="AH120" s="413">
        <f t="shared" ref="AH120:AH125" si="223">AF120*AB120</f>
        <v>13</v>
      </c>
      <c r="AI120" s="429" t="s">
        <v>1020</v>
      </c>
      <c r="AJ120" s="298" t="s">
        <v>413</v>
      </c>
      <c r="AK120" s="361" t="s">
        <v>727</v>
      </c>
      <c r="AL120" s="307">
        <f>PI()*10^2/4</f>
        <v>78.539816339744831</v>
      </c>
      <c r="AM120" s="311">
        <f>AL120*2</f>
        <v>157.07963267948966</v>
      </c>
      <c r="AN120" s="306">
        <f t="shared" si="207"/>
        <v>3.218844931956755E-3</v>
      </c>
      <c r="AO120" s="298">
        <v>522</v>
      </c>
      <c r="AP120" s="306">
        <f t="shared" si="208"/>
        <v>4.1897368421052628</v>
      </c>
      <c r="AQ120" s="298">
        <f t="shared" ref="AQ120:AQ137" si="224">I120-200</f>
        <v>410</v>
      </c>
      <c r="AR120" s="361" t="s">
        <v>413</v>
      </c>
      <c r="AS120" s="298">
        <v>0</v>
      </c>
      <c r="AT120" s="298" t="s">
        <v>771</v>
      </c>
      <c r="AU120" s="311">
        <f>2*PI()*6^2/4</f>
        <v>56.548667764616276</v>
      </c>
      <c r="AV120" s="307">
        <f>PI()*6^2/4</f>
        <v>28.274333882308138</v>
      </c>
      <c r="AW120" s="312">
        <f t="shared" si="189"/>
        <v>56.548667764616276</v>
      </c>
      <c r="AX120" s="306">
        <f t="shared" si="209"/>
        <v>7.4406141795547737E-4</v>
      </c>
      <c r="AY120" s="298">
        <v>253</v>
      </c>
      <c r="AZ120" s="306">
        <f t="shared" si="190"/>
        <v>0.18824753874273578</v>
      </c>
      <c r="BA120" s="298">
        <v>100</v>
      </c>
      <c r="BB120" s="298">
        <v>120</v>
      </c>
      <c r="BC120" s="309">
        <f t="shared" ref="BC120:BC139" si="225">BB120/Q120*1000</f>
        <v>1.9672131147540983</v>
      </c>
      <c r="BD120" s="313" t="e">
        <f t="shared" si="137"/>
        <v>#VALUE!</v>
      </c>
      <c r="BE120" s="309">
        <f t="shared" si="210"/>
        <v>2.8368794326241136</v>
      </c>
      <c r="BF120" s="298" t="s">
        <v>413</v>
      </c>
      <c r="BG120" s="298">
        <v>45.05</v>
      </c>
      <c r="BH120" s="312">
        <f t="shared" ref="BH120:BH138" si="226">BG120</f>
        <v>45.05</v>
      </c>
      <c r="BI120" s="373">
        <v>0.94430000000000003</v>
      </c>
      <c r="BJ120" s="361">
        <f t="shared" si="126"/>
        <v>1</v>
      </c>
      <c r="BK120" s="312">
        <f t="shared" si="127"/>
        <v>1</v>
      </c>
      <c r="BL120" s="311">
        <f t="shared" ref="BL120:BL124" si="227">BH120*BI120*BJ120*BK120</f>
        <v>42.540714999999999</v>
      </c>
      <c r="BM120" s="309">
        <f t="shared" si="203"/>
        <v>0.69738877049180326</v>
      </c>
      <c r="BN120" s="309">
        <f t="shared" si="196"/>
        <v>1.0056906619385342</v>
      </c>
      <c r="BO120" s="376"/>
      <c r="BP120" s="328" t="e">
        <f t="shared" si="139"/>
        <v>#VALUE!</v>
      </c>
      <c r="BQ120" s="328">
        <f t="shared" si="128"/>
        <v>0.18824753874273578</v>
      </c>
      <c r="BR120" s="328">
        <f t="shared" si="146"/>
        <v>0</v>
      </c>
      <c r="BS120" s="328" t="e">
        <f t="shared" si="140"/>
        <v>#VALUE!</v>
      </c>
      <c r="BT120" s="328">
        <f t="shared" si="141"/>
        <v>1.9672131147540983</v>
      </c>
      <c r="BU120" s="376"/>
      <c r="BV120" s="328">
        <f t="shared" si="129"/>
        <v>0.5</v>
      </c>
      <c r="BW120" s="328">
        <f t="shared" si="130"/>
        <v>1</v>
      </c>
      <c r="BX120" s="373" t="e">
        <f t="shared" si="142"/>
        <v>#VALUE!</v>
      </c>
      <c r="BY120" s="311" t="e">
        <f t="shared" si="131"/>
        <v>#VALUE!</v>
      </c>
      <c r="BZ120" s="311">
        <f t="shared" si="132"/>
        <v>41890.348301343496</v>
      </c>
      <c r="CA120" s="311" t="e">
        <f t="shared" si="143"/>
        <v>#VALUE!</v>
      </c>
      <c r="CB120" s="307" t="e">
        <f t="shared" si="144"/>
        <v>#VALUE!</v>
      </c>
      <c r="CC120" s="309"/>
      <c r="CD120" s="379"/>
    </row>
    <row r="121" spans="1:82" x14ac:dyDescent="0.25">
      <c r="A121" s="305">
        <v>113</v>
      </c>
      <c r="B121" s="298" t="s">
        <v>335</v>
      </c>
      <c r="C121" s="298" t="s">
        <v>343</v>
      </c>
      <c r="D121" s="298" t="s">
        <v>598</v>
      </c>
      <c r="E121" s="298" t="s">
        <v>675</v>
      </c>
      <c r="F121" s="298" t="s">
        <v>484</v>
      </c>
      <c r="G121" s="311">
        <v>760</v>
      </c>
      <c r="H121" s="311">
        <f t="shared" si="179"/>
        <v>760</v>
      </c>
      <c r="I121" s="311">
        <v>610</v>
      </c>
      <c r="J121" s="306">
        <f t="shared" si="182"/>
        <v>463600</v>
      </c>
      <c r="K121" s="311">
        <v>100</v>
      </c>
      <c r="L121" s="327">
        <f t="shared" si="204"/>
        <v>488</v>
      </c>
      <c r="M121" s="298">
        <f t="shared" si="185"/>
        <v>1.2459016393442623</v>
      </c>
      <c r="N121" s="309">
        <f t="shared" si="134"/>
        <v>1.2459016393442623</v>
      </c>
      <c r="O121" s="309">
        <f t="shared" si="124"/>
        <v>1.2459016393442623</v>
      </c>
      <c r="P121" s="327">
        <f t="shared" si="222"/>
        <v>42300</v>
      </c>
      <c r="Q121" s="306">
        <f t="shared" si="125"/>
        <v>61000</v>
      </c>
      <c r="R121" s="309">
        <f t="shared" si="201"/>
        <v>0.69344262295081971</v>
      </c>
      <c r="S121" s="312">
        <f t="shared" ref="S121:S125" si="228">I121-100</f>
        <v>510</v>
      </c>
      <c r="T121" s="312">
        <f t="shared" ref="T121:T125" si="229">G121</f>
        <v>760</v>
      </c>
      <c r="U121" s="298" t="s">
        <v>413</v>
      </c>
      <c r="V121" s="298" t="s">
        <v>413</v>
      </c>
      <c r="W121" s="387">
        <f t="shared" si="135"/>
        <v>0</v>
      </c>
      <c r="X121" s="298" t="s">
        <v>413</v>
      </c>
      <c r="Y121" s="387">
        <f t="shared" si="136"/>
        <v>0</v>
      </c>
      <c r="Z121" s="420" t="s">
        <v>413</v>
      </c>
      <c r="AA121" s="429" t="s">
        <v>1020</v>
      </c>
      <c r="AB121" s="308">
        <v>13</v>
      </c>
      <c r="AC121" s="298" t="s">
        <v>413</v>
      </c>
      <c r="AD121" s="328" t="s">
        <v>413</v>
      </c>
      <c r="AE121" s="298" t="s">
        <v>413</v>
      </c>
      <c r="AF121" s="313">
        <v>1</v>
      </c>
      <c r="AG121" s="429" t="s">
        <v>1020</v>
      </c>
      <c r="AH121" s="313">
        <f t="shared" si="223"/>
        <v>13</v>
      </c>
      <c r="AI121" s="429" t="s">
        <v>1020</v>
      </c>
      <c r="AJ121" s="298" t="s">
        <v>413</v>
      </c>
      <c r="AK121" s="361" t="s">
        <v>727</v>
      </c>
      <c r="AL121" s="307">
        <f t="shared" ref="AL121:AL125" si="230">PI()*10^2/4</f>
        <v>78.539816339744831</v>
      </c>
      <c r="AM121" s="311">
        <f t="shared" ref="AM121:AM125" si="231">AL121*2</f>
        <v>157.07963267948966</v>
      </c>
      <c r="AN121" s="306">
        <f t="shared" si="207"/>
        <v>3.218844931956755E-3</v>
      </c>
      <c r="AO121" s="298">
        <v>522</v>
      </c>
      <c r="AP121" s="306">
        <f t="shared" si="208"/>
        <v>4.1897368421052628</v>
      </c>
      <c r="AQ121" s="298">
        <f t="shared" si="224"/>
        <v>410</v>
      </c>
      <c r="AR121" s="361" t="s">
        <v>413</v>
      </c>
      <c r="AS121" s="298">
        <v>0</v>
      </c>
      <c r="AT121" s="361" t="s">
        <v>771</v>
      </c>
      <c r="AU121" s="311">
        <f t="shared" ref="AU121:AU125" si="232">2*PI()*6^2/4</f>
        <v>56.548667764616276</v>
      </c>
      <c r="AV121" s="307">
        <f t="shared" ref="AV121:AV125" si="233">PI()*6^2/4</f>
        <v>28.274333882308138</v>
      </c>
      <c r="AW121" s="312">
        <f t="shared" si="189"/>
        <v>56.548667764616276</v>
      </c>
      <c r="AX121" s="306">
        <f t="shared" si="209"/>
        <v>7.4406141795547737E-4</v>
      </c>
      <c r="AY121" s="298">
        <v>253</v>
      </c>
      <c r="AZ121" s="306">
        <f t="shared" si="190"/>
        <v>0.18824753874273578</v>
      </c>
      <c r="BA121" s="361">
        <v>100</v>
      </c>
      <c r="BB121" s="298">
        <v>120</v>
      </c>
      <c r="BC121" s="309">
        <f t="shared" si="225"/>
        <v>1.9672131147540983</v>
      </c>
      <c r="BD121" s="313" t="e">
        <f t="shared" si="137"/>
        <v>#VALUE!</v>
      </c>
      <c r="BE121" s="309">
        <f t="shared" si="210"/>
        <v>2.8368794326241136</v>
      </c>
      <c r="BF121" s="298" t="s">
        <v>413</v>
      </c>
      <c r="BG121" s="298">
        <v>50.45</v>
      </c>
      <c r="BH121" s="312">
        <f t="shared" si="226"/>
        <v>50.45</v>
      </c>
      <c r="BI121" s="373">
        <v>0.94430000000000003</v>
      </c>
      <c r="BJ121" s="361">
        <f t="shared" si="126"/>
        <v>1</v>
      </c>
      <c r="BK121" s="312">
        <f t="shared" si="127"/>
        <v>0.9</v>
      </c>
      <c r="BL121" s="311">
        <f t="shared" si="227"/>
        <v>42.875941500000003</v>
      </c>
      <c r="BM121" s="309">
        <f t="shared" si="203"/>
        <v>0.70288428688524596</v>
      </c>
      <c r="BN121" s="309">
        <f t="shared" si="196"/>
        <v>1.0136156382978725</v>
      </c>
      <c r="BO121" s="376"/>
      <c r="BP121" s="328" t="e">
        <f t="shared" si="139"/>
        <v>#VALUE!</v>
      </c>
      <c r="BQ121" s="328">
        <f t="shared" si="128"/>
        <v>0.18824753874273578</v>
      </c>
      <c r="BR121" s="328">
        <f t="shared" si="146"/>
        <v>0</v>
      </c>
      <c r="BS121" s="328" t="e">
        <f t="shared" si="140"/>
        <v>#VALUE!</v>
      </c>
      <c r="BT121" s="328">
        <f t="shared" si="141"/>
        <v>1.9672131147540983</v>
      </c>
      <c r="BU121" s="376"/>
      <c r="BV121" s="328">
        <f t="shared" si="129"/>
        <v>0.5</v>
      </c>
      <c r="BW121" s="328">
        <f t="shared" si="130"/>
        <v>1</v>
      </c>
      <c r="BX121" s="373" t="e">
        <f t="shared" si="142"/>
        <v>#VALUE!</v>
      </c>
      <c r="BY121" s="311" t="e">
        <f t="shared" si="131"/>
        <v>#VALUE!</v>
      </c>
      <c r="BZ121" s="311">
        <f t="shared" si="132"/>
        <v>41890.348301343496</v>
      </c>
      <c r="CA121" s="311" t="e">
        <f t="shared" si="143"/>
        <v>#VALUE!</v>
      </c>
      <c r="CB121" s="307" t="e">
        <f t="shared" si="144"/>
        <v>#VALUE!</v>
      </c>
      <c r="CC121" s="309"/>
      <c r="CD121" s="379"/>
    </row>
    <row r="122" spans="1:82" x14ac:dyDescent="0.25">
      <c r="A122" s="305">
        <v>114</v>
      </c>
      <c r="B122" s="298" t="s">
        <v>335</v>
      </c>
      <c r="C122" s="298" t="s">
        <v>345</v>
      </c>
      <c r="D122" s="298" t="s">
        <v>676</v>
      </c>
      <c r="E122" s="298" t="s">
        <v>668</v>
      </c>
      <c r="F122" s="298" t="s">
        <v>484</v>
      </c>
      <c r="G122" s="311">
        <v>760</v>
      </c>
      <c r="H122" s="311">
        <f t="shared" si="179"/>
        <v>760</v>
      </c>
      <c r="I122" s="311">
        <v>610</v>
      </c>
      <c r="J122" s="306">
        <f t="shared" si="182"/>
        <v>463600</v>
      </c>
      <c r="K122" s="311">
        <v>100</v>
      </c>
      <c r="L122" s="327">
        <f t="shared" si="204"/>
        <v>488</v>
      </c>
      <c r="M122" s="298">
        <f t="shared" si="185"/>
        <v>1.2459016393442623</v>
      </c>
      <c r="N122" s="309">
        <f t="shared" si="134"/>
        <v>1.2459016393442623</v>
      </c>
      <c r="O122" s="309">
        <f t="shared" si="124"/>
        <v>1.2459016393442623</v>
      </c>
      <c r="P122" s="327">
        <f t="shared" si="222"/>
        <v>42300</v>
      </c>
      <c r="Q122" s="306">
        <f t="shared" si="125"/>
        <v>61000</v>
      </c>
      <c r="R122" s="309">
        <f t="shared" si="201"/>
        <v>0.69344262295081971</v>
      </c>
      <c r="S122" s="312">
        <f t="shared" si="228"/>
        <v>510</v>
      </c>
      <c r="T122" s="312">
        <f t="shared" si="229"/>
        <v>760</v>
      </c>
      <c r="U122" s="298" t="s">
        <v>413</v>
      </c>
      <c r="V122" s="298" t="s">
        <v>413</v>
      </c>
      <c r="W122" s="387">
        <f t="shared" si="135"/>
        <v>0</v>
      </c>
      <c r="X122" s="298" t="s">
        <v>413</v>
      </c>
      <c r="Y122" s="387">
        <f t="shared" si="136"/>
        <v>0</v>
      </c>
      <c r="Z122" s="420" t="s">
        <v>413</v>
      </c>
      <c r="AA122" s="429" t="s">
        <v>1020</v>
      </c>
      <c r="AB122" s="308">
        <v>13</v>
      </c>
      <c r="AC122" s="298" t="s">
        <v>413</v>
      </c>
      <c r="AD122" s="328" t="s">
        <v>413</v>
      </c>
      <c r="AE122" s="298" t="s">
        <v>413</v>
      </c>
      <c r="AF122" s="313">
        <v>1</v>
      </c>
      <c r="AG122" s="429" t="s">
        <v>1020</v>
      </c>
      <c r="AH122" s="313">
        <f t="shared" si="223"/>
        <v>13</v>
      </c>
      <c r="AI122" s="429" t="s">
        <v>1020</v>
      </c>
      <c r="AJ122" s="298" t="s">
        <v>413</v>
      </c>
      <c r="AK122" s="361" t="s">
        <v>727</v>
      </c>
      <c r="AL122" s="307">
        <f t="shared" si="230"/>
        <v>78.539816339744831</v>
      </c>
      <c r="AM122" s="311">
        <f t="shared" si="231"/>
        <v>157.07963267948966</v>
      </c>
      <c r="AN122" s="306">
        <f t="shared" si="207"/>
        <v>3.218844931956755E-3</v>
      </c>
      <c r="AO122" s="298">
        <v>522</v>
      </c>
      <c r="AP122" s="306">
        <f t="shared" si="208"/>
        <v>4.1897368421052628</v>
      </c>
      <c r="AQ122" s="298">
        <f t="shared" si="224"/>
        <v>410</v>
      </c>
      <c r="AR122" s="361" t="s">
        <v>413</v>
      </c>
      <c r="AS122" s="298">
        <v>0</v>
      </c>
      <c r="AT122" s="361" t="s">
        <v>771</v>
      </c>
      <c r="AU122" s="311">
        <f t="shared" si="232"/>
        <v>56.548667764616276</v>
      </c>
      <c r="AV122" s="307">
        <f t="shared" si="233"/>
        <v>28.274333882308138</v>
      </c>
      <c r="AW122" s="312">
        <f t="shared" si="189"/>
        <v>56.548667764616276</v>
      </c>
      <c r="AX122" s="306">
        <f t="shared" si="209"/>
        <v>7.4406141795547737E-4</v>
      </c>
      <c r="AY122" s="298">
        <v>253</v>
      </c>
      <c r="AZ122" s="306">
        <f t="shared" si="190"/>
        <v>0.18824753874273578</v>
      </c>
      <c r="BA122" s="361">
        <v>100</v>
      </c>
      <c r="BB122" s="298">
        <v>120</v>
      </c>
      <c r="BC122" s="309">
        <f t="shared" si="225"/>
        <v>1.9672131147540983</v>
      </c>
      <c r="BD122" s="313" t="e">
        <f t="shared" si="137"/>
        <v>#VALUE!</v>
      </c>
      <c r="BE122" s="309">
        <f t="shared" si="210"/>
        <v>2.8368794326241136</v>
      </c>
      <c r="BF122" s="298" t="s">
        <v>413</v>
      </c>
      <c r="BG122" s="298">
        <v>49.23</v>
      </c>
      <c r="BH122" s="312">
        <f t="shared" si="226"/>
        <v>49.23</v>
      </c>
      <c r="BI122" s="373">
        <v>0.94430000000000003</v>
      </c>
      <c r="BJ122" s="361">
        <f t="shared" si="126"/>
        <v>1</v>
      </c>
      <c r="BK122" s="312">
        <f t="shared" si="127"/>
        <v>1</v>
      </c>
      <c r="BL122" s="311">
        <f t="shared" si="227"/>
        <v>46.487888999999996</v>
      </c>
      <c r="BM122" s="309">
        <f t="shared" si="203"/>
        <v>0.76209654098360657</v>
      </c>
      <c r="BN122" s="309">
        <f t="shared" si="196"/>
        <v>1.0990044680851063</v>
      </c>
      <c r="BO122" s="376"/>
      <c r="BP122" s="328" t="e">
        <f t="shared" si="139"/>
        <v>#VALUE!</v>
      </c>
      <c r="BQ122" s="328">
        <f t="shared" si="128"/>
        <v>0.18824753874273578</v>
      </c>
      <c r="BR122" s="328">
        <f t="shared" si="146"/>
        <v>0</v>
      </c>
      <c r="BS122" s="328" t="e">
        <f t="shared" si="140"/>
        <v>#VALUE!</v>
      </c>
      <c r="BT122" s="328">
        <f t="shared" si="141"/>
        <v>1.9672131147540983</v>
      </c>
      <c r="BU122" s="376"/>
      <c r="BV122" s="328">
        <f t="shared" si="129"/>
        <v>0.5</v>
      </c>
      <c r="BW122" s="328">
        <f t="shared" si="130"/>
        <v>1</v>
      </c>
      <c r="BX122" s="373" t="e">
        <f t="shared" si="142"/>
        <v>#VALUE!</v>
      </c>
      <c r="BY122" s="311" t="e">
        <f t="shared" si="131"/>
        <v>#VALUE!</v>
      </c>
      <c r="BZ122" s="311">
        <f t="shared" si="132"/>
        <v>41890.348301343496</v>
      </c>
      <c r="CA122" s="311" t="e">
        <f t="shared" si="143"/>
        <v>#VALUE!</v>
      </c>
      <c r="CB122" s="307" t="e">
        <f t="shared" si="144"/>
        <v>#VALUE!</v>
      </c>
      <c r="CC122" s="309"/>
      <c r="CD122" s="379"/>
    </row>
    <row r="123" spans="1:82" x14ac:dyDescent="0.25">
      <c r="A123" s="305">
        <v>115</v>
      </c>
      <c r="B123" s="298" t="s">
        <v>335</v>
      </c>
      <c r="C123" s="298" t="s">
        <v>347</v>
      </c>
      <c r="D123" s="298" t="s">
        <v>676</v>
      </c>
      <c r="E123" s="298" t="s">
        <v>675</v>
      </c>
      <c r="F123" s="298" t="s">
        <v>484</v>
      </c>
      <c r="G123" s="311">
        <v>760</v>
      </c>
      <c r="H123" s="311">
        <f t="shared" si="179"/>
        <v>760</v>
      </c>
      <c r="I123" s="311">
        <v>610</v>
      </c>
      <c r="J123" s="306">
        <f t="shared" si="182"/>
        <v>463600</v>
      </c>
      <c r="K123" s="311">
        <v>100</v>
      </c>
      <c r="L123" s="327">
        <f t="shared" si="204"/>
        <v>488</v>
      </c>
      <c r="M123" s="298">
        <f t="shared" si="185"/>
        <v>1.2459016393442623</v>
      </c>
      <c r="N123" s="309">
        <f t="shared" si="134"/>
        <v>1.2459016393442623</v>
      </c>
      <c r="O123" s="309">
        <f t="shared" si="124"/>
        <v>1.2459016393442623</v>
      </c>
      <c r="P123" s="327">
        <f t="shared" si="222"/>
        <v>42300</v>
      </c>
      <c r="Q123" s="306">
        <f t="shared" si="125"/>
        <v>61000</v>
      </c>
      <c r="R123" s="309">
        <f t="shared" si="201"/>
        <v>0.69344262295081971</v>
      </c>
      <c r="S123" s="312">
        <f t="shared" si="228"/>
        <v>510</v>
      </c>
      <c r="T123" s="312">
        <f t="shared" si="229"/>
        <v>760</v>
      </c>
      <c r="U123" s="298" t="s">
        <v>413</v>
      </c>
      <c r="V123" s="298" t="s">
        <v>413</v>
      </c>
      <c r="W123" s="387">
        <f t="shared" si="135"/>
        <v>0</v>
      </c>
      <c r="X123" s="298" t="s">
        <v>413</v>
      </c>
      <c r="Y123" s="387">
        <f t="shared" si="136"/>
        <v>0</v>
      </c>
      <c r="Z123" s="420" t="s">
        <v>413</v>
      </c>
      <c r="AA123" s="429" t="s">
        <v>1020</v>
      </c>
      <c r="AB123" s="308">
        <v>13</v>
      </c>
      <c r="AC123" s="298" t="s">
        <v>413</v>
      </c>
      <c r="AD123" s="328" t="s">
        <v>413</v>
      </c>
      <c r="AE123" s="298" t="s">
        <v>413</v>
      </c>
      <c r="AF123" s="313">
        <v>1</v>
      </c>
      <c r="AG123" s="429" t="s">
        <v>1020</v>
      </c>
      <c r="AH123" s="313">
        <f t="shared" si="223"/>
        <v>13</v>
      </c>
      <c r="AI123" s="429" t="s">
        <v>1020</v>
      </c>
      <c r="AJ123" s="298" t="s">
        <v>413</v>
      </c>
      <c r="AK123" s="361" t="s">
        <v>727</v>
      </c>
      <c r="AL123" s="307">
        <f t="shared" si="230"/>
        <v>78.539816339744831</v>
      </c>
      <c r="AM123" s="311">
        <f t="shared" si="231"/>
        <v>157.07963267948966</v>
      </c>
      <c r="AN123" s="306">
        <f t="shared" si="207"/>
        <v>3.218844931956755E-3</v>
      </c>
      <c r="AO123" s="298">
        <v>522</v>
      </c>
      <c r="AP123" s="306">
        <f t="shared" si="208"/>
        <v>4.1897368421052628</v>
      </c>
      <c r="AQ123" s="298">
        <f t="shared" si="224"/>
        <v>410</v>
      </c>
      <c r="AR123" s="361" t="s">
        <v>413</v>
      </c>
      <c r="AS123" s="298">
        <v>0</v>
      </c>
      <c r="AT123" s="361" t="s">
        <v>771</v>
      </c>
      <c r="AU123" s="311">
        <f t="shared" si="232"/>
        <v>56.548667764616276</v>
      </c>
      <c r="AV123" s="307">
        <f t="shared" si="233"/>
        <v>28.274333882308138</v>
      </c>
      <c r="AW123" s="312">
        <f t="shared" si="189"/>
        <v>56.548667764616276</v>
      </c>
      <c r="AX123" s="306">
        <f t="shared" si="209"/>
        <v>7.4406141795547737E-4</v>
      </c>
      <c r="AY123" s="298">
        <v>253</v>
      </c>
      <c r="AZ123" s="306">
        <f t="shared" si="190"/>
        <v>0.18824753874273578</v>
      </c>
      <c r="BA123" s="361">
        <v>100</v>
      </c>
      <c r="BB123" s="298">
        <v>120</v>
      </c>
      <c r="BC123" s="309">
        <f t="shared" si="225"/>
        <v>1.9672131147540983</v>
      </c>
      <c r="BD123" s="313" t="e">
        <f t="shared" si="137"/>
        <v>#VALUE!</v>
      </c>
      <c r="BE123" s="309">
        <f t="shared" si="210"/>
        <v>2.8368794326241136</v>
      </c>
      <c r="BF123" s="298" t="s">
        <v>413</v>
      </c>
      <c r="BG123" s="298">
        <v>57.26</v>
      </c>
      <c r="BH123" s="312">
        <f t="shared" si="226"/>
        <v>57.26</v>
      </c>
      <c r="BI123" s="373">
        <v>0.94430000000000003</v>
      </c>
      <c r="BJ123" s="361">
        <f t="shared" si="126"/>
        <v>1</v>
      </c>
      <c r="BK123" s="312">
        <f t="shared" si="127"/>
        <v>0.9</v>
      </c>
      <c r="BL123" s="311">
        <f t="shared" si="227"/>
        <v>48.663556200000002</v>
      </c>
      <c r="BM123" s="309">
        <f t="shared" si="203"/>
        <v>0.79776321639344261</v>
      </c>
      <c r="BN123" s="309">
        <f t="shared" si="196"/>
        <v>1.1504386808510638</v>
      </c>
      <c r="BO123" s="376"/>
      <c r="BP123" s="328" t="e">
        <f t="shared" si="139"/>
        <v>#VALUE!</v>
      </c>
      <c r="BQ123" s="328">
        <f t="shared" si="128"/>
        <v>0.18824753874273578</v>
      </c>
      <c r="BR123" s="328">
        <f t="shared" si="146"/>
        <v>0</v>
      </c>
      <c r="BS123" s="328" t="e">
        <f t="shared" si="140"/>
        <v>#VALUE!</v>
      </c>
      <c r="BT123" s="328">
        <f t="shared" si="141"/>
        <v>1.9672131147540983</v>
      </c>
      <c r="BU123" s="376"/>
      <c r="BV123" s="328">
        <f t="shared" si="129"/>
        <v>0.5</v>
      </c>
      <c r="BW123" s="328">
        <f t="shared" si="130"/>
        <v>1</v>
      </c>
      <c r="BX123" s="373" t="e">
        <f t="shared" si="142"/>
        <v>#VALUE!</v>
      </c>
      <c r="BY123" s="311" t="e">
        <f t="shared" si="131"/>
        <v>#VALUE!</v>
      </c>
      <c r="BZ123" s="311">
        <f t="shared" si="132"/>
        <v>41890.348301343496</v>
      </c>
      <c r="CA123" s="311" t="e">
        <f t="shared" si="143"/>
        <v>#VALUE!</v>
      </c>
      <c r="CB123" s="307" t="e">
        <f t="shared" si="144"/>
        <v>#VALUE!</v>
      </c>
      <c r="CC123" s="309"/>
      <c r="CD123" s="379"/>
    </row>
    <row r="124" spans="1:82" x14ac:dyDescent="0.25">
      <c r="A124" s="305">
        <v>116</v>
      </c>
      <c r="B124" s="298" t="s">
        <v>335</v>
      </c>
      <c r="C124" s="298" t="s">
        <v>349</v>
      </c>
      <c r="D124" s="298" t="s">
        <v>677</v>
      </c>
      <c r="E124" s="298" t="s">
        <v>668</v>
      </c>
      <c r="F124" s="298" t="s">
        <v>484</v>
      </c>
      <c r="G124" s="311">
        <v>760</v>
      </c>
      <c r="H124" s="311">
        <f t="shared" si="179"/>
        <v>760</v>
      </c>
      <c r="I124" s="311">
        <v>610</v>
      </c>
      <c r="J124" s="306">
        <f t="shared" si="182"/>
        <v>463600</v>
      </c>
      <c r="K124" s="311">
        <v>100</v>
      </c>
      <c r="L124" s="327">
        <f t="shared" si="204"/>
        <v>488</v>
      </c>
      <c r="M124" s="298">
        <f t="shared" si="185"/>
        <v>1.2459016393442623</v>
      </c>
      <c r="N124" s="309">
        <f t="shared" si="134"/>
        <v>1.2459016393442623</v>
      </c>
      <c r="O124" s="309">
        <f t="shared" si="124"/>
        <v>1.2459016393442623</v>
      </c>
      <c r="P124" s="327">
        <f t="shared" si="222"/>
        <v>42300</v>
      </c>
      <c r="Q124" s="306">
        <f t="shared" si="125"/>
        <v>61000</v>
      </c>
      <c r="R124" s="309">
        <f t="shared" si="201"/>
        <v>0.69344262295081971</v>
      </c>
      <c r="S124" s="312">
        <f t="shared" si="228"/>
        <v>510</v>
      </c>
      <c r="T124" s="312">
        <f t="shared" si="229"/>
        <v>760</v>
      </c>
      <c r="U124" s="298" t="s">
        <v>413</v>
      </c>
      <c r="V124" s="298" t="s">
        <v>413</v>
      </c>
      <c r="W124" s="387">
        <f t="shared" si="135"/>
        <v>0</v>
      </c>
      <c r="X124" s="298" t="s">
        <v>413</v>
      </c>
      <c r="Y124" s="387">
        <f t="shared" si="136"/>
        <v>0</v>
      </c>
      <c r="Z124" s="420" t="s">
        <v>413</v>
      </c>
      <c r="AA124" s="429" t="s">
        <v>1020</v>
      </c>
      <c r="AB124" s="308">
        <v>13</v>
      </c>
      <c r="AC124" s="298" t="s">
        <v>413</v>
      </c>
      <c r="AD124" s="328" t="s">
        <v>413</v>
      </c>
      <c r="AE124" s="298" t="s">
        <v>413</v>
      </c>
      <c r="AF124" s="313">
        <v>1</v>
      </c>
      <c r="AG124" s="429" t="s">
        <v>1020</v>
      </c>
      <c r="AH124" s="313">
        <f t="shared" si="223"/>
        <v>13</v>
      </c>
      <c r="AI124" s="429" t="s">
        <v>1020</v>
      </c>
      <c r="AJ124" s="298" t="s">
        <v>413</v>
      </c>
      <c r="AK124" s="361" t="s">
        <v>727</v>
      </c>
      <c r="AL124" s="307">
        <f t="shared" si="230"/>
        <v>78.539816339744831</v>
      </c>
      <c r="AM124" s="311">
        <f t="shared" si="231"/>
        <v>157.07963267948966</v>
      </c>
      <c r="AN124" s="306">
        <f t="shared" si="207"/>
        <v>3.218844931956755E-3</v>
      </c>
      <c r="AO124" s="298">
        <v>522</v>
      </c>
      <c r="AP124" s="306">
        <f t="shared" si="208"/>
        <v>4.1897368421052628</v>
      </c>
      <c r="AQ124" s="298">
        <f t="shared" si="224"/>
        <v>410</v>
      </c>
      <c r="AR124" s="361" t="s">
        <v>413</v>
      </c>
      <c r="AS124" s="298">
        <v>0</v>
      </c>
      <c r="AT124" s="361" t="s">
        <v>771</v>
      </c>
      <c r="AU124" s="311">
        <f t="shared" si="232"/>
        <v>56.548667764616276</v>
      </c>
      <c r="AV124" s="307">
        <f t="shared" si="233"/>
        <v>28.274333882308138</v>
      </c>
      <c r="AW124" s="312">
        <f t="shared" si="189"/>
        <v>56.548667764616276</v>
      </c>
      <c r="AX124" s="306">
        <f t="shared" si="209"/>
        <v>7.4406141795547737E-4</v>
      </c>
      <c r="AY124" s="298">
        <v>253</v>
      </c>
      <c r="AZ124" s="306">
        <f t="shared" si="190"/>
        <v>0.18824753874273578</v>
      </c>
      <c r="BA124" s="361">
        <v>100</v>
      </c>
      <c r="BB124" s="298">
        <v>120</v>
      </c>
      <c r="BC124" s="309">
        <f t="shared" si="225"/>
        <v>1.9672131147540983</v>
      </c>
      <c r="BD124" s="313" t="e">
        <f t="shared" si="137"/>
        <v>#VALUE!</v>
      </c>
      <c r="BE124" s="309">
        <f t="shared" si="210"/>
        <v>2.8368794326241136</v>
      </c>
      <c r="BF124" s="298" t="s">
        <v>413</v>
      </c>
      <c r="BG124" s="298">
        <v>53.78</v>
      </c>
      <c r="BH124" s="312">
        <f t="shared" si="226"/>
        <v>53.78</v>
      </c>
      <c r="BI124" s="373">
        <v>0.94430000000000003</v>
      </c>
      <c r="BJ124" s="361">
        <f t="shared" si="126"/>
        <v>1</v>
      </c>
      <c r="BK124" s="312">
        <f t="shared" si="127"/>
        <v>1</v>
      </c>
      <c r="BL124" s="311">
        <f t="shared" si="227"/>
        <v>50.784454000000004</v>
      </c>
      <c r="BM124" s="309">
        <f t="shared" si="203"/>
        <v>0.83253203278688526</v>
      </c>
      <c r="BN124" s="309">
        <f t="shared" si="196"/>
        <v>1.2005781087470451</v>
      </c>
      <c r="BO124" s="376"/>
      <c r="BP124" s="328" t="e">
        <f t="shared" si="139"/>
        <v>#VALUE!</v>
      </c>
      <c r="BQ124" s="328">
        <f t="shared" si="128"/>
        <v>0.18824753874273578</v>
      </c>
      <c r="BR124" s="328">
        <f t="shared" si="146"/>
        <v>0</v>
      </c>
      <c r="BS124" s="328" t="e">
        <f t="shared" si="140"/>
        <v>#VALUE!</v>
      </c>
      <c r="BT124" s="328">
        <f t="shared" si="141"/>
        <v>1.9672131147540983</v>
      </c>
      <c r="BU124" s="376"/>
      <c r="BV124" s="328">
        <f t="shared" si="129"/>
        <v>0.5</v>
      </c>
      <c r="BW124" s="328">
        <f t="shared" si="130"/>
        <v>1</v>
      </c>
      <c r="BX124" s="373" t="e">
        <f t="shared" si="142"/>
        <v>#VALUE!</v>
      </c>
      <c r="BY124" s="311" t="e">
        <f t="shared" si="131"/>
        <v>#VALUE!</v>
      </c>
      <c r="BZ124" s="311">
        <f t="shared" si="132"/>
        <v>41890.348301343496</v>
      </c>
      <c r="CA124" s="311" t="e">
        <f t="shared" si="143"/>
        <v>#VALUE!</v>
      </c>
      <c r="CB124" s="307" t="e">
        <f t="shared" si="144"/>
        <v>#VALUE!</v>
      </c>
      <c r="CC124" s="309"/>
      <c r="CD124" s="379"/>
    </row>
    <row r="125" spans="1:82" x14ac:dyDescent="0.25">
      <c r="A125" s="315">
        <v>117</v>
      </c>
      <c r="B125" s="315" t="s">
        <v>335</v>
      </c>
      <c r="C125" s="315" t="s">
        <v>351</v>
      </c>
      <c r="D125" s="315" t="s">
        <v>677</v>
      </c>
      <c r="E125" s="315" t="s">
        <v>675</v>
      </c>
      <c r="F125" s="315" t="s">
        <v>484</v>
      </c>
      <c r="G125" s="321">
        <v>760</v>
      </c>
      <c r="H125" s="321">
        <f t="shared" si="179"/>
        <v>760</v>
      </c>
      <c r="I125" s="321">
        <v>610</v>
      </c>
      <c r="J125" s="316">
        <f t="shared" si="182"/>
        <v>463600</v>
      </c>
      <c r="K125" s="321">
        <v>100</v>
      </c>
      <c r="L125" s="329">
        <f t="shared" si="204"/>
        <v>488</v>
      </c>
      <c r="M125" s="315">
        <f t="shared" si="185"/>
        <v>1.2459016393442623</v>
      </c>
      <c r="N125" s="319">
        <f t="shared" si="134"/>
        <v>1.2459016393442623</v>
      </c>
      <c r="O125" s="319">
        <f t="shared" si="124"/>
        <v>1.2459016393442623</v>
      </c>
      <c r="P125" s="329">
        <f t="shared" si="222"/>
        <v>42300</v>
      </c>
      <c r="Q125" s="316">
        <f t="shared" si="125"/>
        <v>61000</v>
      </c>
      <c r="R125" s="319">
        <f t="shared" si="201"/>
        <v>0.69344262295081971</v>
      </c>
      <c r="S125" s="322">
        <f t="shared" si="228"/>
        <v>510</v>
      </c>
      <c r="T125" s="322">
        <f t="shared" si="229"/>
        <v>760</v>
      </c>
      <c r="U125" s="315" t="s">
        <v>413</v>
      </c>
      <c r="V125" s="315" t="s">
        <v>413</v>
      </c>
      <c r="W125" s="387">
        <f t="shared" si="135"/>
        <v>0</v>
      </c>
      <c r="X125" s="315" t="s">
        <v>413</v>
      </c>
      <c r="Y125" s="387">
        <f t="shared" si="136"/>
        <v>0</v>
      </c>
      <c r="Z125" s="421" t="s">
        <v>413</v>
      </c>
      <c r="AA125" s="430" t="s">
        <v>1020</v>
      </c>
      <c r="AB125" s="318">
        <v>13</v>
      </c>
      <c r="AC125" s="315" t="s">
        <v>413</v>
      </c>
      <c r="AD125" s="330" t="s">
        <v>413</v>
      </c>
      <c r="AE125" s="315" t="s">
        <v>413</v>
      </c>
      <c r="AF125" s="324">
        <v>1</v>
      </c>
      <c r="AG125" s="430" t="s">
        <v>1020</v>
      </c>
      <c r="AH125" s="324">
        <f t="shared" si="223"/>
        <v>13</v>
      </c>
      <c r="AI125" s="430" t="s">
        <v>1020</v>
      </c>
      <c r="AJ125" s="315" t="s">
        <v>413</v>
      </c>
      <c r="AK125" s="315" t="s">
        <v>727</v>
      </c>
      <c r="AL125" s="317">
        <f t="shared" si="230"/>
        <v>78.539816339744831</v>
      </c>
      <c r="AM125" s="321">
        <f t="shared" si="231"/>
        <v>157.07963267948966</v>
      </c>
      <c r="AN125" s="316">
        <f t="shared" si="207"/>
        <v>3.218844931956755E-3</v>
      </c>
      <c r="AO125" s="315">
        <v>522</v>
      </c>
      <c r="AP125" s="316">
        <f t="shared" si="208"/>
        <v>4.1897368421052628</v>
      </c>
      <c r="AQ125" s="315">
        <f t="shared" si="224"/>
        <v>410</v>
      </c>
      <c r="AR125" s="315" t="s">
        <v>413</v>
      </c>
      <c r="AS125" s="315">
        <v>0</v>
      </c>
      <c r="AT125" s="315" t="s">
        <v>771</v>
      </c>
      <c r="AU125" s="321">
        <f t="shared" si="232"/>
        <v>56.548667764616276</v>
      </c>
      <c r="AV125" s="317">
        <f t="shared" si="233"/>
        <v>28.274333882308138</v>
      </c>
      <c r="AW125" s="322">
        <f t="shared" si="189"/>
        <v>56.548667764616276</v>
      </c>
      <c r="AX125" s="316">
        <f t="shared" si="209"/>
        <v>7.4406141795547737E-4</v>
      </c>
      <c r="AY125" s="315">
        <v>253</v>
      </c>
      <c r="AZ125" s="316">
        <f t="shared" si="190"/>
        <v>0.18824753874273578</v>
      </c>
      <c r="BA125" s="315">
        <v>100</v>
      </c>
      <c r="BB125" s="315">
        <v>120</v>
      </c>
      <c r="BC125" s="319">
        <f t="shared" si="225"/>
        <v>1.9672131147540983</v>
      </c>
      <c r="BD125" s="324" t="e">
        <f t="shared" si="137"/>
        <v>#VALUE!</v>
      </c>
      <c r="BE125" s="319">
        <f t="shared" si="210"/>
        <v>2.8368794326241136</v>
      </c>
      <c r="BF125" s="315" t="s">
        <v>413</v>
      </c>
      <c r="BG125" s="315">
        <v>60.19</v>
      </c>
      <c r="BH125" s="322">
        <f>BG125</f>
        <v>60.19</v>
      </c>
      <c r="BI125" s="373">
        <v>0.94430000000000003</v>
      </c>
      <c r="BJ125" s="315">
        <f t="shared" si="126"/>
        <v>1</v>
      </c>
      <c r="BK125" s="322">
        <f t="shared" si="127"/>
        <v>0.9</v>
      </c>
      <c r="BL125" s="321">
        <f t="shared" ref="BL125:BL137" si="234">BH125*BI125*BJ125*BK125</f>
        <v>51.153675300000003</v>
      </c>
      <c r="BM125" s="319">
        <f t="shared" si="203"/>
        <v>0.83858484098360664</v>
      </c>
      <c r="BN125" s="319">
        <f t="shared" si="196"/>
        <v>1.2093067446808512</v>
      </c>
      <c r="BO125" s="376"/>
      <c r="BP125" s="330" t="e">
        <f t="shared" si="139"/>
        <v>#VALUE!</v>
      </c>
      <c r="BQ125" s="330">
        <f t="shared" si="128"/>
        <v>0.18824753874273578</v>
      </c>
      <c r="BR125" s="330">
        <f t="shared" si="146"/>
        <v>0</v>
      </c>
      <c r="BS125" s="330" t="e">
        <f t="shared" si="140"/>
        <v>#VALUE!</v>
      </c>
      <c r="BT125" s="330">
        <f t="shared" si="141"/>
        <v>1.9672131147540983</v>
      </c>
      <c r="BU125" s="376"/>
      <c r="BV125" s="328">
        <f t="shared" si="129"/>
        <v>0.5</v>
      </c>
      <c r="BW125" s="328">
        <f t="shared" si="130"/>
        <v>1</v>
      </c>
      <c r="BX125" s="373" t="e">
        <f t="shared" si="142"/>
        <v>#VALUE!</v>
      </c>
      <c r="BY125" s="311" t="e">
        <f t="shared" si="131"/>
        <v>#VALUE!</v>
      </c>
      <c r="BZ125" s="311">
        <f t="shared" si="132"/>
        <v>41890.348301343496</v>
      </c>
      <c r="CA125" s="311" t="e">
        <f t="shared" si="143"/>
        <v>#VALUE!</v>
      </c>
      <c r="CB125" s="307" t="e">
        <f t="shared" si="144"/>
        <v>#VALUE!</v>
      </c>
      <c r="CC125" s="309"/>
      <c r="CD125" s="379"/>
    </row>
    <row r="126" spans="1:82" x14ac:dyDescent="0.25">
      <c r="A126" s="305">
        <v>118</v>
      </c>
      <c r="B126" s="298" t="s">
        <v>555</v>
      </c>
      <c r="C126" s="298">
        <v>1</v>
      </c>
      <c r="D126" s="361" t="s">
        <v>676</v>
      </c>
      <c r="E126" s="298" t="s">
        <v>668</v>
      </c>
      <c r="F126" s="298" t="s">
        <v>485</v>
      </c>
      <c r="G126" s="311">
        <v>1422</v>
      </c>
      <c r="H126" s="311">
        <f t="shared" ref="H126:H131" si="235">IF(F126="Cantilever",G126,0.5*G126)</f>
        <v>711</v>
      </c>
      <c r="I126" s="311">
        <v>2845</v>
      </c>
      <c r="J126" s="306">
        <f t="shared" ref="J126:J131" si="236">I126*G126</f>
        <v>4045590</v>
      </c>
      <c r="K126" s="311">
        <v>195</v>
      </c>
      <c r="L126" s="327">
        <f t="shared" ref="L126:L131" si="237">0.8*I126</f>
        <v>2276</v>
      </c>
      <c r="M126" s="309">
        <f t="shared" ref="M126:M131" si="238">G126/I126</f>
        <v>0.49982425307557116</v>
      </c>
      <c r="N126" s="309">
        <f t="shared" si="134"/>
        <v>0.24991212653778558</v>
      </c>
      <c r="O126" s="309">
        <f t="shared" si="124"/>
        <v>0.24991212653778558</v>
      </c>
      <c r="P126" s="327">
        <f t="shared" ref="P126:P137" si="239">(2*396/2*K126)+(I126-2*396/2)*(33.7)*2</f>
        <v>242282.6</v>
      </c>
      <c r="Q126" s="306">
        <f t="shared" si="125"/>
        <v>554775</v>
      </c>
      <c r="R126" s="309">
        <f t="shared" si="201"/>
        <v>0.43672227479608849</v>
      </c>
      <c r="S126" s="312">
        <f>I126-200</f>
        <v>2645</v>
      </c>
      <c r="T126" s="295">
        <v>700</v>
      </c>
      <c r="U126" s="308" t="s">
        <v>413</v>
      </c>
      <c r="V126" s="310">
        <v>21.7</v>
      </c>
      <c r="W126" s="387">
        <f t="shared" si="135"/>
        <v>21.7</v>
      </c>
      <c r="X126" s="298">
        <v>29.6</v>
      </c>
      <c r="Y126" s="387">
        <f t="shared" si="136"/>
        <v>29.6</v>
      </c>
      <c r="Z126" s="420" t="s">
        <v>413</v>
      </c>
      <c r="AA126" s="310">
        <v>17.600000000000001</v>
      </c>
      <c r="AB126" s="310">
        <v>17.100000000000001</v>
      </c>
      <c r="AC126" s="312">
        <v>2</v>
      </c>
      <c r="AD126" s="325">
        <f t="shared" ref="AD126:AD137" si="240">(190+10+190)/K126</f>
        <v>2</v>
      </c>
      <c r="AE126" s="308" t="s">
        <v>413</v>
      </c>
      <c r="AF126" s="313">
        <f t="shared" ref="AF126:AF131" si="241">1-0.058*(5-AD126)^1.07</f>
        <v>0.81209093304219504</v>
      </c>
      <c r="AG126" s="313">
        <f t="shared" ref="AG126:AG137" si="242">AF126*AA126</f>
        <v>14.292800421542633</v>
      </c>
      <c r="AH126" s="313">
        <f t="shared" ref="AH126:AH137" si="243">AF126*AB126</f>
        <v>13.886754955021535</v>
      </c>
      <c r="AI126" s="416">
        <f t="shared" ref="AI126:AI137" si="244">((2*390/2)*AG126+(I126-2*390/2)*AH126)/I126</f>
        <v>13.942416723718626</v>
      </c>
      <c r="AJ126" s="298" t="s">
        <v>413</v>
      </c>
      <c r="AK126" s="361" t="s">
        <v>769</v>
      </c>
      <c r="AL126" s="298">
        <f>2*284</f>
        <v>568</v>
      </c>
      <c r="AM126" s="298">
        <f>2*2*284</f>
        <v>1136</v>
      </c>
      <c r="AN126" s="306">
        <f t="shared" si="207"/>
        <v>2.559596232706953E-3</v>
      </c>
      <c r="AO126" s="343">
        <v>400</v>
      </c>
      <c r="AP126" s="306">
        <f t="shared" si="208"/>
        <v>8.2080132713044112</v>
      </c>
      <c r="AQ126" s="343">
        <f t="shared" si="224"/>
        <v>2645</v>
      </c>
      <c r="AR126" s="361" t="s">
        <v>723</v>
      </c>
      <c r="AS126" s="311">
        <f>2*71</f>
        <v>142</v>
      </c>
      <c r="AT126" s="311" t="s">
        <v>413</v>
      </c>
      <c r="AU126" s="295">
        <v>0</v>
      </c>
      <c r="AV126" s="298">
        <v>71</v>
      </c>
      <c r="AW126" s="312">
        <f t="shared" ref="AW126:AW137" si="245">AU126+AS126</f>
        <v>142</v>
      </c>
      <c r="AX126" s="306">
        <f t="shared" si="209"/>
        <v>5.1209924627646148E-4</v>
      </c>
      <c r="AY126" s="343">
        <v>400</v>
      </c>
      <c r="AZ126" s="306">
        <f t="shared" ref="AZ126:AZ131" si="246">AX126*AY126</f>
        <v>0.20483969851058459</v>
      </c>
      <c r="BA126" s="298">
        <v>700</v>
      </c>
      <c r="BB126" s="298">
        <v>267</v>
      </c>
      <c r="BC126" s="309">
        <f t="shared" si="225"/>
        <v>0.48127619305123698</v>
      </c>
      <c r="BD126" s="313">
        <f t="shared" si="137"/>
        <v>3.4518850109572272E-2</v>
      </c>
      <c r="BE126" s="309">
        <f t="shared" si="210"/>
        <v>1.1020188820823287</v>
      </c>
      <c r="BF126" s="307" t="s">
        <v>413</v>
      </c>
      <c r="BG126" s="307" t="s">
        <v>413</v>
      </c>
      <c r="BH126" s="311">
        <v>187</v>
      </c>
      <c r="BI126" s="373">
        <v>0.94430000000000003</v>
      </c>
      <c r="BJ126" s="361">
        <f t="shared" si="126"/>
        <v>1</v>
      </c>
      <c r="BK126" s="312">
        <f t="shared" si="127"/>
        <v>1</v>
      </c>
      <c r="BL126" s="311">
        <f t="shared" ref="BL126:BL131" si="247">BH126*BI126*BJ126*BK126</f>
        <v>176.58410000000001</v>
      </c>
      <c r="BM126" s="309">
        <f t="shared" si="203"/>
        <v>0.31829858951827317</v>
      </c>
      <c r="BN126" s="309">
        <f t="shared" si="196"/>
        <v>0.72883525271728145</v>
      </c>
      <c r="BO126" s="376"/>
      <c r="BP126" s="328">
        <f t="shared" si="139"/>
        <v>14.941069970384186</v>
      </c>
      <c r="BQ126" s="328">
        <f t="shared" si="128"/>
        <v>0.20483969851058459</v>
      </c>
      <c r="BR126" s="328">
        <f t="shared" si="146"/>
        <v>0.78858881267634495</v>
      </c>
      <c r="BS126" s="328">
        <f t="shared" si="140"/>
        <v>0.73804261171505148</v>
      </c>
      <c r="BT126" s="328">
        <f t="shared" si="141"/>
        <v>0.48127619305123698</v>
      </c>
      <c r="BU126" s="376"/>
      <c r="BV126" s="328">
        <f t="shared" si="129"/>
        <v>0.43672227479608849</v>
      </c>
      <c r="BW126" s="328">
        <f t="shared" si="130"/>
        <v>0.31239015817223198</v>
      </c>
      <c r="BX126" s="373">
        <f t="shared" si="142"/>
        <v>1.0082333567462582</v>
      </c>
      <c r="BY126" s="311">
        <f t="shared" si="131"/>
        <v>224573.1311060077</v>
      </c>
      <c r="BZ126" s="311">
        <f t="shared" si="132"/>
        <v>110808.68571428572</v>
      </c>
      <c r="CA126" s="311">
        <f t="shared" si="143"/>
        <v>289495.11080670875</v>
      </c>
      <c r="CB126" s="307">
        <f t="shared" si="144"/>
        <v>289.49511080670874</v>
      </c>
      <c r="CC126" s="309">
        <f t="shared" si="145"/>
        <v>0.52182436268164345</v>
      </c>
      <c r="CD126" s="379">
        <f t="shared" si="133"/>
        <v>0.60997265034262493</v>
      </c>
    </row>
    <row r="127" spans="1:82" x14ac:dyDescent="0.25">
      <c r="A127" s="305">
        <v>119</v>
      </c>
      <c r="B127" s="298" t="s">
        <v>555</v>
      </c>
      <c r="C127" s="298">
        <v>3</v>
      </c>
      <c r="D127" s="361" t="s">
        <v>676</v>
      </c>
      <c r="E127" s="298" t="s">
        <v>668</v>
      </c>
      <c r="F127" s="298" t="s">
        <v>485</v>
      </c>
      <c r="G127" s="311">
        <v>1422</v>
      </c>
      <c r="H127" s="311">
        <f t="shared" si="235"/>
        <v>711</v>
      </c>
      <c r="I127" s="311">
        <v>2032</v>
      </c>
      <c r="J127" s="306">
        <f t="shared" si="236"/>
        <v>2889504</v>
      </c>
      <c r="K127" s="311">
        <v>195</v>
      </c>
      <c r="L127" s="327">
        <f t="shared" si="237"/>
        <v>1625.6000000000001</v>
      </c>
      <c r="M127" s="309">
        <f t="shared" si="238"/>
        <v>0.69980314960629919</v>
      </c>
      <c r="N127" s="309">
        <f t="shared" si="134"/>
        <v>0.3499015748031496</v>
      </c>
      <c r="O127" s="309">
        <f t="shared" si="124"/>
        <v>0.3499015748031496</v>
      </c>
      <c r="P127" s="327">
        <f t="shared" si="239"/>
        <v>187486.40000000002</v>
      </c>
      <c r="Q127" s="306">
        <f t="shared" si="125"/>
        <v>396240</v>
      </c>
      <c r="R127" s="309">
        <f t="shared" si="201"/>
        <v>0.4731637391479912</v>
      </c>
      <c r="S127" s="312">
        <f t="shared" ref="S127:S131" si="248">I127-200</f>
        <v>1832</v>
      </c>
      <c r="T127" s="295">
        <v>700</v>
      </c>
      <c r="U127" s="308" t="s">
        <v>413</v>
      </c>
      <c r="V127" s="310">
        <v>21.7</v>
      </c>
      <c r="W127" s="387">
        <f t="shared" si="135"/>
        <v>21.7</v>
      </c>
      <c r="X127" s="298">
        <v>29.6</v>
      </c>
      <c r="Y127" s="387">
        <f t="shared" si="136"/>
        <v>29.6</v>
      </c>
      <c r="Z127" s="420" t="s">
        <v>413</v>
      </c>
      <c r="AA127" s="310">
        <v>17.600000000000001</v>
      </c>
      <c r="AB127" s="310">
        <v>17.100000000000001</v>
      </c>
      <c r="AC127" s="312">
        <v>2</v>
      </c>
      <c r="AD127" s="325">
        <f t="shared" si="240"/>
        <v>2</v>
      </c>
      <c r="AE127" s="308" t="s">
        <v>413</v>
      </c>
      <c r="AF127" s="313">
        <f t="shared" si="241"/>
        <v>0.81209093304219504</v>
      </c>
      <c r="AG127" s="313">
        <f t="shared" si="242"/>
        <v>14.292800421542633</v>
      </c>
      <c r="AH127" s="313">
        <f t="shared" si="243"/>
        <v>13.886754955021535</v>
      </c>
      <c r="AI127" s="308">
        <f t="shared" si="244"/>
        <v>13.964686909718006</v>
      </c>
      <c r="AJ127" s="361" t="s">
        <v>413</v>
      </c>
      <c r="AK127" s="361" t="s">
        <v>769</v>
      </c>
      <c r="AL127" s="298">
        <f t="shared" ref="AL127:AL137" si="249">2*284</f>
        <v>568</v>
      </c>
      <c r="AM127" s="298">
        <f t="shared" ref="AM127:AM137" si="250">2*2*284</f>
        <v>1136</v>
      </c>
      <c r="AN127" s="306">
        <f t="shared" si="207"/>
        <v>3.5836866545527956E-3</v>
      </c>
      <c r="AO127" s="343">
        <v>400</v>
      </c>
      <c r="AP127" s="306">
        <f t="shared" si="208"/>
        <v>5.8624544700494061</v>
      </c>
      <c r="AQ127" s="343">
        <f t="shared" si="224"/>
        <v>1832</v>
      </c>
      <c r="AR127" s="361" t="s">
        <v>723</v>
      </c>
      <c r="AS127" s="311">
        <f>2*71</f>
        <v>142</v>
      </c>
      <c r="AT127" s="311" t="s">
        <v>413</v>
      </c>
      <c r="AU127" s="295">
        <v>0</v>
      </c>
      <c r="AV127" s="298">
        <v>71</v>
      </c>
      <c r="AW127" s="312">
        <f t="shared" si="245"/>
        <v>142</v>
      </c>
      <c r="AX127" s="306">
        <f t="shared" si="209"/>
        <v>5.1209924627646148E-4</v>
      </c>
      <c r="AY127" s="343">
        <v>400</v>
      </c>
      <c r="AZ127" s="306">
        <f t="shared" si="246"/>
        <v>0.20483969851058459</v>
      </c>
      <c r="BA127" s="298">
        <v>700</v>
      </c>
      <c r="BB127" s="298">
        <v>191</v>
      </c>
      <c r="BC127" s="309">
        <f t="shared" si="225"/>
        <v>0.48203109226731272</v>
      </c>
      <c r="BD127" s="313">
        <f t="shared" si="137"/>
        <v>3.4517858895344651E-2</v>
      </c>
      <c r="BE127" s="309">
        <f t="shared" si="210"/>
        <v>1.0187405593152357</v>
      </c>
      <c r="BF127" s="307" t="s">
        <v>413</v>
      </c>
      <c r="BG127" s="307" t="s">
        <v>413</v>
      </c>
      <c r="BH127" s="311">
        <v>245</v>
      </c>
      <c r="BI127" s="373">
        <v>0.94430000000000003</v>
      </c>
      <c r="BJ127" s="361">
        <f t="shared" si="126"/>
        <v>1</v>
      </c>
      <c r="BK127" s="312">
        <f t="shared" si="127"/>
        <v>1</v>
      </c>
      <c r="BL127" s="311">
        <f t="shared" si="247"/>
        <v>231.3535</v>
      </c>
      <c r="BM127" s="309">
        <f t="shared" si="203"/>
        <v>0.58387214819301436</v>
      </c>
      <c r="BN127" s="309">
        <f t="shared" si="196"/>
        <v>1.2339748376415567</v>
      </c>
      <c r="BO127" s="376"/>
      <c r="BP127" s="328">
        <f t="shared" si="139"/>
        <v>10.679961927103054</v>
      </c>
      <c r="BQ127" s="328">
        <f t="shared" si="128"/>
        <v>0.20483969851058459</v>
      </c>
      <c r="BR127" s="328">
        <f t="shared" si="146"/>
        <v>0.78858881267634495</v>
      </c>
      <c r="BS127" s="328">
        <f t="shared" si="140"/>
        <v>0.80026554816217488</v>
      </c>
      <c r="BT127" s="328">
        <f t="shared" si="141"/>
        <v>0.48203109226731272</v>
      </c>
      <c r="BU127" s="376"/>
      <c r="BV127" s="328">
        <f t="shared" si="129"/>
        <v>0.4731637391479912</v>
      </c>
      <c r="BW127" s="328">
        <f t="shared" si="130"/>
        <v>0.43737696850393698</v>
      </c>
      <c r="BX127" s="373">
        <f t="shared" si="142"/>
        <v>0.9343074360051441</v>
      </c>
      <c r="BY127" s="311">
        <f t="shared" si="131"/>
        <v>162729.5186801845</v>
      </c>
      <c r="BZ127" s="311">
        <f t="shared" si="132"/>
        <v>79143.497142857159</v>
      </c>
      <c r="CA127" s="311">
        <f t="shared" si="143"/>
        <v>224199.86668457888</v>
      </c>
      <c r="CB127" s="307">
        <f t="shared" si="144"/>
        <v>224.19986668457889</v>
      </c>
      <c r="CC127" s="309">
        <f t="shared" si="145"/>
        <v>0.56581835928876156</v>
      </c>
      <c r="CD127" s="379">
        <f t="shared" si="133"/>
        <v>1.0319073932612342</v>
      </c>
    </row>
    <row r="128" spans="1:82" x14ac:dyDescent="0.25">
      <c r="A128" s="305">
        <v>120</v>
      </c>
      <c r="B128" s="298" t="s">
        <v>555</v>
      </c>
      <c r="C128" s="298">
        <v>5</v>
      </c>
      <c r="D128" s="361" t="s">
        <v>676</v>
      </c>
      <c r="E128" s="298" t="s">
        <v>668</v>
      </c>
      <c r="F128" s="298" t="s">
        <v>485</v>
      </c>
      <c r="G128" s="311">
        <v>1422</v>
      </c>
      <c r="H128" s="311">
        <f t="shared" si="235"/>
        <v>711</v>
      </c>
      <c r="I128" s="311">
        <v>1422</v>
      </c>
      <c r="J128" s="306">
        <f t="shared" si="236"/>
        <v>2022084</v>
      </c>
      <c r="K128" s="311">
        <v>195</v>
      </c>
      <c r="L128" s="327">
        <f t="shared" si="237"/>
        <v>1137.6000000000001</v>
      </c>
      <c r="M128" s="309">
        <f t="shared" si="238"/>
        <v>1</v>
      </c>
      <c r="N128" s="309">
        <f t="shared" si="134"/>
        <v>0.5</v>
      </c>
      <c r="O128" s="309">
        <f t="shared" si="124"/>
        <v>0.5</v>
      </c>
      <c r="P128" s="327">
        <f t="shared" si="239"/>
        <v>146372.40000000002</v>
      </c>
      <c r="Q128" s="306">
        <f t="shared" si="125"/>
        <v>277290</v>
      </c>
      <c r="R128" s="309">
        <f t="shared" si="201"/>
        <v>0.52786757546251228</v>
      </c>
      <c r="S128" s="312">
        <f t="shared" si="248"/>
        <v>1222</v>
      </c>
      <c r="T128" s="295">
        <v>700</v>
      </c>
      <c r="U128" s="308" t="s">
        <v>413</v>
      </c>
      <c r="V128" s="310">
        <v>21.7</v>
      </c>
      <c r="W128" s="387">
        <f t="shared" si="135"/>
        <v>21.7</v>
      </c>
      <c r="X128" s="298">
        <v>29.6</v>
      </c>
      <c r="Y128" s="387">
        <f t="shared" si="136"/>
        <v>29.6</v>
      </c>
      <c r="Z128" s="420" t="s">
        <v>413</v>
      </c>
      <c r="AA128" s="310">
        <v>17.600000000000001</v>
      </c>
      <c r="AB128" s="310">
        <v>17.100000000000001</v>
      </c>
      <c r="AC128" s="312">
        <v>2</v>
      </c>
      <c r="AD128" s="325">
        <f t="shared" si="240"/>
        <v>2</v>
      </c>
      <c r="AE128" s="308" t="s">
        <v>413</v>
      </c>
      <c r="AF128" s="313">
        <f t="shared" si="241"/>
        <v>0.81209093304219504</v>
      </c>
      <c r="AG128" s="313">
        <f t="shared" si="242"/>
        <v>14.292800421542633</v>
      </c>
      <c r="AH128" s="313">
        <f t="shared" si="243"/>
        <v>13.886754955021535</v>
      </c>
      <c r="AI128" s="308">
        <f t="shared" si="244"/>
        <v>13.998117635712974</v>
      </c>
      <c r="AJ128" s="361" t="s">
        <v>413</v>
      </c>
      <c r="AK128" s="361" t="s">
        <v>769</v>
      </c>
      <c r="AL128" s="298">
        <f t="shared" si="249"/>
        <v>568</v>
      </c>
      <c r="AM128" s="298">
        <f t="shared" si="250"/>
        <v>1136</v>
      </c>
      <c r="AN128" s="306">
        <f t="shared" si="207"/>
        <v>5.1209924627646135E-3</v>
      </c>
      <c r="AO128" s="343">
        <v>400</v>
      </c>
      <c r="AP128" s="306">
        <f t="shared" si="208"/>
        <v>4.1025641025641022</v>
      </c>
      <c r="AQ128" s="343">
        <f t="shared" si="224"/>
        <v>1222</v>
      </c>
      <c r="AR128" s="361" t="s">
        <v>723</v>
      </c>
      <c r="AS128" s="311">
        <f>2*71</f>
        <v>142</v>
      </c>
      <c r="AT128" s="311" t="s">
        <v>413</v>
      </c>
      <c r="AU128" s="295">
        <v>0</v>
      </c>
      <c r="AV128" s="298">
        <v>71</v>
      </c>
      <c r="AW128" s="312">
        <f t="shared" si="245"/>
        <v>142</v>
      </c>
      <c r="AX128" s="306">
        <f t="shared" si="209"/>
        <v>5.1209924627646148E-4</v>
      </c>
      <c r="AY128" s="343">
        <v>400</v>
      </c>
      <c r="AZ128" s="306">
        <f t="shared" si="246"/>
        <v>0.20483969851058459</v>
      </c>
      <c r="BA128" s="298">
        <v>700</v>
      </c>
      <c r="BB128" s="298">
        <v>133</v>
      </c>
      <c r="BC128" s="309">
        <f t="shared" si="225"/>
        <v>0.47964225179415054</v>
      </c>
      <c r="BD128" s="313">
        <f t="shared" si="137"/>
        <v>3.4264767897824615E-2</v>
      </c>
      <c r="BE128" s="309">
        <f t="shared" si="210"/>
        <v>0.9086412465738074</v>
      </c>
      <c r="BF128" s="307" t="s">
        <v>413</v>
      </c>
      <c r="BG128" s="307" t="s">
        <v>413</v>
      </c>
      <c r="BH128" s="311">
        <v>133</v>
      </c>
      <c r="BI128" s="373">
        <v>0.94430000000000003</v>
      </c>
      <c r="BJ128" s="361">
        <f t="shared" si="126"/>
        <v>1</v>
      </c>
      <c r="BK128" s="312">
        <f t="shared" si="127"/>
        <v>1</v>
      </c>
      <c r="BL128" s="311">
        <f t="shared" si="247"/>
        <v>125.59190000000001</v>
      </c>
      <c r="BM128" s="309">
        <f t="shared" si="203"/>
        <v>0.45292617836921639</v>
      </c>
      <c r="BN128" s="309">
        <f t="shared" si="196"/>
        <v>0.85802992913964649</v>
      </c>
      <c r="BO128" s="376"/>
      <c r="BP128" s="328">
        <f t="shared" si="139"/>
        <v>7.4828116736192083</v>
      </c>
      <c r="BQ128" s="328">
        <f t="shared" si="128"/>
        <v>0.20483969851058459</v>
      </c>
      <c r="BR128" s="328">
        <f t="shared" si="146"/>
        <v>0.78858881267634495</v>
      </c>
      <c r="BS128" s="328">
        <f t="shared" si="140"/>
        <v>0.89385457940478896</v>
      </c>
      <c r="BT128" s="328">
        <f t="shared" si="141"/>
        <v>0.47964225179415054</v>
      </c>
      <c r="BU128" s="376"/>
      <c r="BV128" s="328">
        <f t="shared" si="129"/>
        <v>0.5</v>
      </c>
      <c r="BW128" s="328">
        <f t="shared" si="130"/>
        <v>0.62499999999999989</v>
      </c>
      <c r="BX128" s="373">
        <f t="shared" si="142"/>
        <v>0.8231092840981129</v>
      </c>
      <c r="BY128" s="311">
        <f t="shared" si="131"/>
        <v>107920.98935502631</v>
      </c>
      <c r="BZ128" s="311">
        <f t="shared" si="132"/>
        <v>55384.868571428582</v>
      </c>
      <c r="CA128" s="311">
        <f t="shared" si="143"/>
        <v>165992.70791822966</v>
      </c>
      <c r="CB128" s="307">
        <f t="shared" si="144"/>
        <v>163.30585792645488</v>
      </c>
      <c r="CC128" s="309">
        <f t="shared" si="145"/>
        <v>0.58893525884977771</v>
      </c>
      <c r="CD128" s="379">
        <f t="shared" si="133"/>
        <v>0.76905936868817393</v>
      </c>
    </row>
    <row r="129" spans="1:82" x14ac:dyDescent="0.25">
      <c r="A129" s="305">
        <v>121</v>
      </c>
      <c r="B129" s="298" t="s">
        <v>555</v>
      </c>
      <c r="C129" s="298">
        <v>7</v>
      </c>
      <c r="D129" s="361" t="s">
        <v>676</v>
      </c>
      <c r="E129" s="298" t="s">
        <v>668</v>
      </c>
      <c r="F129" s="298" t="s">
        <v>485</v>
      </c>
      <c r="G129" s="311">
        <v>1422</v>
      </c>
      <c r="H129" s="311">
        <f t="shared" si="235"/>
        <v>711</v>
      </c>
      <c r="I129" s="311">
        <v>2845</v>
      </c>
      <c r="J129" s="306">
        <f t="shared" si="236"/>
        <v>4045590</v>
      </c>
      <c r="K129" s="311">
        <v>195</v>
      </c>
      <c r="L129" s="327">
        <f t="shared" si="237"/>
        <v>2276</v>
      </c>
      <c r="M129" s="309">
        <f t="shared" si="238"/>
        <v>0.49982425307557116</v>
      </c>
      <c r="N129" s="309">
        <f t="shared" si="134"/>
        <v>0.24991212653778558</v>
      </c>
      <c r="O129" s="309">
        <f t="shared" si="124"/>
        <v>0.24991212653778558</v>
      </c>
      <c r="P129" s="327">
        <f t="shared" si="239"/>
        <v>242282.6</v>
      </c>
      <c r="Q129" s="306">
        <f t="shared" si="125"/>
        <v>554775</v>
      </c>
      <c r="R129" s="309">
        <f t="shared" si="201"/>
        <v>0.43672227479608849</v>
      </c>
      <c r="S129" s="312">
        <f t="shared" si="248"/>
        <v>2645</v>
      </c>
      <c r="T129" s="295">
        <v>700</v>
      </c>
      <c r="U129" s="308" t="s">
        <v>413</v>
      </c>
      <c r="V129" s="310">
        <v>21.7</v>
      </c>
      <c r="W129" s="387">
        <f t="shared" si="135"/>
        <v>21.7</v>
      </c>
      <c r="X129" s="298">
        <v>29.6</v>
      </c>
      <c r="Y129" s="387">
        <f t="shared" si="136"/>
        <v>29.6</v>
      </c>
      <c r="Z129" s="420" t="s">
        <v>413</v>
      </c>
      <c r="AA129" s="310">
        <v>17.600000000000001</v>
      </c>
      <c r="AB129" s="310">
        <v>17.100000000000001</v>
      </c>
      <c r="AC129" s="312">
        <v>2</v>
      </c>
      <c r="AD129" s="325">
        <f t="shared" si="240"/>
        <v>2</v>
      </c>
      <c r="AE129" s="308" t="s">
        <v>413</v>
      </c>
      <c r="AF129" s="313">
        <f t="shared" si="241"/>
        <v>0.81209093304219504</v>
      </c>
      <c r="AG129" s="313">
        <f t="shared" si="242"/>
        <v>14.292800421542633</v>
      </c>
      <c r="AH129" s="313">
        <f t="shared" si="243"/>
        <v>13.886754955021535</v>
      </c>
      <c r="AI129" s="308">
        <f t="shared" si="244"/>
        <v>13.942416723718626</v>
      </c>
      <c r="AJ129" s="361" t="s">
        <v>413</v>
      </c>
      <c r="AK129" s="361" t="s">
        <v>769</v>
      </c>
      <c r="AL129" s="298">
        <f t="shared" si="249"/>
        <v>568</v>
      </c>
      <c r="AM129" s="298">
        <f t="shared" si="250"/>
        <v>1136</v>
      </c>
      <c r="AN129" s="306">
        <f t="shared" si="207"/>
        <v>2.559596232706953E-3</v>
      </c>
      <c r="AO129" s="343">
        <v>400</v>
      </c>
      <c r="AP129" s="306">
        <f t="shared" si="208"/>
        <v>8.2080132713044112</v>
      </c>
      <c r="AQ129" s="343">
        <f t="shared" si="224"/>
        <v>2645</v>
      </c>
      <c r="AR129" s="361" t="s">
        <v>770</v>
      </c>
      <c r="AS129" s="311">
        <f>129+200</f>
        <v>329</v>
      </c>
      <c r="AT129" s="311" t="s">
        <v>413</v>
      </c>
      <c r="AU129" s="295">
        <v>0</v>
      </c>
      <c r="AV129" s="298" t="s">
        <v>581</v>
      </c>
      <c r="AW129" s="312">
        <f t="shared" si="245"/>
        <v>329</v>
      </c>
      <c r="AX129" s="306">
        <f t="shared" si="209"/>
        <v>1.1864834649644776E-3</v>
      </c>
      <c r="AY129" s="343">
        <v>400</v>
      </c>
      <c r="AZ129" s="306">
        <f t="shared" si="246"/>
        <v>0.47459338598579104</v>
      </c>
      <c r="BA129" s="298">
        <v>700</v>
      </c>
      <c r="BB129" s="298">
        <v>266</v>
      </c>
      <c r="BC129" s="309">
        <f t="shared" si="225"/>
        <v>0.47947366049299267</v>
      </c>
      <c r="BD129" s="313">
        <f t="shared" si="137"/>
        <v>3.4389566026764885E-2</v>
      </c>
      <c r="BE129" s="309">
        <f t="shared" si="210"/>
        <v>1.0978914705389491</v>
      </c>
      <c r="BF129" s="307" t="s">
        <v>413</v>
      </c>
      <c r="BG129" s="307" t="s">
        <v>413</v>
      </c>
      <c r="BH129" s="311">
        <v>240</v>
      </c>
      <c r="BI129" s="373">
        <v>0.94430000000000003</v>
      </c>
      <c r="BJ129" s="361">
        <f t="shared" si="126"/>
        <v>1</v>
      </c>
      <c r="BK129" s="312">
        <f t="shared" si="127"/>
        <v>1</v>
      </c>
      <c r="BL129" s="311">
        <f t="shared" si="247"/>
        <v>226.63200000000001</v>
      </c>
      <c r="BM129" s="309">
        <f t="shared" si="203"/>
        <v>0.40851155874002976</v>
      </c>
      <c r="BN129" s="309">
        <f t="shared" si="196"/>
        <v>0.93540353289918465</v>
      </c>
      <c r="BO129" s="376"/>
      <c r="BP129" s="328">
        <f t="shared" si="139"/>
        <v>14.941069970384186</v>
      </c>
      <c r="BQ129" s="328">
        <f t="shared" si="128"/>
        <v>0.47459338598579104</v>
      </c>
      <c r="BR129" s="328">
        <f t="shared" si="146"/>
        <v>0.78858881267634495</v>
      </c>
      <c r="BS129" s="328">
        <f t="shared" si="140"/>
        <v>1.1234020545528942</v>
      </c>
      <c r="BT129" s="328">
        <f t="shared" si="141"/>
        <v>0.47947366049299267</v>
      </c>
      <c r="BU129" s="376"/>
      <c r="BV129" s="328">
        <f t="shared" si="129"/>
        <v>0.43672227479608849</v>
      </c>
      <c r="BW129" s="328">
        <f t="shared" si="130"/>
        <v>0.31239015817223198</v>
      </c>
      <c r="BX129" s="373">
        <f t="shared" si="142"/>
        <v>1.0082333567462582</v>
      </c>
      <c r="BY129" s="311">
        <f t="shared" si="131"/>
        <v>224463.95053730867</v>
      </c>
      <c r="BZ129" s="311">
        <f t="shared" si="132"/>
        <v>256732.79999999999</v>
      </c>
      <c r="CA129" s="311">
        <f t="shared" si="143"/>
        <v>289495.11080670875</v>
      </c>
      <c r="CB129" s="307">
        <f t="shared" si="144"/>
        <v>289.49511080670874</v>
      </c>
      <c r="CC129" s="309">
        <f t="shared" si="145"/>
        <v>0.52182436268164345</v>
      </c>
      <c r="CD129" s="379">
        <f t="shared" si="133"/>
        <v>0.78285259937021379</v>
      </c>
    </row>
    <row r="130" spans="1:82" x14ac:dyDescent="0.25">
      <c r="A130" s="305">
        <v>122</v>
      </c>
      <c r="B130" s="298" t="s">
        <v>555</v>
      </c>
      <c r="C130" s="298">
        <v>9</v>
      </c>
      <c r="D130" s="361" t="s">
        <v>676</v>
      </c>
      <c r="E130" s="298" t="s">
        <v>668</v>
      </c>
      <c r="F130" s="298" t="s">
        <v>485</v>
      </c>
      <c r="G130" s="311">
        <v>1422</v>
      </c>
      <c r="H130" s="311">
        <f t="shared" si="235"/>
        <v>711</v>
      </c>
      <c r="I130" s="311">
        <v>2032</v>
      </c>
      <c r="J130" s="306">
        <f t="shared" si="236"/>
        <v>2889504</v>
      </c>
      <c r="K130" s="311">
        <v>195</v>
      </c>
      <c r="L130" s="327">
        <f t="shared" si="237"/>
        <v>1625.6000000000001</v>
      </c>
      <c r="M130" s="309">
        <f t="shared" si="238"/>
        <v>0.69980314960629919</v>
      </c>
      <c r="N130" s="309">
        <f t="shared" si="134"/>
        <v>0.3499015748031496</v>
      </c>
      <c r="O130" s="309">
        <f t="shared" si="124"/>
        <v>0.3499015748031496</v>
      </c>
      <c r="P130" s="327">
        <f t="shared" si="239"/>
        <v>187486.40000000002</v>
      </c>
      <c r="Q130" s="306">
        <f t="shared" si="125"/>
        <v>396240</v>
      </c>
      <c r="R130" s="309">
        <f t="shared" si="201"/>
        <v>0.4731637391479912</v>
      </c>
      <c r="S130" s="312">
        <f t="shared" si="248"/>
        <v>1832</v>
      </c>
      <c r="T130" s="295">
        <v>700</v>
      </c>
      <c r="U130" s="308" t="s">
        <v>413</v>
      </c>
      <c r="V130" s="310">
        <v>21.7</v>
      </c>
      <c r="W130" s="387">
        <f t="shared" si="135"/>
        <v>21.7</v>
      </c>
      <c r="X130" s="298">
        <v>29.6</v>
      </c>
      <c r="Y130" s="387">
        <f t="shared" si="136"/>
        <v>29.6</v>
      </c>
      <c r="Z130" s="420" t="s">
        <v>413</v>
      </c>
      <c r="AA130" s="310">
        <v>17.600000000000001</v>
      </c>
      <c r="AB130" s="310">
        <v>17.100000000000001</v>
      </c>
      <c r="AC130" s="312">
        <v>2</v>
      </c>
      <c r="AD130" s="325">
        <f t="shared" si="240"/>
        <v>2</v>
      </c>
      <c r="AE130" s="308" t="s">
        <v>413</v>
      </c>
      <c r="AF130" s="313">
        <f t="shared" si="241"/>
        <v>0.81209093304219504</v>
      </c>
      <c r="AG130" s="313">
        <f t="shared" si="242"/>
        <v>14.292800421542633</v>
      </c>
      <c r="AH130" s="313">
        <f t="shared" si="243"/>
        <v>13.886754955021535</v>
      </c>
      <c r="AI130" s="308">
        <f t="shared" si="244"/>
        <v>13.964686909718006</v>
      </c>
      <c r="AJ130" s="361" t="s">
        <v>413</v>
      </c>
      <c r="AK130" s="361" t="s">
        <v>769</v>
      </c>
      <c r="AL130" s="298">
        <f t="shared" si="249"/>
        <v>568</v>
      </c>
      <c r="AM130" s="298">
        <f t="shared" si="250"/>
        <v>1136</v>
      </c>
      <c r="AN130" s="306">
        <f t="shared" si="207"/>
        <v>3.5836866545527956E-3</v>
      </c>
      <c r="AO130" s="343">
        <v>400</v>
      </c>
      <c r="AP130" s="306">
        <f t="shared" si="208"/>
        <v>5.8624544700494061</v>
      </c>
      <c r="AQ130" s="343">
        <f t="shared" si="224"/>
        <v>1832</v>
      </c>
      <c r="AR130" s="361" t="s">
        <v>770</v>
      </c>
      <c r="AS130" s="311">
        <f>129+200</f>
        <v>329</v>
      </c>
      <c r="AT130" s="311" t="s">
        <v>413</v>
      </c>
      <c r="AU130" s="295">
        <v>0</v>
      </c>
      <c r="AV130" s="298" t="s">
        <v>581</v>
      </c>
      <c r="AW130" s="312">
        <f t="shared" si="245"/>
        <v>329</v>
      </c>
      <c r="AX130" s="306">
        <f t="shared" si="209"/>
        <v>1.1864834649644776E-3</v>
      </c>
      <c r="AY130" s="343">
        <v>400</v>
      </c>
      <c r="AZ130" s="306">
        <f t="shared" si="246"/>
        <v>0.47459338598579104</v>
      </c>
      <c r="BA130" s="298">
        <v>700</v>
      </c>
      <c r="BB130" s="298">
        <v>177</v>
      </c>
      <c r="BC130" s="309">
        <f t="shared" si="225"/>
        <v>0.44669897032101757</v>
      </c>
      <c r="BD130" s="313">
        <f t="shared" si="137"/>
        <v>3.1987754054848189E-2</v>
      </c>
      <c r="BE130" s="309">
        <f t="shared" si="210"/>
        <v>0.94406847643349046</v>
      </c>
      <c r="BF130" s="307" t="s">
        <v>413</v>
      </c>
      <c r="BG130" s="307" t="s">
        <v>413</v>
      </c>
      <c r="BH130" s="311">
        <v>192</v>
      </c>
      <c r="BI130" s="373">
        <v>0.94430000000000003</v>
      </c>
      <c r="BJ130" s="361">
        <f t="shared" si="126"/>
        <v>1</v>
      </c>
      <c r="BK130" s="312">
        <f t="shared" si="127"/>
        <v>1</v>
      </c>
      <c r="BL130" s="311">
        <f t="shared" si="247"/>
        <v>181.3056</v>
      </c>
      <c r="BM130" s="309">
        <f t="shared" si="203"/>
        <v>0.45756511205330103</v>
      </c>
      <c r="BN130" s="309">
        <f t="shared" si="196"/>
        <v>0.96703334215175052</v>
      </c>
      <c r="BO130" s="376"/>
      <c r="BP130" s="328">
        <f t="shared" si="139"/>
        <v>10.679961927103054</v>
      </c>
      <c r="BQ130" s="328">
        <f t="shared" si="128"/>
        <v>0.47459338598579104</v>
      </c>
      <c r="BR130" s="328">
        <f t="shared" si="146"/>
        <v>0.78858881267634495</v>
      </c>
      <c r="BS130" s="328">
        <f t="shared" si="140"/>
        <v>1.2181138957602426</v>
      </c>
      <c r="BT130" s="328">
        <f t="shared" si="141"/>
        <v>0.44669897032101757</v>
      </c>
      <c r="BU130" s="376"/>
      <c r="BV130" s="328">
        <f t="shared" si="129"/>
        <v>0.4731637391479912</v>
      </c>
      <c r="BW130" s="328">
        <f t="shared" si="130"/>
        <v>0.43737696850393698</v>
      </c>
      <c r="BX130" s="373">
        <f t="shared" si="142"/>
        <v>0.9343074360051441</v>
      </c>
      <c r="BY130" s="311">
        <f t="shared" si="131"/>
        <v>161073.44559316651</v>
      </c>
      <c r="BZ130" s="311">
        <f t="shared" si="132"/>
        <v>183367.68000000002</v>
      </c>
      <c r="CA130" s="311">
        <f t="shared" si="143"/>
        <v>224199.86668457888</v>
      </c>
      <c r="CB130" s="307">
        <f t="shared" si="144"/>
        <v>224.19986668457889</v>
      </c>
      <c r="CC130" s="309">
        <f t="shared" si="145"/>
        <v>0.56581835928876156</v>
      </c>
      <c r="CD130" s="379">
        <f t="shared" si="133"/>
        <v>0.80867844696390589</v>
      </c>
    </row>
    <row r="131" spans="1:82" x14ac:dyDescent="0.25">
      <c r="A131" s="315">
        <v>123</v>
      </c>
      <c r="B131" s="315" t="s">
        <v>555</v>
      </c>
      <c r="C131" s="315">
        <v>11</v>
      </c>
      <c r="D131" s="315" t="s">
        <v>676</v>
      </c>
      <c r="E131" s="315" t="s">
        <v>668</v>
      </c>
      <c r="F131" s="315" t="s">
        <v>485</v>
      </c>
      <c r="G131" s="321">
        <v>1422</v>
      </c>
      <c r="H131" s="321">
        <f t="shared" si="235"/>
        <v>711</v>
      </c>
      <c r="I131" s="321">
        <v>1422</v>
      </c>
      <c r="J131" s="316">
        <f t="shared" si="236"/>
        <v>2022084</v>
      </c>
      <c r="K131" s="321">
        <v>195</v>
      </c>
      <c r="L131" s="329">
        <f t="shared" si="237"/>
        <v>1137.6000000000001</v>
      </c>
      <c r="M131" s="319">
        <f t="shared" si="238"/>
        <v>1</v>
      </c>
      <c r="N131" s="319">
        <f t="shared" si="134"/>
        <v>0.5</v>
      </c>
      <c r="O131" s="319">
        <f t="shared" si="124"/>
        <v>0.5</v>
      </c>
      <c r="P131" s="329">
        <f t="shared" si="239"/>
        <v>146372.40000000002</v>
      </c>
      <c r="Q131" s="316">
        <f t="shared" si="125"/>
        <v>277290</v>
      </c>
      <c r="R131" s="319">
        <f t="shared" si="201"/>
        <v>0.52786757546251228</v>
      </c>
      <c r="S131" s="322">
        <f t="shared" si="248"/>
        <v>1222</v>
      </c>
      <c r="T131" s="294">
        <v>700</v>
      </c>
      <c r="U131" s="318" t="s">
        <v>413</v>
      </c>
      <c r="V131" s="320">
        <v>21.7</v>
      </c>
      <c r="W131" s="387">
        <f t="shared" si="135"/>
        <v>21.7</v>
      </c>
      <c r="X131" s="315">
        <v>29.6</v>
      </c>
      <c r="Y131" s="387">
        <f t="shared" si="136"/>
        <v>29.6</v>
      </c>
      <c r="Z131" s="421" t="s">
        <v>413</v>
      </c>
      <c r="AA131" s="320">
        <v>17.600000000000001</v>
      </c>
      <c r="AB131" s="320">
        <v>17.100000000000001</v>
      </c>
      <c r="AC131" s="322">
        <v>2</v>
      </c>
      <c r="AD131" s="326">
        <f t="shared" si="240"/>
        <v>2</v>
      </c>
      <c r="AE131" s="318" t="s">
        <v>413</v>
      </c>
      <c r="AF131" s="324">
        <f t="shared" si="241"/>
        <v>0.81209093304219504</v>
      </c>
      <c r="AG131" s="324">
        <f t="shared" si="242"/>
        <v>14.292800421542633</v>
      </c>
      <c r="AH131" s="324">
        <f t="shared" si="243"/>
        <v>13.886754955021535</v>
      </c>
      <c r="AI131" s="318">
        <f t="shared" si="244"/>
        <v>13.998117635712974</v>
      </c>
      <c r="AJ131" s="315" t="s">
        <v>413</v>
      </c>
      <c r="AK131" s="315" t="s">
        <v>769</v>
      </c>
      <c r="AL131" s="315">
        <f t="shared" si="249"/>
        <v>568</v>
      </c>
      <c r="AM131" s="315">
        <f t="shared" si="250"/>
        <v>1136</v>
      </c>
      <c r="AN131" s="316">
        <f t="shared" si="207"/>
        <v>5.1209924627646135E-3</v>
      </c>
      <c r="AO131" s="341">
        <v>400</v>
      </c>
      <c r="AP131" s="316">
        <f t="shared" si="208"/>
        <v>4.1025641025641022</v>
      </c>
      <c r="AQ131" s="341">
        <f t="shared" si="224"/>
        <v>1222</v>
      </c>
      <c r="AR131" s="315" t="s">
        <v>770</v>
      </c>
      <c r="AS131" s="321">
        <f>129+200</f>
        <v>329</v>
      </c>
      <c r="AT131" s="321" t="s">
        <v>413</v>
      </c>
      <c r="AU131" s="294">
        <v>0</v>
      </c>
      <c r="AV131" s="315" t="s">
        <v>581</v>
      </c>
      <c r="AW131" s="322">
        <f t="shared" si="245"/>
        <v>329</v>
      </c>
      <c r="AX131" s="316">
        <f t="shared" si="209"/>
        <v>1.1864834649644776E-3</v>
      </c>
      <c r="AY131" s="341">
        <v>400</v>
      </c>
      <c r="AZ131" s="316">
        <f t="shared" si="246"/>
        <v>0.47459338598579104</v>
      </c>
      <c r="BA131" s="315">
        <v>700</v>
      </c>
      <c r="BB131" s="315">
        <v>132</v>
      </c>
      <c r="BC131" s="319">
        <f t="shared" si="225"/>
        <v>0.47603591907389375</v>
      </c>
      <c r="BD131" s="324">
        <f t="shared" si="137"/>
        <v>3.4007138064006383E-2</v>
      </c>
      <c r="BE131" s="319">
        <f t="shared" si="210"/>
        <v>0.901809357501824</v>
      </c>
      <c r="BF131" s="317" t="s">
        <v>413</v>
      </c>
      <c r="BG131" s="317" t="s">
        <v>413</v>
      </c>
      <c r="BH131" s="321">
        <v>154</v>
      </c>
      <c r="BI131" s="373">
        <v>0.94430000000000003</v>
      </c>
      <c r="BJ131" s="315">
        <f t="shared" si="126"/>
        <v>1</v>
      </c>
      <c r="BK131" s="322">
        <f t="shared" si="127"/>
        <v>1</v>
      </c>
      <c r="BL131" s="321">
        <f t="shared" si="247"/>
        <v>145.4222</v>
      </c>
      <c r="BM131" s="319">
        <f t="shared" si="203"/>
        <v>0.52444083811172415</v>
      </c>
      <c r="BN131" s="319">
        <f t="shared" si="196"/>
        <v>0.99350833900380109</v>
      </c>
      <c r="BO131" s="376"/>
      <c r="BP131" s="330">
        <f t="shared" si="139"/>
        <v>7.4828116736192083</v>
      </c>
      <c r="BQ131" s="330">
        <f t="shared" si="128"/>
        <v>0.47459338598579104</v>
      </c>
      <c r="BR131" s="330">
        <f t="shared" si="146"/>
        <v>0.78858881267634495</v>
      </c>
      <c r="BS131" s="330">
        <f t="shared" si="140"/>
        <v>1.360569234127833</v>
      </c>
      <c r="BT131" s="330">
        <f t="shared" si="141"/>
        <v>0.47603591907389375</v>
      </c>
      <c r="BU131" s="376"/>
      <c r="BV131" s="328">
        <f t="shared" si="129"/>
        <v>0.5</v>
      </c>
      <c r="BW131" s="328">
        <f t="shared" si="130"/>
        <v>0.62499999999999989</v>
      </c>
      <c r="BX131" s="373">
        <f t="shared" si="142"/>
        <v>0.8231092840981129</v>
      </c>
      <c r="BY131" s="311">
        <f t="shared" si="131"/>
        <v>107795.98935502631</v>
      </c>
      <c r="BZ131" s="311">
        <f t="shared" si="132"/>
        <v>128321.28000000003</v>
      </c>
      <c r="CA131" s="311">
        <f t="shared" si="143"/>
        <v>165992.70791822966</v>
      </c>
      <c r="CB131" s="307">
        <f t="shared" si="144"/>
        <v>165.99270791822966</v>
      </c>
      <c r="CC131" s="309">
        <f t="shared" si="145"/>
        <v>0.59862493388953675</v>
      </c>
      <c r="CD131" s="379">
        <f t="shared" si="133"/>
        <v>0.87607583383504428</v>
      </c>
    </row>
    <row r="132" spans="1:82" x14ac:dyDescent="0.25">
      <c r="A132" s="305">
        <v>124</v>
      </c>
      <c r="B132" s="298" t="s">
        <v>50</v>
      </c>
      <c r="C132" s="298">
        <v>2</v>
      </c>
      <c r="D132" s="298" t="s">
        <v>676</v>
      </c>
      <c r="E132" s="298" t="s">
        <v>668</v>
      </c>
      <c r="F132" s="298" t="s">
        <v>485</v>
      </c>
      <c r="G132" s="311">
        <v>1422</v>
      </c>
      <c r="H132" s="311">
        <f t="shared" si="179"/>
        <v>711</v>
      </c>
      <c r="I132" s="311">
        <v>2845</v>
      </c>
      <c r="J132" s="306">
        <f t="shared" si="182"/>
        <v>4045590</v>
      </c>
      <c r="K132" s="311">
        <v>195</v>
      </c>
      <c r="L132" s="327">
        <f t="shared" si="204"/>
        <v>2276</v>
      </c>
      <c r="M132" s="309">
        <f t="shared" si="185"/>
        <v>0.49982425307557116</v>
      </c>
      <c r="N132" s="309">
        <f t="shared" si="134"/>
        <v>0.24991212653778558</v>
      </c>
      <c r="O132" s="309">
        <f t="shared" si="124"/>
        <v>0.24991212653778558</v>
      </c>
      <c r="P132" s="327">
        <f t="shared" si="239"/>
        <v>242282.6</v>
      </c>
      <c r="Q132" s="306">
        <f t="shared" si="125"/>
        <v>554775</v>
      </c>
      <c r="R132" s="309">
        <f t="shared" si="201"/>
        <v>0.43672227479608849</v>
      </c>
      <c r="S132" s="368">
        <f>I132-200</f>
        <v>2645</v>
      </c>
      <c r="T132" s="368">
        <f>G132</f>
        <v>1422</v>
      </c>
      <c r="U132" s="310">
        <v>23.3</v>
      </c>
      <c r="V132" s="310">
        <v>22.2</v>
      </c>
      <c r="W132" s="387">
        <f t="shared" si="135"/>
        <v>22.2</v>
      </c>
      <c r="X132" s="298">
        <v>28.2</v>
      </c>
      <c r="Y132" s="387">
        <f t="shared" si="136"/>
        <v>28.2</v>
      </c>
      <c r="Z132" s="420" t="s">
        <v>413</v>
      </c>
      <c r="AA132" s="310">
        <v>16.5</v>
      </c>
      <c r="AB132" s="310">
        <v>14.5</v>
      </c>
      <c r="AC132" s="312">
        <v>2</v>
      </c>
      <c r="AD132" s="325">
        <f t="shared" si="240"/>
        <v>2</v>
      </c>
      <c r="AE132" s="308" t="s">
        <v>413</v>
      </c>
      <c r="AF132" s="313">
        <f t="shared" si="98"/>
        <v>0.81209093304219504</v>
      </c>
      <c r="AG132" s="313">
        <f t="shared" si="242"/>
        <v>13.399500395196219</v>
      </c>
      <c r="AH132" s="313">
        <f t="shared" si="243"/>
        <v>11.775318529111829</v>
      </c>
      <c r="AI132" s="416">
        <f t="shared" si="244"/>
        <v>11.997965603900198</v>
      </c>
      <c r="AJ132" s="361" t="s">
        <v>413</v>
      </c>
      <c r="AK132" s="361" t="s">
        <v>769</v>
      </c>
      <c r="AL132" s="298">
        <f>2*284</f>
        <v>568</v>
      </c>
      <c r="AM132" s="298">
        <f>2*2*284</f>
        <v>1136</v>
      </c>
      <c r="AN132" s="306">
        <f t="shared" si="207"/>
        <v>2.559596232706953E-3</v>
      </c>
      <c r="AO132" s="343">
        <v>400</v>
      </c>
      <c r="AP132" s="306">
        <f t="shared" si="208"/>
        <v>8.2080132713044112</v>
      </c>
      <c r="AQ132" s="343">
        <f t="shared" si="224"/>
        <v>2645</v>
      </c>
      <c r="AR132" s="361" t="s">
        <v>413</v>
      </c>
      <c r="AS132" s="312">
        <v>0</v>
      </c>
      <c r="AT132" s="361" t="s">
        <v>760</v>
      </c>
      <c r="AU132" s="312">
        <f t="shared" ref="AU132:AU137" si="251">AX132*K132*G132</f>
        <v>155.2824</v>
      </c>
      <c r="AV132" s="307">
        <f t="shared" ref="AV132:AV137" si="252">2*PI()*3.97^2/4</f>
        <v>24.757163826981689</v>
      </c>
      <c r="AW132" s="312">
        <f t="shared" si="245"/>
        <v>155.2824</v>
      </c>
      <c r="AX132" s="295">
        <v>5.5999999999999995E-4</v>
      </c>
      <c r="AY132" s="343">
        <v>400</v>
      </c>
      <c r="AZ132" s="306">
        <f t="shared" ref="AZ132:AZ137" si="253">AX132*AY132</f>
        <v>0.22399999999999998</v>
      </c>
      <c r="BA132" s="298">
        <v>200</v>
      </c>
      <c r="BB132" s="298">
        <v>265</v>
      </c>
      <c r="BC132" s="309">
        <f t="shared" si="225"/>
        <v>0.47767112793474836</v>
      </c>
      <c r="BD132" s="313">
        <f t="shared" si="137"/>
        <v>3.9812676890778137E-2</v>
      </c>
      <c r="BE132" s="309">
        <f t="shared" si="210"/>
        <v>1.0937640589955695</v>
      </c>
      <c r="BF132" s="307" t="s">
        <v>413</v>
      </c>
      <c r="BG132" s="307" t="s">
        <v>413</v>
      </c>
      <c r="BH132" s="311">
        <v>261.3</v>
      </c>
      <c r="BI132" s="373">
        <v>0.94430000000000003</v>
      </c>
      <c r="BJ132" s="361">
        <f t="shared" si="126"/>
        <v>1</v>
      </c>
      <c r="BK132" s="312">
        <f t="shared" si="127"/>
        <v>1</v>
      </c>
      <c r="BL132" s="311">
        <f t="shared" si="234"/>
        <v>246.74559000000002</v>
      </c>
      <c r="BM132" s="309">
        <f t="shared" si="203"/>
        <v>0.44476695957820739</v>
      </c>
      <c r="BN132" s="309">
        <f t="shared" si="196"/>
        <v>1.0184205964439874</v>
      </c>
      <c r="BO132" s="376"/>
      <c r="BP132" s="328">
        <f t="shared" si="139"/>
        <v>13.860103592786698</v>
      </c>
      <c r="BQ132" s="328">
        <f t="shared" si="128"/>
        <v>0.22399999999999998</v>
      </c>
      <c r="BR132" s="328">
        <f t="shared" si="146"/>
        <v>0.76971386611659287</v>
      </c>
      <c r="BS132" s="328">
        <f t="shared" si="140"/>
        <v>0.7159507673560086</v>
      </c>
      <c r="BT132" s="328">
        <f t="shared" si="141"/>
        <v>0.47767112793474836</v>
      </c>
      <c r="BU132" s="376"/>
      <c r="BV132" s="328">
        <f t="shared" si="129"/>
        <v>0.43672227479608849</v>
      </c>
      <c r="BW132" s="328">
        <f t="shared" si="130"/>
        <v>0.31239015817223198</v>
      </c>
      <c r="BX132" s="373">
        <f t="shared" si="142"/>
        <v>0.93528902534460745</v>
      </c>
      <c r="BY132" s="311">
        <f t="shared" si="131"/>
        <v>210216.25615480676</v>
      </c>
      <c r="BZ132" s="311">
        <f t="shared" si="132"/>
        <v>424107.29087999999</v>
      </c>
      <c r="CA132" s="311">
        <f t="shared" si="143"/>
        <v>268550.52772924496</v>
      </c>
      <c r="CB132" s="307">
        <f t="shared" si="144"/>
        <v>268.55052772924495</v>
      </c>
      <c r="CC132" s="309">
        <f t="shared" si="145"/>
        <v>0.48407106976566167</v>
      </c>
      <c r="CD132" s="379">
        <f t="shared" si="133"/>
        <v>0.91880508329803445</v>
      </c>
    </row>
    <row r="133" spans="1:82" x14ac:dyDescent="0.25">
      <c r="A133" s="305">
        <v>125</v>
      </c>
      <c r="B133" s="298" t="s">
        <v>50</v>
      </c>
      <c r="C133" s="298">
        <v>4</v>
      </c>
      <c r="D133" s="298" t="s">
        <v>676</v>
      </c>
      <c r="E133" s="298" t="s">
        <v>668</v>
      </c>
      <c r="F133" s="298" t="s">
        <v>485</v>
      </c>
      <c r="G133" s="311">
        <v>1422</v>
      </c>
      <c r="H133" s="311">
        <f t="shared" si="179"/>
        <v>711</v>
      </c>
      <c r="I133" s="311">
        <v>2032</v>
      </c>
      <c r="J133" s="306">
        <f t="shared" si="182"/>
        <v>2889504</v>
      </c>
      <c r="K133" s="311">
        <v>195</v>
      </c>
      <c r="L133" s="327">
        <f t="shared" si="204"/>
        <v>1625.6000000000001</v>
      </c>
      <c r="M133" s="309">
        <f t="shared" si="185"/>
        <v>0.69980314960629919</v>
      </c>
      <c r="N133" s="309">
        <f t="shared" si="134"/>
        <v>0.3499015748031496</v>
      </c>
      <c r="O133" s="309">
        <f t="shared" si="124"/>
        <v>0.3499015748031496</v>
      </c>
      <c r="P133" s="327">
        <f t="shared" si="239"/>
        <v>187486.40000000002</v>
      </c>
      <c r="Q133" s="306">
        <f t="shared" si="125"/>
        <v>396240</v>
      </c>
      <c r="R133" s="309">
        <f t="shared" si="201"/>
        <v>0.4731637391479912</v>
      </c>
      <c r="S133" s="312">
        <f t="shared" ref="S133:S137" si="254">I133-200</f>
        <v>1832</v>
      </c>
      <c r="T133" s="312">
        <f t="shared" ref="T133:T137" si="255">G133</f>
        <v>1422</v>
      </c>
      <c r="U133" s="310">
        <v>23.3</v>
      </c>
      <c r="V133" s="310">
        <v>22.2</v>
      </c>
      <c r="W133" s="387">
        <f t="shared" si="135"/>
        <v>22.2</v>
      </c>
      <c r="X133" s="298">
        <v>28.2</v>
      </c>
      <c r="Y133" s="387">
        <f t="shared" si="136"/>
        <v>28.2</v>
      </c>
      <c r="Z133" s="420" t="s">
        <v>413</v>
      </c>
      <c r="AA133" s="310">
        <v>16.5</v>
      </c>
      <c r="AB133" s="310">
        <v>14.5</v>
      </c>
      <c r="AC133" s="312">
        <v>2</v>
      </c>
      <c r="AD133" s="325">
        <f t="shared" si="240"/>
        <v>2</v>
      </c>
      <c r="AE133" s="308" t="s">
        <v>413</v>
      </c>
      <c r="AF133" s="313">
        <f t="shared" si="98"/>
        <v>0.81209093304219504</v>
      </c>
      <c r="AG133" s="313">
        <f t="shared" si="242"/>
        <v>13.399500395196219</v>
      </c>
      <c r="AH133" s="313">
        <f t="shared" si="243"/>
        <v>11.775318529111829</v>
      </c>
      <c r="AI133" s="308">
        <f t="shared" si="244"/>
        <v>12.087046347897711</v>
      </c>
      <c r="AJ133" s="361" t="s">
        <v>413</v>
      </c>
      <c r="AK133" s="361" t="s">
        <v>769</v>
      </c>
      <c r="AL133" s="298">
        <f t="shared" si="249"/>
        <v>568</v>
      </c>
      <c r="AM133" s="298">
        <f t="shared" si="250"/>
        <v>1136</v>
      </c>
      <c r="AN133" s="306">
        <f t="shared" si="207"/>
        <v>3.5836866545527956E-3</v>
      </c>
      <c r="AO133" s="343">
        <v>400</v>
      </c>
      <c r="AP133" s="306">
        <f t="shared" si="208"/>
        <v>5.8624544700494061</v>
      </c>
      <c r="AQ133" s="343">
        <f t="shared" si="224"/>
        <v>1832</v>
      </c>
      <c r="AR133" s="361" t="s">
        <v>413</v>
      </c>
      <c r="AS133" s="312">
        <v>0</v>
      </c>
      <c r="AT133" s="361" t="s">
        <v>760</v>
      </c>
      <c r="AU133" s="312">
        <f t="shared" si="251"/>
        <v>155.2824</v>
      </c>
      <c r="AV133" s="307">
        <f t="shared" si="252"/>
        <v>24.757163826981689</v>
      </c>
      <c r="AW133" s="312">
        <f t="shared" si="245"/>
        <v>155.2824</v>
      </c>
      <c r="AX133" s="295">
        <v>5.5999999999999995E-4</v>
      </c>
      <c r="AY133" s="343">
        <v>400</v>
      </c>
      <c r="AZ133" s="306">
        <f t="shared" si="253"/>
        <v>0.22399999999999998</v>
      </c>
      <c r="BA133" s="298">
        <v>200</v>
      </c>
      <c r="BB133" s="298">
        <v>185.4</v>
      </c>
      <c r="BC133" s="309">
        <f t="shared" si="225"/>
        <v>0.46789824348879466</v>
      </c>
      <c r="BD133" s="313">
        <f>BC133/AI133</f>
        <v>3.8710718071348814E-2</v>
      </c>
      <c r="BE133" s="309">
        <f t="shared" si="210"/>
        <v>0.98887172616253749</v>
      </c>
      <c r="BF133" s="307" t="s">
        <v>413</v>
      </c>
      <c r="BG133" s="307" t="s">
        <v>413</v>
      </c>
      <c r="BH133" s="311">
        <v>253.5</v>
      </c>
      <c r="BI133" s="373">
        <v>0.94430000000000003</v>
      </c>
      <c r="BJ133" s="361">
        <f t="shared" si="126"/>
        <v>1</v>
      </c>
      <c r="BK133" s="312">
        <f t="shared" si="127"/>
        <v>1</v>
      </c>
      <c r="BL133" s="311">
        <f t="shared" si="234"/>
        <v>239.38005000000001</v>
      </c>
      <c r="BM133" s="309">
        <f t="shared" si="203"/>
        <v>0.60412893700787407</v>
      </c>
      <c r="BN133" s="309">
        <f t="shared" si="196"/>
        <v>1.2767862095597333</v>
      </c>
      <c r="BO133" s="376"/>
      <c r="BP133" s="328">
        <f t="shared" si="139"/>
        <v>9.9360597990147284</v>
      </c>
      <c r="BQ133" s="328">
        <f t="shared" si="128"/>
        <v>0.22399999999999998</v>
      </c>
      <c r="BR133" s="328">
        <f t="shared" si="146"/>
        <v>0.76971386611659287</v>
      </c>
      <c r="BS133" s="328">
        <f t="shared" si="140"/>
        <v>0.77856622203280879</v>
      </c>
      <c r="BT133" s="328">
        <f t="shared" si="141"/>
        <v>0.46789824348879466</v>
      </c>
      <c r="BU133" s="376"/>
      <c r="BV133" s="328">
        <f t="shared" si="129"/>
        <v>0.4731637391479912</v>
      </c>
      <c r="BW133" s="328">
        <f t="shared" si="130"/>
        <v>0.43737696850393698</v>
      </c>
      <c r="BX133" s="373">
        <f t="shared" si="142"/>
        <v>0.86922918060713983</v>
      </c>
      <c r="BY133" s="311">
        <f t="shared" si="131"/>
        <v>152306.05918709541</v>
      </c>
      <c r="BZ133" s="311">
        <f t="shared" si="132"/>
        <v>302912.483328</v>
      </c>
      <c r="CA133" s="311">
        <f t="shared" si="143"/>
        <v>208583.44791060136</v>
      </c>
      <c r="CB133" s="307">
        <f t="shared" si="144"/>
        <v>208.58344791060136</v>
      </c>
      <c r="CC133" s="309">
        <f t="shared" si="145"/>
        <v>0.52640684411114813</v>
      </c>
      <c r="CD133" s="379">
        <f t="shared" si="133"/>
        <v>1.147646433108144</v>
      </c>
    </row>
    <row r="134" spans="1:82" x14ac:dyDescent="0.25">
      <c r="A134" s="305">
        <v>126</v>
      </c>
      <c r="B134" s="298" t="s">
        <v>50</v>
      </c>
      <c r="C134" s="298">
        <v>6</v>
      </c>
      <c r="D134" s="298" t="s">
        <v>676</v>
      </c>
      <c r="E134" s="298" t="s">
        <v>668</v>
      </c>
      <c r="F134" s="298" t="s">
        <v>485</v>
      </c>
      <c r="G134" s="311">
        <v>1422</v>
      </c>
      <c r="H134" s="311">
        <f t="shared" si="179"/>
        <v>711</v>
      </c>
      <c r="I134" s="311">
        <v>1422</v>
      </c>
      <c r="J134" s="306">
        <f t="shared" si="182"/>
        <v>2022084</v>
      </c>
      <c r="K134" s="311">
        <v>195</v>
      </c>
      <c r="L134" s="327">
        <f t="shared" si="204"/>
        <v>1137.6000000000001</v>
      </c>
      <c r="M134" s="309">
        <f t="shared" si="185"/>
        <v>1</v>
      </c>
      <c r="N134" s="309">
        <f t="shared" si="134"/>
        <v>0.5</v>
      </c>
      <c r="O134" s="309">
        <f t="shared" si="124"/>
        <v>0.5</v>
      </c>
      <c r="P134" s="327">
        <f t="shared" si="239"/>
        <v>146372.40000000002</v>
      </c>
      <c r="Q134" s="306">
        <f t="shared" si="125"/>
        <v>277290</v>
      </c>
      <c r="R134" s="309">
        <f t="shared" si="201"/>
        <v>0.52786757546251228</v>
      </c>
      <c r="S134" s="312">
        <f t="shared" si="254"/>
        <v>1222</v>
      </c>
      <c r="T134" s="312">
        <f t="shared" si="255"/>
        <v>1422</v>
      </c>
      <c r="U134" s="310">
        <v>23.3</v>
      </c>
      <c r="V134" s="310">
        <v>22.2</v>
      </c>
      <c r="W134" s="387">
        <f t="shared" si="135"/>
        <v>22.2</v>
      </c>
      <c r="X134" s="298">
        <v>28.2</v>
      </c>
      <c r="Y134" s="387">
        <f t="shared" si="136"/>
        <v>28.2</v>
      </c>
      <c r="Z134" s="420" t="s">
        <v>413</v>
      </c>
      <c r="AA134" s="310">
        <v>16.5</v>
      </c>
      <c r="AB134" s="310">
        <v>14.5</v>
      </c>
      <c r="AC134" s="312">
        <v>2</v>
      </c>
      <c r="AD134" s="325">
        <f t="shared" si="240"/>
        <v>2</v>
      </c>
      <c r="AE134" s="308" t="s">
        <v>413</v>
      </c>
      <c r="AF134" s="313">
        <f t="shared" si="98"/>
        <v>0.81209093304219504</v>
      </c>
      <c r="AG134" s="313">
        <f t="shared" si="242"/>
        <v>13.399500395196219</v>
      </c>
      <c r="AH134" s="313">
        <f t="shared" si="243"/>
        <v>11.775318529111829</v>
      </c>
      <c r="AI134" s="308">
        <f t="shared" si="244"/>
        <v>12.22076925187759</v>
      </c>
      <c r="AJ134" s="361" t="s">
        <v>413</v>
      </c>
      <c r="AK134" s="361" t="s">
        <v>769</v>
      </c>
      <c r="AL134" s="298">
        <f t="shared" si="249"/>
        <v>568</v>
      </c>
      <c r="AM134" s="298">
        <f t="shared" si="250"/>
        <v>1136</v>
      </c>
      <c r="AN134" s="306">
        <f t="shared" si="207"/>
        <v>5.1209924627646135E-3</v>
      </c>
      <c r="AO134" s="343">
        <v>400</v>
      </c>
      <c r="AP134" s="306">
        <f t="shared" si="208"/>
        <v>4.1025641025641022</v>
      </c>
      <c r="AQ134" s="343">
        <f t="shared" si="224"/>
        <v>1222</v>
      </c>
      <c r="AR134" s="361" t="s">
        <v>413</v>
      </c>
      <c r="AS134" s="312">
        <v>0</v>
      </c>
      <c r="AT134" s="361" t="s">
        <v>760</v>
      </c>
      <c r="AU134" s="312">
        <f t="shared" si="251"/>
        <v>155.2824</v>
      </c>
      <c r="AV134" s="307">
        <f t="shared" si="252"/>
        <v>24.757163826981689</v>
      </c>
      <c r="AW134" s="312">
        <f t="shared" si="245"/>
        <v>155.2824</v>
      </c>
      <c r="AX134" s="295">
        <v>5.5999999999999995E-4</v>
      </c>
      <c r="AY134" s="343">
        <v>400</v>
      </c>
      <c r="AZ134" s="306">
        <f t="shared" si="253"/>
        <v>0.22399999999999998</v>
      </c>
      <c r="BA134" s="298">
        <v>200</v>
      </c>
      <c r="BB134" s="298">
        <v>130.19999999999999</v>
      </c>
      <c r="BC134" s="309">
        <f t="shared" si="225"/>
        <v>0.46954452017743153</v>
      </c>
      <c r="BD134" s="313">
        <f t="shared" si="137"/>
        <v>3.8421846489351812E-2</v>
      </c>
      <c r="BE134" s="309">
        <f t="shared" si="210"/>
        <v>0.88951195717225351</v>
      </c>
      <c r="BF134" s="307" t="s">
        <v>413</v>
      </c>
      <c r="BG134" s="307" t="s">
        <v>413</v>
      </c>
      <c r="BH134" s="311">
        <v>175.9</v>
      </c>
      <c r="BI134" s="373">
        <v>0.94430000000000003</v>
      </c>
      <c r="BJ134" s="361">
        <f t="shared" si="126"/>
        <v>1</v>
      </c>
      <c r="BK134" s="312">
        <f t="shared" si="127"/>
        <v>1</v>
      </c>
      <c r="BL134" s="311">
        <f t="shared" si="234"/>
        <v>166.10237000000001</v>
      </c>
      <c r="BM134" s="309">
        <f t="shared" si="203"/>
        <v>0.59902041184319677</v>
      </c>
      <c r="BN134" s="309">
        <f t="shared" si="196"/>
        <v>1.1347929664335625</v>
      </c>
      <c r="BO134" s="376"/>
      <c r="BP134" s="328">
        <f t="shared" si="139"/>
        <v>6.9916433695884663</v>
      </c>
      <c r="BQ134" s="328">
        <f t="shared" si="128"/>
        <v>0.22399999999999998</v>
      </c>
      <c r="BR134" s="328">
        <f t="shared" si="146"/>
        <v>0.76971386611659276</v>
      </c>
      <c r="BS134" s="328">
        <f t="shared" si="140"/>
        <v>0.87336999449615038</v>
      </c>
      <c r="BT134" s="328">
        <f t="shared" si="141"/>
        <v>0.46954452017743153</v>
      </c>
      <c r="BU134" s="376"/>
      <c r="BV134" s="328">
        <f t="shared" si="129"/>
        <v>0.5</v>
      </c>
      <c r="BW134" s="328">
        <f t="shared" si="130"/>
        <v>0.62499999999999989</v>
      </c>
      <c r="BX134" s="373">
        <f t="shared" si="142"/>
        <v>0.76908077065473135</v>
      </c>
      <c r="BY134" s="311">
        <f t="shared" si="131"/>
        <v>101578.36275794019</v>
      </c>
      <c r="BZ134" s="311">
        <f t="shared" si="132"/>
        <v>211979.10988800001</v>
      </c>
      <c r="CA134" s="311">
        <f t="shared" si="143"/>
        <v>155097.02319625492</v>
      </c>
      <c r="CB134" s="307">
        <f t="shared" si="144"/>
        <v>155.09702319625492</v>
      </c>
      <c r="CC134" s="309">
        <f t="shared" si="145"/>
        <v>0.55933146956707758</v>
      </c>
      <c r="CD134" s="379">
        <f t="shared" si="133"/>
        <v>1.070957820962297</v>
      </c>
    </row>
    <row r="135" spans="1:82" x14ac:dyDescent="0.25">
      <c r="A135" s="305">
        <v>127</v>
      </c>
      <c r="B135" s="298" t="s">
        <v>50</v>
      </c>
      <c r="C135" s="298">
        <v>8</v>
      </c>
      <c r="D135" s="298" t="s">
        <v>676</v>
      </c>
      <c r="E135" s="298" t="s">
        <v>668</v>
      </c>
      <c r="F135" s="298" t="s">
        <v>485</v>
      </c>
      <c r="G135" s="311">
        <v>1422</v>
      </c>
      <c r="H135" s="311">
        <f t="shared" si="179"/>
        <v>711</v>
      </c>
      <c r="I135" s="311">
        <v>2845</v>
      </c>
      <c r="J135" s="306">
        <f t="shared" si="182"/>
        <v>4045590</v>
      </c>
      <c r="K135" s="311">
        <v>195</v>
      </c>
      <c r="L135" s="327">
        <f t="shared" si="204"/>
        <v>2276</v>
      </c>
      <c r="M135" s="309">
        <f t="shared" si="185"/>
        <v>0.49982425307557116</v>
      </c>
      <c r="N135" s="309">
        <f t="shared" si="134"/>
        <v>0.24991212653778558</v>
      </c>
      <c r="O135" s="309">
        <f t="shared" si="124"/>
        <v>0.24991212653778558</v>
      </c>
      <c r="P135" s="327">
        <f t="shared" si="239"/>
        <v>242282.6</v>
      </c>
      <c r="Q135" s="306">
        <f t="shared" si="125"/>
        <v>554775</v>
      </c>
      <c r="R135" s="309">
        <f t="shared" si="201"/>
        <v>0.43672227479608849</v>
      </c>
      <c r="S135" s="312">
        <f t="shared" si="254"/>
        <v>2645</v>
      </c>
      <c r="T135" s="312">
        <f t="shared" si="255"/>
        <v>1422</v>
      </c>
      <c r="U135" s="310">
        <v>23.3</v>
      </c>
      <c r="V135" s="310">
        <v>22.2</v>
      </c>
      <c r="W135" s="387">
        <f t="shared" si="135"/>
        <v>22.2</v>
      </c>
      <c r="X135" s="298">
        <v>28.2</v>
      </c>
      <c r="Y135" s="387">
        <f t="shared" si="136"/>
        <v>28.2</v>
      </c>
      <c r="Z135" s="420" t="s">
        <v>413</v>
      </c>
      <c r="AA135" s="310">
        <v>16.5</v>
      </c>
      <c r="AB135" s="310">
        <v>14.5</v>
      </c>
      <c r="AC135" s="312">
        <v>2</v>
      </c>
      <c r="AD135" s="325">
        <f t="shared" si="240"/>
        <v>2</v>
      </c>
      <c r="AE135" s="308" t="s">
        <v>413</v>
      </c>
      <c r="AF135" s="313">
        <f t="shared" si="98"/>
        <v>0.81209093304219504</v>
      </c>
      <c r="AG135" s="313">
        <f t="shared" si="242"/>
        <v>13.399500395196219</v>
      </c>
      <c r="AH135" s="313">
        <f t="shared" si="243"/>
        <v>11.775318529111829</v>
      </c>
      <c r="AI135" s="308">
        <f t="shared" si="244"/>
        <v>11.997965603900198</v>
      </c>
      <c r="AJ135" s="361" t="s">
        <v>413</v>
      </c>
      <c r="AK135" s="361" t="s">
        <v>769</v>
      </c>
      <c r="AL135" s="298">
        <f t="shared" si="249"/>
        <v>568</v>
      </c>
      <c r="AM135" s="298">
        <f t="shared" si="250"/>
        <v>1136</v>
      </c>
      <c r="AN135" s="306">
        <f t="shared" si="207"/>
        <v>2.559596232706953E-3</v>
      </c>
      <c r="AO135" s="343">
        <v>400</v>
      </c>
      <c r="AP135" s="306">
        <f t="shared" si="208"/>
        <v>8.2080132713044112</v>
      </c>
      <c r="AQ135" s="343">
        <f t="shared" si="224"/>
        <v>2645</v>
      </c>
      <c r="AR135" s="361" t="s">
        <v>413</v>
      </c>
      <c r="AS135" s="312">
        <v>0</v>
      </c>
      <c r="AT135" s="361" t="s">
        <v>760</v>
      </c>
      <c r="AU135" s="312">
        <f t="shared" si="251"/>
        <v>305.01900000000006</v>
      </c>
      <c r="AV135" s="307">
        <f t="shared" si="252"/>
        <v>24.757163826981689</v>
      </c>
      <c r="AW135" s="312">
        <f t="shared" si="245"/>
        <v>305.01900000000006</v>
      </c>
      <c r="AX135" s="295">
        <v>1.1000000000000001E-3</v>
      </c>
      <c r="AY135" s="343">
        <v>400</v>
      </c>
      <c r="AZ135" s="306">
        <f t="shared" si="253"/>
        <v>0.44</v>
      </c>
      <c r="BA135" s="298">
        <v>200</v>
      </c>
      <c r="BB135" s="298">
        <v>265.5</v>
      </c>
      <c r="BC135" s="309">
        <f t="shared" si="225"/>
        <v>0.47857239421387049</v>
      </c>
      <c r="BD135" s="313">
        <f t="shared" si="137"/>
        <v>3.988779514906262E-2</v>
      </c>
      <c r="BE135" s="309">
        <f t="shared" si="210"/>
        <v>1.0958277647672594</v>
      </c>
      <c r="BF135" s="307" t="s">
        <v>413</v>
      </c>
      <c r="BG135" s="307" t="s">
        <v>413</v>
      </c>
      <c r="BH135" s="311">
        <v>243.4</v>
      </c>
      <c r="BI135" s="373">
        <v>0.94430000000000003</v>
      </c>
      <c r="BJ135" s="361">
        <f t="shared" si="126"/>
        <v>1</v>
      </c>
      <c r="BK135" s="312">
        <f t="shared" si="127"/>
        <v>1</v>
      </c>
      <c r="BL135" s="311">
        <f t="shared" si="234"/>
        <v>229.84262000000001</v>
      </c>
      <c r="BM135" s="309">
        <f t="shared" si="203"/>
        <v>0.41429880582218021</v>
      </c>
      <c r="BN135" s="309">
        <f t="shared" si="196"/>
        <v>0.9486550829485898</v>
      </c>
      <c r="BO135" s="376"/>
      <c r="BP135" s="328">
        <f t="shared" si="139"/>
        <v>13.860103592786698</v>
      </c>
      <c r="BQ135" s="328">
        <f t="shared" si="128"/>
        <v>0.44</v>
      </c>
      <c r="BR135" s="328">
        <f t="shared" si="146"/>
        <v>0.76971386611659287</v>
      </c>
      <c r="BS135" s="328">
        <f t="shared" si="140"/>
        <v>1.0034263189241572</v>
      </c>
      <c r="BT135" s="328">
        <f t="shared" si="141"/>
        <v>0.47857239421387049</v>
      </c>
      <c r="BU135" s="376"/>
      <c r="BV135" s="328">
        <f t="shared" si="129"/>
        <v>0.43672227479608849</v>
      </c>
      <c r="BW135" s="328">
        <f t="shared" si="130"/>
        <v>0.31239015817223198</v>
      </c>
      <c r="BX135" s="373">
        <f t="shared" si="142"/>
        <v>0.93528902534460745</v>
      </c>
      <c r="BY135" s="311">
        <f t="shared" si="131"/>
        <v>210270.84643915627</v>
      </c>
      <c r="BZ135" s="311">
        <f t="shared" si="132"/>
        <v>833067.89280000015</v>
      </c>
      <c r="CA135" s="311">
        <f t="shared" si="143"/>
        <v>268550.52772924496</v>
      </c>
      <c r="CB135" s="307">
        <f t="shared" si="144"/>
        <v>268.55052772924495</v>
      </c>
      <c r="CC135" s="309">
        <f t="shared" si="145"/>
        <v>0.48407106976566167</v>
      </c>
      <c r="CD135" s="379">
        <f t="shared" si="133"/>
        <v>0.85586359462204964</v>
      </c>
    </row>
    <row r="136" spans="1:82" x14ac:dyDescent="0.25">
      <c r="A136" s="305">
        <v>128</v>
      </c>
      <c r="B136" s="298" t="s">
        <v>50</v>
      </c>
      <c r="C136" s="298">
        <v>10</v>
      </c>
      <c r="D136" s="298" t="s">
        <v>676</v>
      </c>
      <c r="E136" s="298" t="s">
        <v>668</v>
      </c>
      <c r="F136" s="298" t="s">
        <v>485</v>
      </c>
      <c r="G136" s="311">
        <v>1422</v>
      </c>
      <c r="H136" s="311">
        <f t="shared" si="179"/>
        <v>711</v>
      </c>
      <c r="I136" s="311">
        <v>2032</v>
      </c>
      <c r="J136" s="306">
        <f t="shared" si="182"/>
        <v>2889504</v>
      </c>
      <c r="K136" s="311">
        <v>195</v>
      </c>
      <c r="L136" s="327">
        <f t="shared" si="204"/>
        <v>1625.6000000000001</v>
      </c>
      <c r="M136" s="309">
        <f t="shared" si="185"/>
        <v>0.69980314960629919</v>
      </c>
      <c r="N136" s="309">
        <f t="shared" si="134"/>
        <v>0.3499015748031496</v>
      </c>
      <c r="O136" s="309">
        <f t="shared" si="124"/>
        <v>0.3499015748031496</v>
      </c>
      <c r="P136" s="327">
        <f t="shared" si="239"/>
        <v>187486.40000000002</v>
      </c>
      <c r="Q136" s="306">
        <f t="shared" si="125"/>
        <v>396240</v>
      </c>
      <c r="R136" s="309">
        <f t="shared" si="201"/>
        <v>0.4731637391479912</v>
      </c>
      <c r="S136" s="312">
        <f t="shared" si="254"/>
        <v>1832</v>
      </c>
      <c r="T136" s="312">
        <f t="shared" si="255"/>
        <v>1422</v>
      </c>
      <c r="U136" s="310">
        <v>23.3</v>
      </c>
      <c r="V136" s="310">
        <v>22.2</v>
      </c>
      <c r="W136" s="387">
        <f t="shared" si="135"/>
        <v>22.2</v>
      </c>
      <c r="X136" s="298">
        <v>28.2</v>
      </c>
      <c r="Y136" s="387">
        <f t="shared" si="136"/>
        <v>28.2</v>
      </c>
      <c r="Z136" s="420" t="s">
        <v>413</v>
      </c>
      <c r="AA136" s="310">
        <v>16.5</v>
      </c>
      <c r="AB136" s="310">
        <v>14.5</v>
      </c>
      <c r="AC136" s="312">
        <v>2</v>
      </c>
      <c r="AD136" s="325">
        <f t="shared" si="240"/>
        <v>2</v>
      </c>
      <c r="AE136" s="308" t="s">
        <v>413</v>
      </c>
      <c r="AF136" s="313">
        <f t="shared" si="98"/>
        <v>0.81209093304219504</v>
      </c>
      <c r="AG136" s="313">
        <f t="shared" si="242"/>
        <v>13.399500395196219</v>
      </c>
      <c r="AH136" s="313">
        <f t="shared" si="243"/>
        <v>11.775318529111829</v>
      </c>
      <c r="AI136" s="308">
        <f t="shared" si="244"/>
        <v>12.087046347897711</v>
      </c>
      <c r="AJ136" s="361" t="s">
        <v>413</v>
      </c>
      <c r="AK136" s="361" t="s">
        <v>769</v>
      </c>
      <c r="AL136" s="298">
        <f t="shared" si="249"/>
        <v>568</v>
      </c>
      <c r="AM136" s="298">
        <f t="shared" si="250"/>
        <v>1136</v>
      </c>
      <c r="AN136" s="306">
        <f t="shared" si="207"/>
        <v>3.5836866545527956E-3</v>
      </c>
      <c r="AO136" s="343">
        <v>400</v>
      </c>
      <c r="AP136" s="306">
        <f t="shared" si="208"/>
        <v>5.8624544700494061</v>
      </c>
      <c r="AQ136" s="343">
        <f t="shared" si="224"/>
        <v>1832</v>
      </c>
      <c r="AR136" s="361" t="s">
        <v>413</v>
      </c>
      <c r="AS136" s="312">
        <v>0</v>
      </c>
      <c r="AT136" s="361" t="s">
        <v>760</v>
      </c>
      <c r="AU136" s="312">
        <f t="shared" si="251"/>
        <v>305.01900000000006</v>
      </c>
      <c r="AV136" s="307">
        <f t="shared" si="252"/>
        <v>24.757163826981689</v>
      </c>
      <c r="AW136" s="312">
        <f t="shared" si="245"/>
        <v>305.01900000000006</v>
      </c>
      <c r="AX136" s="295">
        <v>1.1000000000000001E-3</v>
      </c>
      <c r="AY136" s="343">
        <v>400</v>
      </c>
      <c r="AZ136" s="306">
        <f t="shared" si="253"/>
        <v>0.44</v>
      </c>
      <c r="BA136" s="298">
        <v>200</v>
      </c>
      <c r="BB136" s="298">
        <v>187.6</v>
      </c>
      <c r="BC136" s="309">
        <f t="shared" si="225"/>
        <v>0.47345043408035531</v>
      </c>
      <c r="BD136" s="313">
        <f>BC136/AI136</f>
        <v>3.9170068555474856E-2</v>
      </c>
      <c r="BE136" s="309">
        <f t="shared" si="210"/>
        <v>1.0006059106153831</v>
      </c>
      <c r="BF136" s="307" t="s">
        <v>413</v>
      </c>
      <c r="BG136" s="307" t="s">
        <v>413</v>
      </c>
      <c r="BH136" s="311">
        <v>270.3</v>
      </c>
      <c r="BI136" s="373">
        <v>0.94430000000000003</v>
      </c>
      <c r="BJ136" s="361">
        <f t="shared" si="126"/>
        <v>1</v>
      </c>
      <c r="BK136" s="312">
        <f t="shared" si="127"/>
        <v>1</v>
      </c>
      <c r="BL136" s="311">
        <f t="shared" si="234"/>
        <v>255.24429000000001</v>
      </c>
      <c r="BM136" s="309">
        <f t="shared" si="203"/>
        <v>0.64416588431253785</v>
      </c>
      <c r="BN136" s="309">
        <f t="shared" si="196"/>
        <v>1.3614016269980114</v>
      </c>
      <c r="BO136" s="376"/>
      <c r="BP136" s="328">
        <f t="shared" si="139"/>
        <v>9.9360597990147284</v>
      </c>
      <c r="BQ136" s="328">
        <f t="shared" si="128"/>
        <v>0.44</v>
      </c>
      <c r="BR136" s="328">
        <f t="shared" si="146"/>
        <v>0.76971386611659287</v>
      </c>
      <c r="BS136" s="328">
        <f t="shared" si="140"/>
        <v>1.0911837431198654</v>
      </c>
      <c r="BT136" s="328">
        <f t="shared" si="141"/>
        <v>0.47345043408035531</v>
      </c>
      <c r="BU136" s="376"/>
      <c r="BV136" s="328">
        <f t="shared" si="129"/>
        <v>0.4731637391479912</v>
      </c>
      <c r="BW136" s="328">
        <f t="shared" si="130"/>
        <v>0.43737696850393698</v>
      </c>
      <c r="BX136" s="373">
        <f t="shared" si="142"/>
        <v>0.86922918060713983</v>
      </c>
      <c r="BY136" s="311">
        <f t="shared" si="131"/>
        <v>152566.2992436268</v>
      </c>
      <c r="BZ136" s="311">
        <f t="shared" si="132"/>
        <v>595006.66368000011</v>
      </c>
      <c r="CA136" s="311">
        <f t="shared" si="143"/>
        <v>208583.44791060136</v>
      </c>
      <c r="CB136" s="307">
        <f t="shared" si="144"/>
        <v>208.58344791060136</v>
      </c>
      <c r="CC136" s="309">
        <f t="shared" si="145"/>
        <v>0.52640684411114813</v>
      </c>
      <c r="CD136" s="379">
        <f t="shared" si="133"/>
        <v>1.2237034748289204</v>
      </c>
    </row>
    <row r="137" spans="1:82" x14ac:dyDescent="0.25">
      <c r="A137" s="315">
        <v>129</v>
      </c>
      <c r="B137" s="315" t="s">
        <v>50</v>
      </c>
      <c r="C137" s="315">
        <v>12</v>
      </c>
      <c r="D137" s="315" t="s">
        <v>676</v>
      </c>
      <c r="E137" s="315" t="s">
        <v>668</v>
      </c>
      <c r="F137" s="315" t="s">
        <v>485</v>
      </c>
      <c r="G137" s="321">
        <v>1422</v>
      </c>
      <c r="H137" s="321">
        <f t="shared" si="179"/>
        <v>711</v>
      </c>
      <c r="I137" s="321">
        <v>1422</v>
      </c>
      <c r="J137" s="316">
        <f t="shared" si="182"/>
        <v>2022084</v>
      </c>
      <c r="K137" s="321">
        <v>195</v>
      </c>
      <c r="L137" s="329">
        <f t="shared" si="204"/>
        <v>1137.6000000000001</v>
      </c>
      <c r="M137" s="319">
        <f t="shared" si="185"/>
        <v>1</v>
      </c>
      <c r="N137" s="319">
        <f t="shared" si="134"/>
        <v>0.5</v>
      </c>
      <c r="O137" s="319">
        <f t="shared" ref="O137:O200" si="256">H137/I137</f>
        <v>0.5</v>
      </c>
      <c r="P137" s="329">
        <f t="shared" si="239"/>
        <v>146372.40000000002</v>
      </c>
      <c r="Q137" s="316">
        <f t="shared" ref="Q137:Q200" si="257">K137*I137</f>
        <v>277290</v>
      </c>
      <c r="R137" s="319">
        <f t="shared" si="201"/>
        <v>0.52786757546251228</v>
      </c>
      <c r="S137" s="322">
        <f t="shared" si="254"/>
        <v>1222</v>
      </c>
      <c r="T137" s="322">
        <f t="shared" si="255"/>
        <v>1422</v>
      </c>
      <c r="U137" s="320">
        <v>23.3</v>
      </c>
      <c r="V137" s="320">
        <v>22.2</v>
      </c>
      <c r="W137" s="387">
        <f t="shared" si="135"/>
        <v>22.2</v>
      </c>
      <c r="X137" s="315">
        <v>28.2</v>
      </c>
      <c r="Y137" s="387">
        <f t="shared" si="136"/>
        <v>28.2</v>
      </c>
      <c r="Z137" s="421" t="s">
        <v>413</v>
      </c>
      <c r="AA137" s="320">
        <v>16.5</v>
      </c>
      <c r="AB137" s="320">
        <v>14.5</v>
      </c>
      <c r="AC137" s="322">
        <v>2</v>
      </c>
      <c r="AD137" s="326">
        <f t="shared" si="240"/>
        <v>2</v>
      </c>
      <c r="AE137" s="318" t="s">
        <v>413</v>
      </c>
      <c r="AF137" s="324">
        <f t="shared" si="98"/>
        <v>0.81209093304219504</v>
      </c>
      <c r="AG137" s="324">
        <f t="shared" si="242"/>
        <v>13.399500395196219</v>
      </c>
      <c r="AH137" s="324">
        <f t="shared" si="243"/>
        <v>11.775318529111829</v>
      </c>
      <c r="AI137" s="318">
        <f t="shared" si="244"/>
        <v>12.22076925187759</v>
      </c>
      <c r="AJ137" s="315" t="s">
        <v>413</v>
      </c>
      <c r="AK137" s="315" t="s">
        <v>769</v>
      </c>
      <c r="AL137" s="315">
        <f t="shared" si="249"/>
        <v>568</v>
      </c>
      <c r="AM137" s="315">
        <f t="shared" si="250"/>
        <v>1136</v>
      </c>
      <c r="AN137" s="316">
        <f t="shared" si="207"/>
        <v>5.1209924627646135E-3</v>
      </c>
      <c r="AO137" s="341">
        <v>400</v>
      </c>
      <c r="AP137" s="316">
        <f t="shared" si="208"/>
        <v>4.1025641025641022</v>
      </c>
      <c r="AQ137" s="341">
        <f t="shared" si="224"/>
        <v>1222</v>
      </c>
      <c r="AR137" s="315" t="s">
        <v>413</v>
      </c>
      <c r="AS137" s="322">
        <v>0</v>
      </c>
      <c r="AT137" s="315" t="s">
        <v>760</v>
      </c>
      <c r="AU137" s="322">
        <f t="shared" si="251"/>
        <v>305.01900000000006</v>
      </c>
      <c r="AV137" s="317">
        <f t="shared" si="252"/>
        <v>24.757163826981689</v>
      </c>
      <c r="AW137" s="322">
        <f t="shared" si="245"/>
        <v>305.01900000000006</v>
      </c>
      <c r="AX137" s="294">
        <v>1.1000000000000001E-3</v>
      </c>
      <c r="AY137" s="341">
        <v>400</v>
      </c>
      <c r="AZ137" s="316">
        <f t="shared" si="253"/>
        <v>0.44</v>
      </c>
      <c r="BA137" s="315">
        <v>200</v>
      </c>
      <c r="BB137" s="315">
        <v>133.19999999999999</v>
      </c>
      <c r="BC137" s="319">
        <f t="shared" si="225"/>
        <v>0.48036351833820184</v>
      </c>
      <c r="BD137" s="324">
        <f t="shared" si="137"/>
        <v>3.930714249141061E-2</v>
      </c>
      <c r="BE137" s="319">
        <f t="shared" si="210"/>
        <v>0.91000762438820415</v>
      </c>
      <c r="BF137" s="317" t="s">
        <v>413</v>
      </c>
      <c r="BG137" s="317" t="s">
        <v>413</v>
      </c>
      <c r="BH137" s="321">
        <v>211.3</v>
      </c>
      <c r="BI137" s="373">
        <v>0.94430000000000003</v>
      </c>
      <c r="BJ137" s="315">
        <f t="shared" ref="BJ137:BJ200" si="258">IF(D137="Monotonic",0.814,1)</f>
        <v>1</v>
      </c>
      <c r="BK137" s="322">
        <f t="shared" ref="BK137:BK200" si="259">IF(E137="Dynamic",0.9,1)</f>
        <v>1</v>
      </c>
      <c r="BL137" s="321">
        <f t="shared" si="234"/>
        <v>199.53059000000002</v>
      </c>
      <c r="BM137" s="319">
        <f t="shared" si="203"/>
        <v>0.71957369540913851</v>
      </c>
      <c r="BN137" s="319">
        <f t="shared" si="196"/>
        <v>1.3631708573474233</v>
      </c>
      <c r="BO137" s="376"/>
      <c r="BP137" s="330">
        <f t="shared" si="139"/>
        <v>6.9916433695884663</v>
      </c>
      <c r="BQ137" s="330">
        <f t="shared" ref="BQ137:BQ200" si="260">AZ137</f>
        <v>0.44</v>
      </c>
      <c r="BR137" s="330">
        <f t="shared" si="146"/>
        <v>0.76971386611659276</v>
      </c>
      <c r="BS137" s="330">
        <f t="shared" si="140"/>
        <v>1.2240540531473583</v>
      </c>
      <c r="BT137" s="330">
        <f t="shared" si="141"/>
        <v>0.48036351833820184</v>
      </c>
      <c r="BU137" s="376"/>
      <c r="BV137" s="328">
        <f t="shared" ref="BV137:BV200" si="261">IF(R137&gt;0.5,0.5,R137)</f>
        <v>0.5</v>
      </c>
      <c r="BW137" s="328">
        <f t="shared" ref="BW137:BW200" si="262">IF(N137*I137/L137&gt;1,1,IF(N137*I137/L137&lt;0.25,0.25,N137*I137/L137))</f>
        <v>0.62499999999999989</v>
      </c>
      <c r="BX137" s="373">
        <f t="shared" si="142"/>
        <v>0.76908077065473135</v>
      </c>
      <c r="BY137" s="311">
        <f t="shared" ref="BY137:BY200" si="263">(BX137*K137*L137+0.25*BB137*1000)*BV137</f>
        <v>101953.36275794019</v>
      </c>
      <c r="BZ137" s="311">
        <f t="shared" ref="BZ137:BZ200" si="264">IF(BA137=0,0,0.6*1*AW137*AY137*L137/BA137)</f>
        <v>416387.53728000016</v>
      </c>
      <c r="CA137" s="311">
        <f t="shared" si="143"/>
        <v>155097.02319625492</v>
      </c>
      <c r="CB137" s="307">
        <f t="shared" si="144"/>
        <v>155.09702319625492</v>
      </c>
      <c r="CC137" s="309">
        <f t="shared" si="145"/>
        <v>0.55933146956707758</v>
      </c>
      <c r="CD137" s="379">
        <f t="shared" ref="CD137:CD200" si="265">BL137/CB137</f>
        <v>1.2864888434868298</v>
      </c>
    </row>
    <row r="138" spans="1:82" x14ac:dyDescent="0.25">
      <c r="A138" s="305">
        <v>130</v>
      </c>
      <c r="B138" s="298" t="s">
        <v>42</v>
      </c>
      <c r="C138" s="298">
        <v>5</v>
      </c>
      <c r="D138" s="298" t="s">
        <v>598</v>
      </c>
      <c r="E138" s="343" t="s">
        <v>668</v>
      </c>
      <c r="F138" s="298" t="s">
        <v>484</v>
      </c>
      <c r="G138" s="311">
        <v>1800</v>
      </c>
      <c r="H138" s="311">
        <f t="shared" si="179"/>
        <v>1800</v>
      </c>
      <c r="I138" s="311">
        <v>1800</v>
      </c>
      <c r="J138" s="327">
        <f t="shared" si="182"/>
        <v>3240000</v>
      </c>
      <c r="K138" s="311">
        <v>140</v>
      </c>
      <c r="L138" s="327">
        <f t="shared" si="204"/>
        <v>1440</v>
      </c>
      <c r="M138" s="309">
        <f t="shared" si="185"/>
        <v>1</v>
      </c>
      <c r="N138" s="309">
        <f t="shared" ref="N138:N201" si="266">O138</f>
        <v>1</v>
      </c>
      <c r="O138" s="309">
        <f t="shared" si="256"/>
        <v>1</v>
      </c>
      <c r="P138" s="327">
        <f>(5*390/2*K138)+(I138-5*390/2)*(30)*2</f>
        <v>186000</v>
      </c>
      <c r="Q138" s="327">
        <f t="shared" si="257"/>
        <v>252000</v>
      </c>
      <c r="R138" s="309">
        <f t="shared" si="201"/>
        <v>0.73809523809523814</v>
      </c>
      <c r="S138" s="312">
        <v>400</v>
      </c>
      <c r="T138" s="312">
        <v>1800</v>
      </c>
      <c r="U138" s="308" t="s">
        <v>413</v>
      </c>
      <c r="V138" s="308" t="s">
        <v>413</v>
      </c>
      <c r="W138" s="387">
        <f t="shared" ref="W138:W201" si="267">IF(V138="-",0,V138)</f>
        <v>0</v>
      </c>
      <c r="X138" s="310" t="s">
        <v>413</v>
      </c>
      <c r="Y138" s="387">
        <f t="shared" ref="Y138:Y201" si="268">IF(X138="-",0,X138)</f>
        <v>0</v>
      </c>
      <c r="Z138" s="420" t="s">
        <v>413</v>
      </c>
      <c r="AA138" s="310" t="s">
        <v>413</v>
      </c>
      <c r="AB138" s="308" t="s">
        <v>413</v>
      </c>
      <c r="AC138" s="312">
        <v>3</v>
      </c>
      <c r="AD138" s="325">
        <f>(190+10+190+10+190)/K138</f>
        <v>4.2142857142857144</v>
      </c>
      <c r="AE138" s="312" t="s">
        <v>413</v>
      </c>
      <c r="AF138" s="313">
        <f t="shared" si="98"/>
        <v>0.95519142130789658</v>
      </c>
      <c r="AG138" s="313" t="s">
        <v>413</v>
      </c>
      <c r="AH138" s="313" t="s">
        <v>413</v>
      </c>
      <c r="AI138" s="308">
        <v>18.5</v>
      </c>
      <c r="AJ138" s="298" t="s">
        <v>772</v>
      </c>
      <c r="AK138" s="298" t="s">
        <v>773</v>
      </c>
      <c r="AL138" s="298">
        <v>300</v>
      </c>
      <c r="AM138" s="298">
        <f>5*300</f>
        <v>1500</v>
      </c>
      <c r="AN138" s="306">
        <f t="shared" si="207"/>
        <v>7.4404761904761901E-3</v>
      </c>
      <c r="AO138" s="298">
        <v>320</v>
      </c>
      <c r="AP138" s="306">
        <f t="shared" si="208"/>
        <v>2.2857142857142856</v>
      </c>
      <c r="AQ138" s="336">
        <f>(1800-200)/5</f>
        <v>320</v>
      </c>
      <c r="AR138" s="298" t="s">
        <v>413</v>
      </c>
      <c r="AS138" s="295">
        <v>0</v>
      </c>
      <c r="AT138" s="361" t="s">
        <v>413</v>
      </c>
      <c r="AU138" s="298">
        <v>0</v>
      </c>
      <c r="AV138" s="298">
        <v>0</v>
      </c>
      <c r="AW138" s="298">
        <v>0</v>
      </c>
      <c r="AX138" s="298">
        <v>0</v>
      </c>
      <c r="AY138" s="298">
        <v>0</v>
      </c>
      <c r="AZ138" s="298">
        <v>0</v>
      </c>
      <c r="BA138" s="298">
        <v>0</v>
      </c>
      <c r="BB138" s="308">
        <f>BG138/0.4</f>
        <v>357.5</v>
      </c>
      <c r="BC138" s="309">
        <f t="shared" si="225"/>
        <v>1.4186507936507935</v>
      </c>
      <c r="BD138" s="313">
        <f t="shared" ref="BD138:BD201" si="269">BC138/AI138</f>
        <v>7.6683826683826672E-2</v>
      </c>
      <c r="BE138" s="309">
        <f t="shared" si="210"/>
        <v>1.9220430107526882</v>
      </c>
      <c r="BF138" s="298" t="s">
        <v>413</v>
      </c>
      <c r="BG138" s="298">
        <v>143</v>
      </c>
      <c r="BH138" s="312">
        <f t="shared" si="226"/>
        <v>143</v>
      </c>
      <c r="BI138" s="373">
        <v>0.94430000000000003</v>
      </c>
      <c r="BJ138" s="361">
        <f t="shared" si="258"/>
        <v>1</v>
      </c>
      <c r="BK138" s="312">
        <f t="shared" si="259"/>
        <v>1</v>
      </c>
      <c r="BL138" s="311">
        <f t="shared" ref="BL138:BL141" si="270">BH138*BI138*BJ138*BK138</f>
        <v>135.03489999999999</v>
      </c>
      <c r="BM138" s="309">
        <f t="shared" si="203"/>
        <v>0.53585277777777784</v>
      </c>
      <c r="BN138" s="309">
        <f t="shared" ref="BN138:BN169" si="271">BL138/P138*1000</f>
        <v>0.72599408602150539</v>
      </c>
      <c r="BO138" s="376"/>
      <c r="BP138" s="328">
        <f t="shared" ref="BP138:BP201" si="272">SQRT(AI138)/N138</f>
        <v>4.3011626335213133</v>
      </c>
      <c r="BQ138" s="328">
        <f t="shared" si="260"/>
        <v>0</v>
      </c>
      <c r="BR138" s="328">
        <f t="shared" si="146"/>
        <v>0</v>
      </c>
      <c r="BS138" s="328">
        <f t="shared" ref="BS138:BS201" si="273">IF(F138="Cantilever",0.6*R138*SQRT(AZ138*AI138),R138*SQRT(AZ138*AI138))</f>
        <v>0</v>
      </c>
      <c r="BT138" s="328">
        <f t="shared" ref="BT138:BT201" si="274">BC138</f>
        <v>1.4186507936507935</v>
      </c>
      <c r="BU138" s="376"/>
      <c r="BV138" s="328">
        <f t="shared" si="261"/>
        <v>0.5</v>
      </c>
      <c r="BW138" s="328">
        <f t="shared" si="262"/>
        <v>1</v>
      </c>
      <c r="BX138" s="373">
        <f t="shared" ref="BX138:BX201" si="275">0.16*(2-BW138)*SQRT(AI138)</f>
        <v>0.68818602136341012</v>
      </c>
      <c r="BY138" s="311">
        <f t="shared" si="263"/>
        <v>114056.65095343174</v>
      </c>
      <c r="BZ138" s="311">
        <f t="shared" si="264"/>
        <v>0</v>
      </c>
      <c r="CA138" s="311">
        <f t="shared" ref="CA138:CA201" si="276">0.4*SQRT(AI138)*K138*L138*BV138</f>
        <v>173422.87738357935</v>
      </c>
      <c r="CB138" s="307">
        <f t="shared" ref="CB138:CB201" si="277">IF((BY138+BZ138)&lt;CA138,(BY138+BZ138)/1000,CA138/1000)</f>
        <v>114.05665095343174</v>
      </c>
      <c r="CC138" s="309">
        <f t="shared" ref="CC138:CC201" si="278">CB138/(K138*I138)*1000</f>
        <v>0.4526057577517133</v>
      </c>
      <c r="CD138" s="379">
        <f t="shared" si="265"/>
        <v>1.183928327468895</v>
      </c>
    </row>
    <row r="139" spans="1:82" x14ac:dyDescent="0.25">
      <c r="A139" s="315">
        <v>131</v>
      </c>
      <c r="B139" s="315" t="s">
        <v>42</v>
      </c>
      <c r="C139" s="315">
        <v>6</v>
      </c>
      <c r="D139" s="315" t="s">
        <v>598</v>
      </c>
      <c r="E139" s="341" t="s">
        <v>668</v>
      </c>
      <c r="F139" s="315" t="s">
        <v>484</v>
      </c>
      <c r="G139" s="321">
        <v>1800</v>
      </c>
      <c r="H139" s="321">
        <f t="shared" ref="H139" si="279">IF(F139="Cantilever",G139,0.5*G139)</f>
        <v>1800</v>
      </c>
      <c r="I139" s="321">
        <v>1800</v>
      </c>
      <c r="J139" s="329">
        <f t="shared" si="182"/>
        <v>3240000</v>
      </c>
      <c r="K139" s="321">
        <v>140</v>
      </c>
      <c r="L139" s="329">
        <f t="shared" si="204"/>
        <v>1440</v>
      </c>
      <c r="M139" s="319">
        <f t="shared" si="185"/>
        <v>1</v>
      </c>
      <c r="N139" s="319">
        <f t="shared" si="266"/>
        <v>1</v>
      </c>
      <c r="O139" s="319">
        <f t="shared" si="256"/>
        <v>1</v>
      </c>
      <c r="P139" s="329">
        <f>(5*390/2*K139)+(I139-5*390/2)*(30)*2</f>
        <v>186000</v>
      </c>
      <c r="Q139" s="329">
        <f t="shared" si="257"/>
        <v>252000</v>
      </c>
      <c r="R139" s="319">
        <f t="shared" si="201"/>
        <v>0.73809523809523814</v>
      </c>
      <c r="S139" s="322">
        <v>800</v>
      </c>
      <c r="T139" s="322">
        <v>1800</v>
      </c>
      <c r="U139" s="318" t="s">
        <v>413</v>
      </c>
      <c r="V139" s="318" t="s">
        <v>413</v>
      </c>
      <c r="W139" s="387">
        <f t="shared" si="267"/>
        <v>0</v>
      </c>
      <c r="X139" s="320" t="s">
        <v>413</v>
      </c>
      <c r="Y139" s="387">
        <f t="shared" si="268"/>
        <v>0</v>
      </c>
      <c r="Z139" s="421" t="s">
        <v>413</v>
      </c>
      <c r="AA139" s="320" t="s">
        <v>413</v>
      </c>
      <c r="AB139" s="318" t="s">
        <v>413</v>
      </c>
      <c r="AC139" s="322">
        <v>3</v>
      </c>
      <c r="AD139" s="326">
        <f>(190+10+190+10+190)/K139</f>
        <v>4.2142857142857144</v>
      </c>
      <c r="AE139" s="322" t="s">
        <v>413</v>
      </c>
      <c r="AF139" s="324">
        <f t="shared" si="98"/>
        <v>0.95519142130789658</v>
      </c>
      <c r="AG139" s="324" t="s">
        <v>413</v>
      </c>
      <c r="AH139" s="324" t="s">
        <v>413</v>
      </c>
      <c r="AI139" s="318">
        <v>18.5</v>
      </c>
      <c r="AJ139" s="315" t="s">
        <v>773</v>
      </c>
      <c r="AK139" s="315" t="s">
        <v>773</v>
      </c>
      <c r="AL139" s="315">
        <v>300</v>
      </c>
      <c r="AM139" s="315">
        <f>5*300</f>
        <v>1500</v>
      </c>
      <c r="AN139" s="316">
        <f t="shared" si="207"/>
        <v>7.4404761904761901E-3</v>
      </c>
      <c r="AO139" s="315">
        <v>320</v>
      </c>
      <c r="AP139" s="316">
        <f t="shared" si="208"/>
        <v>2.2857142857142856</v>
      </c>
      <c r="AQ139" s="344">
        <f>(1800-200)/5</f>
        <v>320</v>
      </c>
      <c r="AR139" s="315" t="s">
        <v>413</v>
      </c>
      <c r="AS139" s="315">
        <v>0</v>
      </c>
      <c r="AT139" s="315" t="s">
        <v>413</v>
      </c>
      <c r="AU139" s="315">
        <v>0</v>
      </c>
      <c r="AV139" s="315">
        <v>0</v>
      </c>
      <c r="AW139" s="315">
        <v>0</v>
      </c>
      <c r="AX139" s="315">
        <v>0</v>
      </c>
      <c r="AY139" s="315">
        <v>0</v>
      </c>
      <c r="AZ139" s="315">
        <v>0</v>
      </c>
      <c r="BA139" s="315">
        <v>0</v>
      </c>
      <c r="BB139" s="318">
        <f>BG139/0.64</f>
        <v>145.3125</v>
      </c>
      <c r="BC139" s="319">
        <f t="shared" si="225"/>
        <v>0.57663690476190477</v>
      </c>
      <c r="BD139" s="324">
        <f t="shared" si="269"/>
        <v>3.1169562419562421E-2</v>
      </c>
      <c r="BE139" s="319">
        <f t="shared" si="210"/>
        <v>0.78125</v>
      </c>
      <c r="BF139" s="315" t="s">
        <v>413</v>
      </c>
      <c r="BG139" s="315">
        <v>93</v>
      </c>
      <c r="BH139" s="322">
        <f>BG139</f>
        <v>93</v>
      </c>
      <c r="BI139" s="373">
        <v>0.94430000000000003</v>
      </c>
      <c r="BJ139" s="315">
        <f t="shared" si="258"/>
        <v>1</v>
      </c>
      <c r="BK139" s="322">
        <f t="shared" si="259"/>
        <v>1</v>
      </c>
      <c r="BL139" s="321">
        <f t="shared" si="270"/>
        <v>87.819900000000004</v>
      </c>
      <c r="BM139" s="319">
        <f t="shared" si="203"/>
        <v>0.3484916666666667</v>
      </c>
      <c r="BN139" s="319">
        <f t="shared" si="271"/>
        <v>0.47215000000000001</v>
      </c>
      <c r="BO139" s="376"/>
      <c r="BP139" s="330">
        <f t="shared" si="272"/>
        <v>4.3011626335213133</v>
      </c>
      <c r="BQ139" s="330">
        <f t="shared" si="260"/>
        <v>0</v>
      </c>
      <c r="BR139" s="330">
        <f t="shared" si="146"/>
        <v>0</v>
      </c>
      <c r="BS139" s="330">
        <f t="shared" si="273"/>
        <v>0</v>
      </c>
      <c r="BT139" s="330">
        <f t="shared" si="274"/>
        <v>0.57663690476190477</v>
      </c>
      <c r="BU139" s="376"/>
      <c r="BV139" s="328">
        <f t="shared" si="261"/>
        <v>0.5</v>
      </c>
      <c r="BW139" s="328">
        <f t="shared" si="262"/>
        <v>1</v>
      </c>
      <c r="BX139" s="373">
        <f t="shared" si="275"/>
        <v>0.68818602136341012</v>
      </c>
      <c r="BY139" s="311">
        <f t="shared" si="263"/>
        <v>87533.213453431745</v>
      </c>
      <c r="BZ139" s="311">
        <f t="shared" si="264"/>
        <v>0</v>
      </c>
      <c r="CA139" s="311">
        <f t="shared" si="276"/>
        <v>173422.87738357935</v>
      </c>
      <c r="CB139" s="307">
        <f t="shared" si="277"/>
        <v>87.533213453431742</v>
      </c>
      <c r="CC139" s="309">
        <f t="shared" si="278"/>
        <v>0.34735402164060214</v>
      </c>
      <c r="CD139" s="379">
        <f t="shared" si="265"/>
        <v>1.0032751744767234</v>
      </c>
    </row>
    <row r="140" spans="1:82" x14ac:dyDescent="0.25">
      <c r="A140" s="305">
        <v>132</v>
      </c>
      <c r="B140" s="298" t="s">
        <v>634</v>
      </c>
      <c r="C140" s="298" t="s">
        <v>294</v>
      </c>
      <c r="D140" s="298" t="s">
        <v>598</v>
      </c>
      <c r="E140" s="298" t="s">
        <v>668</v>
      </c>
      <c r="F140" s="298" t="s">
        <v>484</v>
      </c>
      <c r="G140" s="311">
        <v>808</v>
      </c>
      <c r="H140" s="311">
        <f t="shared" ref="H140:H143" si="280">IF(F140="Cantilever",G140,0.5*G140)</f>
        <v>808</v>
      </c>
      <c r="I140" s="311">
        <v>1200</v>
      </c>
      <c r="J140" s="327">
        <f t="shared" si="182"/>
        <v>969600</v>
      </c>
      <c r="K140" s="311">
        <v>100</v>
      </c>
      <c r="L140" s="327">
        <f t="shared" si="204"/>
        <v>960</v>
      </c>
      <c r="M140" s="309">
        <f t="shared" si="185"/>
        <v>0.67333333333333334</v>
      </c>
      <c r="N140" s="309">
        <f t="shared" si="266"/>
        <v>0.67333333333333334</v>
      </c>
      <c r="O140" s="309">
        <f t="shared" si="256"/>
        <v>0.67333333333333334</v>
      </c>
      <c r="P140" s="327">
        <f>(3*200/2*K140)+(I140-3*200/2)*(15)*2</f>
        <v>57000</v>
      </c>
      <c r="Q140" s="327">
        <f t="shared" si="257"/>
        <v>120000</v>
      </c>
      <c r="R140" s="309">
        <f t="shared" si="201"/>
        <v>0.47499999999999998</v>
      </c>
      <c r="S140" s="312">
        <v>800</v>
      </c>
      <c r="T140" s="312">
        <v>1200</v>
      </c>
      <c r="U140" s="298">
        <v>11.4</v>
      </c>
      <c r="V140" s="298">
        <v>10</v>
      </c>
      <c r="W140" s="387">
        <f t="shared" si="267"/>
        <v>10</v>
      </c>
      <c r="X140" s="298" t="s">
        <v>413</v>
      </c>
      <c r="Y140" s="387">
        <f t="shared" si="268"/>
        <v>0</v>
      </c>
      <c r="Z140" s="418">
        <v>0.54</v>
      </c>
      <c r="AA140" s="308" t="s">
        <v>413</v>
      </c>
      <c r="AB140" s="426">
        <f>(Z140^0.636)*(U140^0.688)*(V140^0.317)</f>
        <v>7.4808848341143301</v>
      </c>
      <c r="AC140" s="298">
        <v>3</v>
      </c>
      <c r="AD140" s="328">
        <f>300/100</f>
        <v>3</v>
      </c>
      <c r="AE140" s="298" t="s">
        <v>413</v>
      </c>
      <c r="AF140" s="313">
        <f t="shared" ref="AF140:AF203" si="281">1-0.058*(5-AD140)^1.07</f>
        <v>0.87823286469972417</v>
      </c>
      <c r="AG140" s="313" t="s">
        <v>413</v>
      </c>
      <c r="AH140" s="313">
        <f t="shared" ref="AH140:AH166" si="282">AF140*AB140</f>
        <v>6.569958918352949</v>
      </c>
      <c r="AI140" s="308">
        <f>AH140</f>
        <v>6.569958918352949</v>
      </c>
      <c r="AJ140" s="298" t="s">
        <v>775</v>
      </c>
      <c r="AK140" s="298" t="s">
        <v>774</v>
      </c>
      <c r="AL140" s="311">
        <f>2*PI()*5^2/4</f>
        <v>39.269908169872416</v>
      </c>
      <c r="AM140" s="311">
        <f>3*AL140</f>
        <v>117.80972450961724</v>
      </c>
      <c r="AN140" s="306">
        <f t="shared" si="207"/>
        <v>1.2271846303085129E-3</v>
      </c>
      <c r="AO140" s="298">
        <v>580</v>
      </c>
      <c r="AP140" s="306">
        <f t="shared" si="208"/>
        <v>8.6138613861386144</v>
      </c>
      <c r="AQ140" s="298">
        <v>250</v>
      </c>
      <c r="AR140" s="298" t="s">
        <v>413</v>
      </c>
      <c r="AS140" s="298">
        <v>0</v>
      </c>
      <c r="AT140" s="298" t="s">
        <v>776</v>
      </c>
      <c r="AU140" s="364">
        <f>2*PI()*4^2/4</f>
        <v>25.132741228718345</v>
      </c>
      <c r="AV140" s="298">
        <v>0</v>
      </c>
      <c r="AW140" s="312">
        <f t="shared" ref="AW140:AW143" si="283">AU140+AS140</f>
        <v>25.132741228718345</v>
      </c>
      <c r="AX140" s="306">
        <f>AW140/K140/G140</f>
        <v>3.1104877758314785E-4</v>
      </c>
      <c r="AY140" s="298">
        <v>580</v>
      </c>
      <c r="AZ140" s="306">
        <f t="shared" ref="AZ140:AZ143" si="284">AX140*AY140</f>
        <v>0.18040829099822575</v>
      </c>
      <c r="BA140" s="298">
        <v>150</v>
      </c>
      <c r="BB140" s="308">
        <f t="shared" ref="BB140:BB148" si="285">BC140*Q140/1000</f>
        <v>60</v>
      </c>
      <c r="BC140" s="298">
        <v>0.5</v>
      </c>
      <c r="BD140" s="313">
        <f t="shared" si="269"/>
        <v>7.610397663267994E-2</v>
      </c>
      <c r="BE140" s="309">
        <f t="shared" si="210"/>
        <v>1.0526315789473684</v>
      </c>
      <c r="BF140" s="298">
        <v>53</v>
      </c>
      <c r="BG140" s="298">
        <v>53</v>
      </c>
      <c r="BH140" s="311">
        <f t="shared" ref="BH140:BH148" si="286">(BF140+BG140)/2</f>
        <v>53</v>
      </c>
      <c r="BI140" s="361">
        <v>1</v>
      </c>
      <c r="BJ140" s="361">
        <f t="shared" si="258"/>
        <v>1</v>
      </c>
      <c r="BK140" s="312">
        <f t="shared" si="259"/>
        <v>1</v>
      </c>
      <c r="BL140" s="311">
        <f t="shared" si="270"/>
        <v>53</v>
      </c>
      <c r="BM140" s="309">
        <f t="shared" si="203"/>
        <v>0.44166666666666665</v>
      </c>
      <c r="BN140" s="309">
        <f t="shared" si="271"/>
        <v>0.92982456140350878</v>
      </c>
      <c r="BO140" s="376"/>
      <c r="BP140" s="328">
        <f t="shared" si="272"/>
        <v>3.806722440362722</v>
      </c>
      <c r="BQ140" s="328">
        <f t="shared" si="260"/>
        <v>0.18040829099822575</v>
      </c>
      <c r="BR140" s="328">
        <f t="shared" si="146"/>
        <v>0</v>
      </c>
      <c r="BS140" s="328">
        <f t="shared" si="273"/>
        <v>0.31028046470905096</v>
      </c>
      <c r="BT140" s="328">
        <f t="shared" si="274"/>
        <v>0.5</v>
      </c>
      <c r="BU140" s="376"/>
      <c r="BV140" s="328">
        <f t="shared" si="261"/>
        <v>0.47499999999999998</v>
      </c>
      <c r="BW140" s="328">
        <f t="shared" si="262"/>
        <v>0.84166666666666667</v>
      </c>
      <c r="BX140" s="373">
        <f t="shared" si="275"/>
        <v>0.47504512302446444</v>
      </c>
      <c r="BY140" s="311">
        <f t="shared" si="263"/>
        <v>28787.057609915577</v>
      </c>
      <c r="BZ140" s="311">
        <f t="shared" si="264"/>
        <v>55975.641264601501</v>
      </c>
      <c r="CA140" s="311">
        <f t="shared" si="276"/>
        <v>46752.642323558801</v>
      </c>
      <c r="CB140" s="307">
        <f t="shared" si="277"/>
        <v>46.752642323558803</v>
      </c>
      <c r="CC140" s="309">
        <f t="shared" si="278"/>
        <v>0.3896053526963234</v>
      </c>
      <c r="CD140" s="379">
        <f t="shared" si="265"/>
        <v>1.1336257667150746</v>
      </c>
    </row>
    <row r="141" spans="1:82" x14ac:dyDescent="0.25">
      <c r="A141" s="305">
        <v>133</v>
      </c>
      <c r="B141" s="298" t="s">
        <v>634</v>
      </c>
      <c r="C141" s="298" t="s">
        <v>296</v>
      </c>
      <c r="D141" s="298" t="s">
        <v>598</v>
      </c>
      <c r="E141" s="298" t="s">
        <v>668</v>
      </c>
      <c r="F141" s="298" t="s">
        <v>484</v>
      </c>
      <c r="G141" s="311">
        <v>808</v>
      </c>
      <c r="H141" s="311">
        <f t="shared" si="280"/>
        <v>808</v>
      </c>
      <c r="I141" s="311">
        <v>1200</v>
      </c>
      <c r="J141" s="327">
        <f t="shared" si="182"/>
        <v>969600</v>
      </c>
      <c r="K141" s="311">
        <v>100</v>
      </c>
      <c r="L141" s="327">
        <f t="shared" si="204"/>
        <v>960</v>
      </c>
      <c r="M141" s="309">
        <f t="shared" si="185"/>
        <v>0.67333333333333334</v>
      </c>
      <c r="N141" s="309">
        <f t="shared" si="266"/>
        <v>0.67333333333333334</v>
      </c>
      <c r="O141" s="309">
        <f t="shared" si="256"/>
        <v>0.67333333333333334</v>
      </c>
      <c r="P141" s="327">
        <f>(3*200/2*K141)+(I141-3*200/2)*(30)*2</f>
        <v>84000</v>
      </c>
      <c r="Q141" s="327">
        <f t="shared" si="257"/>
        <v>120000</v>
      </c>
      <c r="R141" s="309">
        <f t="shared" si="201"/>
        <v>0.7</v>
      </c>
      <c r="S141" s="312">
        <v>800</v>
      </c>
      <c r="T141" s="312">
        <v>1200</v>
      </c>
      <c r="U141" s="298">
        <v>11.4</v>
      </c>
      <c r="V141" s="298">
        <v>10</v>
      </c>
      <c r="W141" s="387">
        <f t="shared" si="267"/>
        <v>10</v>
      </c>
      <c r="X141" s="298" t="s">
        <v>413</v>
      </c>
      <c r="Y141" s="387">
        <f t="shared" si="268"/>
        <v>0</v>
      </c>
      <c r="Z141" s="418">
        <v>0.54</v>
      </c>
      <c r="AA141" s="308" t="s">
        <v>413</v>
      </c>
      <c r="AB141" s="366">
        <f t="shared" ref="AB141:AB143" si="287">(Z141^0.636)*(U141^0.688)*(V141^0.317)</f>
        <v>7.4808848341143301</v>
      </c>
      <c r="AC141" s="298">
        <v>3</v>
      </c>
      <c r="AD141" s="328">
        <f t="shared" ref="AD141:AD143" si="288">300/100</f>
        <v>3</v>
      </c>
      <c r="AE141" s="298" t="s">
        <v>413</v>
      </c>
      <c r="AF141" s="313">
        <f t="shared" si="281"/>
        <v>0.87823286469972417</v>
      </c>
      <c r="AG141" s="313" t="s">
        <v>413</v>
      </c>
      <c r="AH141" s="313">
        <f t="shared" si="282"/>
        <v>6.569958918352949</v>
      </c>
      <c r="AI141" s="308">
        <f t="shared" ref="AI141:AI143" si="289">AH141</f>
        <v>6.569958918352949</v>
      </c>
      <c r="AJ141" s="361" t="s">
        <v>775</v>
      </c>
      <c r="AK141" s="298" t="s">
        <v>774</v>
      </c>
      <c r="AL141" s="311">
        <f t="shared" ref="AL141:AL143" si="290">2*PI()*5^2/4</f>
        <v>39.269908169872416</v>
      </c>
      <c r="AM141" s="311">
        <f t="shared" ref="AM141:AM143" si="291">3*AL141</f>
        <v>117.80972450961724</v>
      </c>
      <c r="AN141" s="306">
        <f t="shared" si="207"/>
        <v>1.2271846303085129E-3</v>
      </c>
      <c r="AO141" s="298">
        <v>580</v>
      </c>
      <c r="AP141" s="306">
        <f t="shared" si="208"/>
        <v>8.6138613861386144</v>
      </c>
      <c r="AQ141" s="298">
        <v>250</v>
      </c>
      <c r="AR141" s="298" t="s">
        <v>413</v>
      </c>
      <c r="AS141" s="298">
        <v>0</v>
      </c>
      <c r="AT141" s="361" t="s">
        <v>776</v>
      </c>
      <c r="AU141" s="311">
        <f t="shared" ref="AU141:AU143" si="292">2*PI()*4^2/4</f>
        <v>25.132741228718345</v>
      </c>
      <c r="AV141" s="298">
        <v>0</v>
      </c>
      <c r="AW141" s="312">
        <f t="shared" si="283"/>
        <v>25.132741228718345</v>
      </c>
      <c r="AX141" s="306">
        <f>AW141/K141/G141</f>
        <v>3.1104877758314785E-4</v>
      </c>
      <c r="AY141" s="298">
        <v>580</v>
      </c>
      <c r="AZ141" s="306">
        <f t="shared" si="284"/>
        <v>0.18040829099822575</v>
      </c>
      <c r="BA141" s="298">
        <v>150</v>
      </c>
      <c r="BB141" s="308">
        <f t="shared" si="285"/>
        <v>60</v>
      </c>
      <c r="BC141" s="298">
        <v>0.5</v>
      </c>
      <c r="BD141" s="313">
        <f t="shared" si="269"/>
        <v>7.610397663267994E-2</v>
      </c>
      <c r="BE141" s="309">
        <f t="shared" si="210"/>
        <v>0.7142857142857143</v>
      </c>
      <c r="BF141" s="298">
        <v>62</v>
      </c>
      <c r="BG141" s="298">
        <v>65</v>
      </c>
      <c r="BH141" s="311">
        <f t="shared" si="286"/>
        <v>63.5</v>
      </c>
      <c r="BI141" s="361">
        <v>1</v>
      </c>
      <c r="BJ141" s="361">
        <f t="shared" si="258"/>
        <v>1</v>
      </c>
      <c r="BK141" s="312">
        <f t="shared" si="259"/>
        <v>1</v>
      </c>
      <c r="BL141" s="311">
        <f t="shared" si="270"/>
        <v>63.5</v>
      </c>
      <c r="BM141" s="309">
        <f t="shared" si="203"/>
        <v>0.52916666666666667</v>
      </c>
      <c r="BN141" s="309">
        <f t="shared" si="271"/>
        <v>0.75595238095238093</v>
      </c>
      <c r="BO141" s="376"/>
      <c r="BP141" s="328">
        <f t="shared" si="272"/>
        <v>3.806722440362722</v>
      </c>
      <c r="BQ141" s="328">
        <f t="shared" si="260"/>
        <v>0.18040829099822575</v>
      </c>
      <c r="BR141" s="328">
        <f t="shared" si="146"/>
        <v>0</v>
      </c>
      <c r="BS141" s="328">
        <f t="shared" si="273"/>
        <v>0.45725542167649619</v>
      </c>
      <c r="BT141" s="328">
        <f t="shared" si="274"/>
        <v>0.5</v>
      </c>
      <c r="BU141" s="376"/>
      <c r="BV141" s="328">
        <f t="shared" si="261"/>
        <v>0.5</v>
      </c>
      <c r="BW141" s="328">
        <f t="shared" si="262"/>
        <v>0.84166666666666667</v>
      </c>
      <c r="BX141" s="373">
        <f t="shared" si="275"/>
        <v>0.47504512302446444</v>
      </c>
      <c r="BY141" s="311">
        <f t="shared" si="263"/>
        <v>30302.165905174294</v>
      </c>
      <c r="BZ141" s="311">
        <f t="shared" si="264"/>
        <v>55975.641264601501</v>
      </c>
      <c r="CA141" s="311">
        <f t="shared" si="276"/>
        <v>49213.30770900927</v>
      </c>
      <c r="CB141" s="307">
        <f t="shared" si="277"/>
        <v>49.213307709009271</v>
      </c>
      <c r="CC141" s="309">
        <f t="shared" si="278"/>
        <v>0.41011089757507724</v>
      </c>
      <c r="CD141" s="379">
        <f t="shared" si="265"/>
        <v>1.2903014033412619</v>
      </c>
    </row>
    <row r="142" spans="1:82" x14ac:dyDescent="0.25">
      <c r="A142" s="305">
        <v>134</v>
      </c>
      <c r="B142" s="298" t="s">
        <v>634</v>
      </c>
      <c r="C142" s="298" t="s">
        <v>297</v>
      </c>
      <c r="D142" s="298" t="s">
        <v>598</v>
      </c>
      <c r="E142" s="298" t="s">
        <v>668</v>
      </c>
      <c r="F142" s="298" t="s">
        <v>484</v>
      </c>
      <c r="G142" s="311">
        <v>808</v>
      </c>
      <c r="H142" s="311">
        <f t="shared" si="280"/>
        <v>808</v>
      </c>
      <c r="I142" s="311">
        <v>1200</v>
      </c>
      <c r="J142" s="327">
        <f t="shared" si="182"/>
        <v>969600</v>
      </c>
      <c r="K142" s="311">
        <v>100</v>
      </c>
      <c r="L142" s="327">
        <f t="shared" si="204"/>
        <v>960</v>
      </c>
      <c r="M142" s="309">
        <f t="shared" si="185"/>
        <v>0.67333333333333334</v>
      </c>
      <c r="N142" s="309">
        <f t="shared" si="266"/>
        <v>0.67333333333333334</v>
      </c>
      <c r="O142" s="309">
        <f t="shared" si="256"/>
        <v>0.67333333333333334</v>
      </c>
      <c r="P142" s="327">
        <f>(3*200/2*K142)+(I142-3*200/2)*(30)*2</f>
        <v>84000</v>
      </c>
      <c r="Q142" s="327">
        <f t="shared" si="257"/>
        <v>120000</v>
      </c>
      <c r="R142" s="309">
        <f t="shared" si="201"/>
        <v>0.7</v>
      </c>
      <c r="S142" s="312">
        <v>800</v>
      </c>
      <c r="T142" s="312">
        <v>1200</v>
      </c>
      <c r="U142" s="361">
        <v>11.4</v>
      </c>
      <c r="V142" s="298">
        <v>10</v>
      </c>
      <c r="W142" s="387">
        <f t="shared" si="267"/>
        <v>10</v>
      </c>
      <c r="X142" s="298" t="s">
        <v>413</v>
      </c>
      <c r="Y142" s="387">
        <f t="shared" si="268"/>
        <v>0</v>
      </c>
      <c r="Z142" s="418">
        <v>0.54</v>
      </c>
      <c r="AA142" s="308" t="s">
        <v>413</v>
      </c>
      <c r="AB142" s="366">
        <f t="shared" si="287"/>
        <v>7.4808848341143301</v>
      </c>
      <c r="AC142" s="298">
        <v>3</v>
      </c>
      <c r="AD142" s="328">
        <f t="shared" si="288"/>
        <v>3</v>
      </c>
      <c r="AE142" s="298" t="s">
        <v>413</v>
      </c>
      <c r="AF142" s="313">
        <f t="shared" si="281"/>
        <v>0.87823286469972417</v>
      </c>
      <c r="AG142" s="313" t="s">
        <v>413</v>
      </c>
      <c r="AH142" s="313">
        <f t="shared" si="282"/>
        <v>6.569958918352949</v>
      </c>
      <c r="AI142" s="308">
        <f t="shared" si="289"/>
        <v>6.569958918352949</v>
      </c>
      <c r="AJ142" s="361" t="s">
        <v>775</v>
      </c>
      <c r="AK142" s="298" t="s">
        <v>774</v>
      </c>
      <c r="AL142" s="311">
        <f t="shared" si="290"/>
        <v>39.269908169872416</v>
      </c>
      <c r="AM142" s="311">
        <f t="shared" si="291"/>
        <v>117.80972450961724</v>
      </c>
      <c r="AN142" s="306">
        <f t="shared" si="207"/>
        <v>1.2271846303085129E-3</v>
      </c>
      <c r="AO142" s="298">
        <v>580</v>
      </c>
      <c r="AP142" s="306">
        <f t="shared" si="208"/>
        <v>8.6138613861386144</v>
      </c>
      <c r="AQ142" s="298">
        <v>250</v>
      </c>
      <c r="AR142" s="298" t="s">
        <v>413</v>
      </c>
      <c r="AS142" s="298">
        <v>0</v>
      </c>
      <c r="AT142" s="361" t="s">
        <v>776</v>
      </c>
      <c r="AU142" s="311">
        <f t="shared" si="292"/>
        <v>25.132741228718345</v>
      </c>
      <c r="AV142" s="298">
        <v>0</v>
      </c>
      <c r="AW142" s="312">
        <f t="shared" si="283"/>
        <v>25.132741228718345</v>
      </c>
      <c r="AX142" s="306">
        <f>AW142/K142/G142</f>
        <v>3.1104877758314785E-4</v>
      </c>
      <c r="AY142" s="298">
        <v>580</v>
      </c>
      <c r="AZ142" s="306">
        <f t="shared" si="284"/>
        <v>0.18040829099822575</v>
      </c>
      <c r="BA142" s="298">
        <v>150</v>
      </c>
      <c r="BB142" s="308">
        <f t="shared" si="285"/>
        <v>150</v>
      </c>
      <c r="BC142" s="298">
        <v>1.25</v>
      </c>
      <c r="BD142" s="313">
        <f t="shared" si="269"/>
        <v>0.19025994158169984</v>
      </c>
      <c r="BE142" s="309">
        <f t="shared" si="210"/>
        <v>1.7857142857142856</v>
      </c>
      <c r="BF142" s="298">
        <v>93</v>
      </c>
      <c r="BG142" s="298">
        <v>93</v>
      </c>
      <c r="BH142" s="311">
        <f t="shared" si="286"/>
        <v>93</v>
      </c>
      <c r="BI142" s="361">
        <v>1</v>
      </c>
      <c r="BJ142" s="361">
        <f t="shared" si="258"/>
        <v>1</v>
      </c>
      <c r="BK142" s="312">
        <f t="shared" si="259"/>
        <v>1</v>
      </c>
      <c r="BL142" s="311">
        <f t="shared" ref="BL142:BL144" si="293">BH142*BI142*BJ142*BK142</f>
        <v>93</v>
      </c>
      <c r="BM142" s="309">
        <f t="shared" si="203"/>
        <v>0.77500000000000002</v>
      </c>
      <c r="BN142" s="309">
        <f t="shared" si="271"/>
        <v>1.1071428571428572</v>
      </c>
      <c r="BO142" s="376"/>
      <c r="BP142" s="328">
        <f t="shared" si="272"/>
        <v>3.806722440362722</v>
      </c>
      <c r="BQ142" s="328">
        <f t="shared" si="260"/>
        <v>0.18040829099822575</v>
      </c>
      <c r="BR142" s="328">
        <f t="shared" si="146"/>
        <v>0</v>
      </c>
      <c r="BS142" s="328">
        <f t="shared" si="273"/>
        <v>0.45725542167649619</v>
      </c>
      <c r="BT142" s="328">
        <f t="shared" si="274"/>
        <v>1.25</v>
      </c>
      <c r="BU142" s="376"/>
      <c r="BV142" s="328">
        <f t="shared" si="261"/>
        <v>0.5</v>
      </c>
      <c r="BW142" s="328">
        <f t="shared" si="262"/>
        <v>0.84166666666666667</v>
      </c>
      <c r="BX142" s="373">
        <f t="shared" si="275"/>
        <v>0.47504512302446444</v>
      </c>
      <c r="BY142" s="311">
        <f t="shared" si="263"/>
        <v>41552.16590517429</v>
      </c>
      <c r="BZ142" s="311">
        <f t="shared" si="264"/>
        <v>55975.641264601501</v>
      </c>
      <c r="CA142" s="311">
        <f t="shared" si="276"/>
        <v>49213.30770900927</v>
      </c>
      <c r="CB142" s="307">
        <f t="shared" si="277"/>
        <v>49.213307709009271</v>
      </c>
      <c r="CC142" s="309">
        <f t="shared" si="278"/>
        <v>0.41011089757507724</v>
      </c>
      <c r="CD142" s="379">
        <f t="shared" si="265"/>
        <v>1.8897327639486197</v>
      </c>
    </row>
    <row r="143" spans="1:82" x14ac:dyDescent="0.25">
      <c r="A143" s="315">
        <v>135</v>
      </c>
      <c r="B143" s="315" t="s">
        <v>634</v>
      </c>
      <c r="C143" s="315" t="s">
        <v>298</v>
      </c>
      <c r="D143" s="315" t="s">
        <v>598</v>
      </c>
      <c r="E143" s="315" t="s">
        <v>668</v>
      </c>
      <c r="F143" s="315" t="s">
        <v>484</v>
      </c>
      <c r="G143" s="321">
        <v>808</v>
      </c>
      <c r="H143" s="321">
        <f t="shared" si="280"/>
        <v>808</v>
      </c>
      <c r="I143" s="321">
        <v>1200</v>
      </c>
      <c r="J143" s="329">
        <f t="shared" si="182"/>
        <v>969600</v>
      </c>
      <c r="K143" s="321">
        <v>100</v>
      </c>
      <c r="L143" s="329">
        <f t="shared" si="204"/>
        <v>960</v>
      </c>
      <c r="M143" s="319">
        <f t="shared" si="185"/>
        <v>0.67333333333333334</v>
      </c>
      <c r="N143" s="319">
        <f t="shared" si="266"/>
        <v>0.67333333333333334</v>
      </c>
      <c r="O143" s="319">
        <f t="shared" si="256"/>
        <v>0.67333333333333334</v>
      </c>
      <c r="P143" s="329">
        <f>(3*200/2*K143)+(I143-3*200/2)*(30)*2</f>
        <v>84000</v>
      </c>
      <c r="Q143" s="329">
        <f t="shared" si="257"/>
        <v>120000</v>
      </c>
      <c r="R143" s="319">
        <f t="shared" si="201"/>
        <v>0.7</v>
      </c>
      <c r="S143" s="322">
        <v>800</v>
      </c>
      <c r="T143" s="322">
        <v>1200</v>
      </c>
      <c r="U143" s="315">
        <v>11.4</v>
      </c>
      <c r="V143" s="315">
        <v>10</v>
      </c>
      <c r="W143" s="387">
        <f t="shared" si="267"/>
        <v>10</v>
      </c>
      <c r="X143" s="315" t="s">
        <v>413</v>
      </c>
      <c r="Y143" s="387">
        <f t="shared" si="268"/>
        <v>0</v>
      </c>
      <c r="Z143" s="419">
        <v>0.54</v>
      </c>
      <c r="AA143" s="318" t="s">
        <v>413</v>
      </c>
      <c r="AB143" s="367">
        <f t="shared" si="287"/>
        <v>7.4808848341143301</v>
      </c>
      <c r="AC143" s="315">
        <v>3</v>
      </c>
      <c r="AD143" s="330">
        <f t="shared" si="288"/>
        <v>3</v>
      </c>
      <c r="AE143" s="315" t="s">
        <v>413</v>
      </c>
      <c r="AF143" s="324">
        <f t="shared" si="281"/>
        <v>0.87823286469972417</v>
      </c>
      <c r="AG143" s="324" t="s">
        <v>413</v>
      </c>
      <c r="AH143" s="324">
        <f t="shared" si="282"/>
        <v>6.569958918352949</v>
      </c>
      <c r="AI143" s="318">
        <f t="shared" si="289"/>
        <v>6.569958918352949</v>
      </c>
      <c r="AJ143" s="315" t="s">
        <v>775</v>
      </c>
      <c r="AK143" s="315" t="s">
        <v>774</v>
      </c>
      <c r="AL143" s="321">
        <f t="shared" si="290"/>
        <v>39.269908169872416</v>
      </c>
      <c r="AM143" s="321">
        <f t="shared" si="291"/>
        <v>117.80972450961724</v>
      </c>
      <c r="AN143" s="316">
        <f t="shared" si="207"/>
        <v>1.2271846303085129E-3</v>
      </c>
      <c r="AO143" s="315">
        <v>580</v>
      </c>
      <c r="AP143" s="316">
        <f t="shared" si="208"/>
        <v>8.6138613861386144</v>
      </c>
      <c r="AQ143" s="315">
        <v>250</v>
      </c>
      <c r="AR143" s="315" t="s">
        <v>413</v>
      </c>
      <c r="AS143" s="315">
        <v>0</v>
      </c>
      <c r="AT143" s="315" t="s">
        <v>776</v>
      </c>
      <c r="AU143" s="321">
        <f t="shared" si="292"/>
        <v>25.132741228718345</v>
      </c>
      <c r="AV143" s="315">
        <v>0</v>
      </c>
      <c r="AW143" s="322">
        <f t="shared" si="283"/>
        <v>25.132741228718345</v>
      </c>
      <c r="AX143" s="316">
        <f>AW143/K143/G143</f>
        <v>3.1104877758314785E-4</v>
      </c>
      <c r="AY143" s="315">
        <v>580</v>
      </c>
      <c r="AZ143" s="316">
        <f t="shared" si="284"/>
        <v>0.18040829099822575</v>
      </c>
      <c r="BA143" s="315">
        <v>150</v>
      </c>
      <c r="BB143" s="318">
        <f t="shared" si="285"/>
        <v>150</v>
      </c>
      <c r="BC143" s="315">
        <v>1.25</v>
      </c>
      <c r="BD143" s="324">
        <f t="shared" si="269"/>
        <v>0.19025994158169984</v>
      </c>
      <c r="BE143" s="319">
        <f t="shared" si="210"/>
        <v>1.7857142857142856</v>
      </c>
      <c r="BF143" s="315">
        <v>93</v>
      </c>
      <c r="BG143" s="315">
        <v>94</v>
      </c>
      <c r="BH143" s="321">
        <f t="shared" si="286"/>
        <v>93.5</v>
      </c>
      <c r="BI143" s="315">
        <v>1</v>
      </c>
      <c r="BJ143" s="315">
        <f t="shared" si="258"/>
        <v>1</v>
      </c>
      <c r="BK143" s="322">
        <f t="shared" si="259"/>
        <v>1</v>
      </c>
      <c r="BL143" s="321">
        <f t="shared" si="293"/>
        <v>93.5</v>
      </c>
      <c r="BM143" s="319">
        <f t="shared" si="203"/>
        <v>0.77916666666666656</v>
      </c>
      <c r="BN143" s="319">
        <f t="shared" si="271"/>
        <v>1.1130952380952381</v>
      </c>
      <c r="BO143" s="376"/>
      <c r="BP143" s="330">
        <f t="shared" si="272"/>
        <v>3.806722440362722</v>
      </c>
      <c r="BQ143" s="330">
        <f t="shared" si="260"/>
        <v>0.18040829099822575</v>
      </c>
      <c r="BR143" s="330">
        <f t="shared" ref="BR143:BR206" si="294">IF(X143="-",G143*SQRT(0*(AP143/AN143)),IF(AN143=0,0,AN143*SQRT(X143*(AP143/AN143))))</f>
        <v>0</v>
      </c>
      <c r="BS143" s="330">
        <f t="shared" si="273"/>
        <v>0.45725542167649619</v>
      </c>
      <c r="BT143" s="330">
        <f t="shared" si="274"/>
        <v>1.25</v>
      </c>
      <c r="BU143" s="376"/>
      <c r="BV143" s="328">
        <f t="shared" si="261"/>
        <v>0.5</v>
      </c>
      <c r="BW143" s="328">
        <f t="shared" si="262"/>
        <v>0.84166666666666667</v>
      </c>
      <c r="BX143" s="373">
        <f t="shared" si="275"/>
        <v>0.47504512302446444</v>
      </c>
      <c r="BY143" s="311">
        <f t="shared" si="263"/>
        <v>41552.16590517429</v>
      </c>
      <c r="BZ143" s="311">
        <f t="shared" si="264"/>
        <v>55975.641264601501</v>
      </c>
      <c r="CA143" s="311">
        <f t="shared" si="276"/>
        <v>49213.30770900927</v>
      </c>
      <c r="CB143" s="307">
        <f t="shared" si="277"/>
        <v>49.213307709009271</v>
      </c>
      <c r="CC143" s="309">
        <f t="shared" si="278"/>
        <v>0.41011089757507724</v>
      </c>
      <c r="CD143" s="379">
        <f t="shared" si="265"/>
        <v>1.8998926175182358</v>
      </c>
    </row>
    <row r="144" spans="1:82" x14ac:dyDescent="0.25">
      <c r="A144" s="305">
        <v>136</v>
      </c>
      <c r="B144" s="298" t="s">
        <v>506</v>
      </c>
      <c r="C144" s="298" t="s">
        <v>556</v>
      </c>
      <c r="D144" s="298" t="s">
        <v>598</v>
      </c>
      <c r="E144" s="343" t="s">
        <v>668</v>
      </c>
      <c r="F144" s="298" t="s">
        <v>485</v>
      </c>
      <c r="G144" s="311">
        <v>1800</v>
      </c>
      <c r="H144" s="311">
        <f t="shared" ref="H144:H175" si="295">IF(F144="Cantilever",G144,0.5*G144)</f>
        <v>900</v>
      </c>
      <c r="I144" s="311">
        <v>1800</v>
      </c>
      <c r="J144" s="306">
        <f t="shared" ref="J144:J167" si="296">I144*G144</f>
        <v>3240000</v>
      </c>
      <c r="K144" s="311">
        <v>90</v>
      </c>
      <c r="L144" s="327">
        <f>0.8*I144</f>
        <v>1440</v>
      </c>
      <c r="M144" s="309">
        <f t="shared" ref="M144:M175" si="297">G144/I144</f>
        <v>1</v>
      </c>
      <c r="N144" s="309">
        <f t="shared" si="266"/>
        <v>0.5</v>
      </c>
      <c r="O144" s="309">
        <f t="shared" si="256"/>
        <v>0.5</v>
      </c>
      <c r="P144" s="306">
        <f>(3*390/2*K144)+(I144-3*390/2)*(25.4)*2</f>
        <v>114372</v>
      </c>
      <c r="Q144" s="306">
        <f t="shared" si="257"/>
        <v>162000</v>
      </c>
      <c r="R144" s="309">
        <f t="shared" ref="R144:R175" si="298">P144/Q144</f>
        <v>0.70599999999999996</v>
      </c>
      <c r="S144" s="295">
        <f>(1800-100)/2</f>
        <v>850</v>
      </c>
      <c r="T144" s="295">
        <f>(1800-200)/2</f>
        <v>800</v>
      </c>
      <c r="U144" s="308" t="s">
        <v>413</v>
      </c>
      <c r="V144" s="310">
        <v>23.8</v>
      </c>
      <c r="W144" s="387">
        <f t="shared" si="267"/>
        <v>23.8</v>
      </c>
      <c r="X144" s="307">
        <v>40.700000000000003</v>
      </c>
      <c r="Y144" s="387">
        <f t="shared" si="268"/>
        <v>40.700000000000003</v>
      </c>
      <c r="Z144" s="423" t="s">
        <v>413</v>
      </c>
      <c r="AA144" s="427">
        <v>21.61</v>
      </c>
      <c r="AB144" s="427">
        <v>12.43</v>
      </c>
      <c r="AC144" s="311">
        <v>4</v>
      </c>
      <c r="AD144" s="365">
        <f>(90+10+90+10+90+10+90)/K144</f>
        <v>4.333333333333333</v>
      </c>
      <c r="AE144" s="311">
        <v>6</v>
      </c>
      <c r="AF144" s="313">
        <f t="shared" si="281"/>
        <v>0.96241536418781815</v>
      </c>
      <c r="AG144" s="313">
        <f t="shared" ref="AG144:AG166" si="299">AF144*AA144</f>
        <v>20.797796020098751</v>
      </c>
      <c r="AH144" s="313">
        <f t="shared" si="282"/>
        <v>11.962822976854579</v>
      </c>
      <c r="AI144" s="308">
        <f t="shared" ref="AI144" si="300">((3*390/2)*AG144+(I144-3*390/2)*AH144)/I144</f>
        <v>14.834189215908935</v>
      </c>
      <c r="AJ144" s="298" t="s">
        <v>777</v>
      </c>
      <c r="AK144" s="298" t="s">
        <v>777</v>
      </c>
      <c r="AL144" s="298">
        <v>100</v>
      </c>
      <c r="AM144" s="298">
        <f>3*100</f>
        <v>300</v>
      </c>
      <c r="AN144" s="306">
        <f t="shared" si="207"/>
        <v>2.3148148148148151E-3</v>
      </c>
      <c r="AO144" s="298">
        <v>491.7</v>
      </c>
      <c r="AP144" s="306">
        <f>AN144*AO144</f>
        <v>1.1381944444444445</v>
      </c>
      <c r="AQ144" s="298">
        <v>855</v>
      </c>
      <c r="AR144" s="311" t="s">
        <v>779</v>
      </c>
      <c r="AS144" s="311">
        <f>3*25.8</f>
        <v>77.400000000000006</v>
      </c>
      <c r="AT144" s="311" t="s">
        <v>413</v>
      </c>
      <c r="AU144" s="298">
        <v>0</v>
      </c>
      <c r="AV144" s="298">
        <v>25.8</v>
      </c>
      <c r="AW144" s="312">
        <f t="shared" ref="AW144:AW166" si="301">AU144+AS144</f>
        <v>77.400000000000006</v>
      </c>
      <c r="AX144" s="306">
        <f t="shared" ref="AX144:AX158" si="302">AV144/BA144/K144</f>
        <v>3.3528265107212477E-4</v>
      </c>
      <c r="AY144" s="298">
        <v>743.7</v>
      </c>
      <c r="AZ144" s="306">
        <f t="shared" ref="AZ144:AZ154" si="303">AX144*AY144</f>
        <v>0.24934970760233921</v>
      </c>
      <c r="BA144" s="298">
        <v>855</v>
      </c>
      <c r="BB144" s="306">
        <f t="shared" si="285"/>
        <v>121.5</v>
      </c>
      <c r="BC144" s="298">
        <v>0.75</v>
      </c>
      <c r="BD144" s="313">
        <f t="shared" si="269"/>
        <v>5.0558880507986376E-2</v>
      </c>
      <c r="BE144" s="328">
        <f t="shared" si="210"/>
        <v>1.0623229461756376</v>
      </c>
      <c r="BF144" s="307">
        <v>91.2</v>
      </c>
      <c r="BG144" s="307">
        <v>96.9</v>
      </c>
      <c r="BH144" s="307">
        <f t="shared" si="286"/>
        <v>94.050000000000011</v>
      </c>
      <c r="BI144" s="361">
        <v>1</v>
      </c>
      <c r="BJ144" s="361">
        <f t="shared" si="258"/>
        <v>1</v>
      </c>
      <c r="BK144" s="312">
        <f t="shared" si="259"/>
        <v>1</v>
      </c>
      <c r="BL144" s="311">
        <f t="shared" si="293"/>
        <v>94.050000000000011</v>
      </c>
      <c r="BM144" s="309">
        <f t="shared" si="203"/>
        <v>0.5805555555555556</v>
      </c>
      <c r="BN144" s="309">
        <f t="shared" si="271"/>
        <v>0.822316650928549</v>
      </c>
      <c r="BO144" s="376"/>
      <c r="BP144" s="328">
        <f t="shared" si="272"/>
        <v>7.7030355616234658</v>
      </c>
      <c r="BQ144" s="328">
        <f t="shared" si="260"/>
        <v>0.24934970760233921</v>
      </c>
      <c r="BR144" s="328">
        <f t="shared" si="294"/>
        <v>0.32746399960773509</v>
      </c>
      <c r="BS144" s="328">
        <f t="shared" si="273"/>
        <v>1.3578163686557516</v>
      </c>
      <c r="BT144" s="328">
        <f t="shared" si="274"/>
        <v>0.75</v>
      </c>
      <c r="BU144" s="376"/>
      <c r="BV144" s="328">
        <f t="shared" si="261"/>
        <v>0.5</v>
      </c>
      <c r="BW144" s="328">
        <f t="shared" si="262"/>
        <v>0.625</v>
      </c>
      <c r="BX144" s="373">
        <f t="shared" si="275"/>
        <v>0.84733391177858119</v>
      </c>
      <c r="BY144" s="311">
        <f t="shared" si="263"/>
        <v>70094.737483252073</v>
      </c>
      <c r="BZ144" s="311">
        <f t="shared" si="264"/>
        <v>58168.299789473691</v>
      </c>
      <c r="CA144" s="311">
        <f t="shared" si="276"/>
        <v>99831.340878640112</v>
      </c>
      <c r="CB144" s="307">
        <f t="shared" si="277"/>
        <v>99.831340878640106</v>
      </c>
      <c r="CC144" s="309">
        <f t="shared" si="278"/>
        <v>0.61624284492987713</v>
      </c>
      <c r="CD144" s="379">
        <f t="shared" si="265"/>
        <v>0.94208891889303403</v>
      </c>
    </row>
    <row r="145" spans="1:82" x14ac:dyDescent="0.25">
      <c r="A145" s="305">
        <v>137</v>
      </c>
      <c r="B145" s="298" t="s">
        <v>506</v>
      </c>
      <c r="C145" s="298" t="s">
        <v>557</v>
      </c>
      <c r="D145" s="298" t="s">
        <v>598</v>
      </c>
      <c r="E145" s="343" t="s">
        <v>668</v>
      </c>
      <c r="F145" s="298" t="s">
        <v>485</v>
      </c>
      <c r="G145" s="311">
        <v>1800</v>
      </c>
      <c r="H145" s="311">
        <f t="shared" si="295"/>
        <v>900</v>
      </c>
      <c r="I145" s="311">
        <v>1800</v>
      </c>
      <c r="J145" s="306">
        <f t="shared" si="296"/>
        <v>3240000</v>
      </c>
      <c r="K145" s="311">
        <v>90</v>
      </c>
      <c r="L145" s="327">
        <f>0.8*I145</f>
        <v>1440</v>
      </c>
      <c r="M145" s="309">
        <f t="shared" si="297"/>
        <v>1</v>
      </c>
      <c r="N145" s="309">
        <f t="shared" si="266"/>
        <v>0.5</v>
      </c>
      <c r="O145" s="309">
        <f t="shared" si="256"/>
        <v>0.5</v>
      </c>
      <c r="P145" s="306">
        <f>(4*390/2*K145)+(I145-4*390/2)*(25.4)*2</f>
        <v>122016</v>
      </c>
      <c r="Q145" s="306">
        <f t="shared" si="257"/>
        <v>162000</v>
      </c>
      <c r="R145" s="309">
        <f t="shared" si="298"/>
        <v>0.75318518518518518</v>
      </c>
      <c r="S145" s="312">
        <f>(1800-100)/3</f>
        <v>566.66666666666663</v>
      </c>
      <c r="T145" s="312">
        <f>(1800-100)/3</f>
        <v>566.66666666666663</v>
      </c>
      <c r="U145" s="308" t="s">
        <v>413</v>
      </c>
      <c r="V145" s="310">
        <v>23.8</v>
      </c>
      <c r="W145" s="387">
        <f t="shared" si="267"/>
        <v>23.8</v>
      </c>
      <c r="X145" s="307">
        <v>40.700000000000003</v>
      </c>
      <c r="Y145" s="387">
        <f t="shared" si="268"/>
        <v>40.700000000000003</v>
      </c>
      <c r="Z145" s="423" t="s">
        <v>413</v>
      </c>
      <c r="AA145" s="427">
        <v>21.61</v>
      </c>
      <c r="AB145" s="427">
        <v>12.43</v>
      </c>
      <c r="AC145" s="311">
        <v>4</v>
      </c>
      <c r="AD145" s="328">
        <f>(90+10+90+10+90+10+90)/K145</f>
        <v>4.333333333333333</v>
      </c>
      <c r="AE145" s="311">
        <v>6</v>
      </c>
      <c r="AF145" s="313">
        <f t="shared" si="281"/>
        <v>0.96241536418781815</v>
      </c>
      <c r="AG145" s="313">
        <f t="shared" si="299"/>
        <v>20.797796020098751</v>
      </c>
      <c r="AH145" s="313">
        <f t="shared" si="282"/>
        <v>11.962822976854579</v>
      </c>
      <c r="AI145" s="308">
        <f t="shared" ref="AI145" si="304">((4*390/2)*AG145+(I145-4*390/2)*AH145)/I145</f>
        <v>15.79131129559372</v>
      </c>
      <c r="AJ145" s="298" t="s">
        <v>723</v>
      </c>
      <c r="AK145" s="298" t="s">
        <v>700</v>
      </c>
      <c r="AL145" s="298">
        <v>71</v>
      </c>
      <c r="AM145" s="298">
        <f>4*71</f>
        <v>284</v>
      </c>
      <c r="AN145" s="306">
        <f t="shared" si="207"/>
        <v>2.1913580246913579E-3</v>
      </c>
      <c r="AO145" s="298">
        <v>502.9</v>
      </c>
      <c r="AP145" s="306">
        <f>AN145*AO145</f>
        <v>1.1020339506172838</v>
      </c>
      <c r="AQ145" s="298">
        <v>570</v>
      </c>
      <c r="AR145" s="311" t="s">
        <v>781</v>
      </c>
      <c r="AS145" s="311">
        <f>4*19.4</f>
        <v>77.599999999999994</v>
      </c>
      <c r="AT145" s="311" t="s">
        <v>413</v>
      </c>
      <c r="AU145" s="298">
        <v>0</v>
      </c>
      <c r="AV145" s="298">
        <v>19.399999999999999</v>
      </c>
      <c r="AW145" s="312">
        <f t="shared" si="301"/>
        <v>77.599999999999994</v>
      </c>
      <c r="AX145" s="306">
        <f t="shared" si="302"/>
        <v>3.7816764132553603E-4</v>
      </c>
      <c r="AY145" s="298">
        <v>690.7</v>
      </c>
      <c r="AZ145" s="306">
        <f t="shared" si="303"/>
        <v>0.26120038986354777</v>
      </c>
      <c r="BA145" s="298">
        <v>570</v>
      </c>
      <c r="BB145" s="306">
        <f t="shared" si="285"/>
        <v>121.5</v>
      </c>
      <c r="BC145" s="298">
        <v>0.75</v>
      </c>
      <c r="BD145" s="313">
        <f t="shared" si="269"/>
        <v>4.7494472495724527E-2</v>
      </c>
      <c r="BE145" s="328">
        <f t="shared" si="210"/>
        <v>0.99577104642014169</v>
      </c>
      <c r="BF145" s="307">
        <v>93.2</v>
      </c>
      <c r="BG145" s="307">
        <v>103.7</v>
      </c>
      <c r="BH145" s="307">
        <f t="shared" si="286"/>
        <v>98.45</v>
      </c>
      <c r="BI145" s="361">
        <v>1</v>
      </c>
      <c r="BJ145" s="361">
        <f t="shared" si="258"/>
        <v>1</v>
      </c>
      <c r="BK145" s="312">
        <f t="shared" si="259"/>
        <v>1</v>
      </c>
      <c r="BL145" s="311">
        <f t="shared" ref="BL145:BL149" si="305">BH145*BI145*BJ145*BK145</f>
        <v>98.45</v>
      </c>
      <c r="BM145" s="309">
        <f t="shared" si="203"/>
        <v>0.60771604938271606</v>
      </c>
      <c r="BN145" s="309">
        <f t="shared" si="271"/>
        <v>0.80686139522685552</v>
      </c>
      <c r="BO145" s="376"/>
      <c r="BP145" s="328">
        <f t="shared" si="272"/>
        <v>7.9476565843256513</v>
      </c>
      <c r="BQ145" s="328">
        <f t="shared" si="260"/>
        <v>0.26120038986354777</v>
      </c>
      <c r="BR145" s="328">
        <f t="shared" si="294"/>
        <v>0.31350997321539459</v>
      </c>
      <c r="BS145" s="328">
        <f t="shared" si="273"/>
        <v>1.5296700970810002</v>
      </c>
      <c r="BT145" s="328">
        <f t="shared" si="274"/>
        <v>0.75</v>
      </c>
      <c r="BU145" s="376"/>
      <c r="BV145" s="328">
        <f t="shared" si="261"/>
        <v>0.5</v>
      </c>
      <c r="BW145" s="328">
        <f t="shared" si="262"/>
        <v>0.625</v>
      </c>
      <c r="BX145" s="373">
        <f t="shared" si="275"/>
        <v>0.87424222427582166</v>
      </c>
      <c r="BY145" s="311">
        <f t="shared" si="263"/>
        <v>71838.396133073242</v>
      </c>
      <c r="BZ145" s="311">
        <f t="shared" si="264"/>
        <v>81243.769263157883</v>
      </c>
      <c r="CA145" s="311">
        <f t="shared" si="276"/>
        <v>103001.62933286045</v>
      </c>
      <c r="CB145" s="307">
        <f t="shared" si="277"/>
        <v>103.00162933286045</v>
      </c>
      <c r="CC145" s="309">
        <f t="shared" si="278"/>
        <v>0.63581252674605215</v>
      </c>
      <c r="CD145" s="379">
        <f t="shared" si="265"/>
        <v>0.9558101229821192</v>
      </c>
    </row>
    <row r="146" spans="1:82" x14ac:dyDescent="0.25">
      <c r="A146" s="305">
        <v>138</v>
      </c>
      <c r="B146" s="298" t="s">
        <v>506</v>
      </c>
      <c r="C146" s="298" t="s">
        <v>558</v>
      </c>
      <c r="D146" s="298" t="s">
        <v>598</v>
      </c>
      <c r="E146" s="343" t="s">
        <v>668</v>
      </c>
      <c r="F146" s="298" t="s">
        <v>485</v>
      </c>
      <c r="G146" s="311">
        <v>1800</v>
      </c>
      <c r="H146" s="311">
        <f t="shared" si="295"/>
        <v>900</v>
      </c>
      <c r="I146" s="311">
        <v>1800</v>
      </c>
      <c r="J146" s="306">
        <f t="shared" si="296"/>
        <v>3240000</v>
      </c>
      <c r="K146" s="311">
        <v>90</v>
      </c>
      <c r="L146" s="327">
        <f>0.8*I146</f>
        <v>1440</v>
      </c>
      <c r="M146" s="309">
        <f t="shared" si="297"/>
        <v>1</v>
      </c>
      <c r="N146" s="309">
        <f t="shared" si="266"/>
        <v>0.5</v>
      </c>
      <c r="O146" s="309">
        <f t="shared" si="256"/>
        <v>0.5</v>
      </c>
      <c r="P146" s="306">
        <f>(2*390/2*K146)+(I146-2*390/2)*(25.4)*2</f>
        <v>106728</v>
      </c>
      <c r="Q146" s="306">
        <f t="shared" si="257"/>
        <v>162000</v>
      </c>
      <c r="R146" s="309">
        <f t="shared" si="298"/>
        <v>0.65881481481481485</v>
      </c>
      <c r="S146" s="295">
        <f>1800-100</f>
        <v>1700</v>
      </c>
      <c r="T146" s="295">
        <f>1800-100</f>
        <v>1700</v>
      </c>
      <c r="U146" s="308" t="s">
        <v>413</v>
      </c>
      <c r="V146" s="310">
        <v>23.8</v>
      </c>
      <c r="W146" s="387">
        <f t="shared" si="267"/>
        <v>23.8</v>
      </c>
      <c r="X146" s="307">
        <v>40.700000000000003</v>
      </c>
      <c r="Y146" s="387">
        <f t="shared" si="268"/>
        <v>40.700000000000003</v>
      </c>
      <c r="Z146" s="423" t="s">
        <v>413</v>
      </c>
      <c r="AA146" s="427">
        <v>21.61</v>
      </c>
      <c r="AB146" s="427">
        <v>12.43</v>
      </c>
      <c r="AC146" s="311">
        <v>4</v>
      </c>
      <c r="AD146" s="328">
        <f>(90+10+90+10+90+10+90)/K146</f>
        <v>4.333333333333333</v>
      </c>
      <c r="AE146" s="311">
        <v>6</v>
      </c>
      <c r="AF146" s="313">
        <f t="shared" si="281"/>
        <v>0.96241536418781815</v>
      </c>
      <c r="AG146" s="313">
        <f t="shared" si="299"/>
        <v>20.797796020098751</v>
      </c>
      <c r="AH146" s="313">
        <f t="shared" si="282"/>
        <v>11.962822976854579</v>
      </c>
      <c r="AI146" s="308">
        <f>((2*390/2)*AG146+(I146-2*390/2)*AH146)/I146</f>
        <v>13.877067136224149</v>
      </c>
      <c r="AJ146" s="298">
        <v>0</v>
      </c>
      <c r="AK146" s="298" t="s">
        <v>778</v>
      </c>
      <c r="AL146" s="298">
        <v>126</v>
      </c>
      <c r="AM146" s="298">
        <f>2*126</f>
        <v>252</v>
      </c>
      <c r="AN146" s="306">
        <f t="shared" si="207"/>
        <v>1.9444444444444444E-3</v>
      </c>
      <c r="AO146" s="298">
        <v>564.70000000000005</v>
      </c>
      <c r="AP146" s="306">
        <f>AN146*AO146</f>
        <v>1.0980277777777778</v>
      </c>
      <c r="AQ146" s="298">
        <v>1710</v>
      </c>
      <c r="AR146" s="311" t="s">
        <v>782</v>
      </c>
      <c r="AS146" s="311">
        <f>2*2*19.4</f>
        <v>77.599999999999994</v>
      </c>
      <c r="AT146" s="311" t="s">
        <v>413</v>
      </c>
      <c r="AU146" s="298">
        <v>0</v>
      </c>
      <c r="AV146" s="298">
        <v>19.399999999999999</v>
      </c>
      <c r="AW146" s="312">
        <f t="shared" si="301"/>
        <v>77.599999999999994</v>
      </c>
      <c r="AX146" s="306">
        <f t="shared" si="302"/>
        <v>1.2605588044184535E-4</v>
      </c>
      <c r="AY146" s="298">
        <v>690.7</v>
      </c>
      <c r="AZ146" s="306">
        <f t="shared" si="303"/>
        <v>8.7066796621182593E-2</v>
      </c>
      <c r="BA146" s="298">
        <v>1710</v>
      </c>
      <c r="BB146" s="306">
        <f t="shared" si="285"/>
        <v>121.5</v>
      </c>
      <c r="BC146" s="298">
        <v>0.75</v>
      </c>
      <c r="BD146" s="313">
        <f t="shared" si="269"/>
        <v>5.4046002129818166E-2</v>
      </c>
      <c r="BE146" s="328">
        <f t="shared" si="210"/>
        <v>1.1384079154486171</v>
      </c>
      <c r="BF146" s="307">
        <v>84.4</v>
      </c>
      <c r="BG146" s="307">
        <v>96.7</v>
      </c>
      <c r="BH146" s="307">
        <f t="shared" si="286"/>
        <v>90.550000000000011</v>
      </c>
      <c r="BI146" s="361">
        <v>1</v>
      </c>
      <c r="BJ146" s="361">
        <f t="shared" si="258"/>
        <v>1</v>
      </c>
      <c r="BK146" s="312">
        <f t="shared" si="259"/>
        <v>1</v>
      </c>
      <c r="BL146" s="311">
        <f t="shared" si="305"/>
        <v>90.550000000000011</v>
      </c>
      <c r="BM146" s="309">
        <f t="shared" si="203"/>
        <v>0.55895061728395079</v>
      </c>
      <c r="BN146" s="309">
        <f t="shared" si="271"/>
        <v>0.84841840941458679</v>
      </c>
      <c r="BO146" s="376"/>
      <c r="BP146" s="328">
        <f t="shared" si="272"/>
        <v>7.4503871406052848</v>
      </c>
      <c r="BQ146" s="328">
        <f t="shared" si="260"/>
        <v>8.7066796621182593E-2</v>
      </c>
      <c r="BR146" s="328">
        <f t="shared" si="294"/>
        <v>0.29478245928560465</v>
      </c>
      <c r="BS146" s="328">
        <f t="shared" si="273"/>
        <v>0.72416658989539973</v>
      </c>
      <c r="BT146" s="328">
        <f t="shared" si="274"/>
        <v>0.75</v>
      </c>
      <c r="BU146" s="376"/>
      <c r="BV146" s="328">
        <f t="shared" si="261"/>
        <v>0.5</v>
      </c>
      <c r="BW146" s="328">
        <f t="shared" si="262"/>
        <v>0.625</v>
      </c>
      <c r="BX146" s="373">
        <f t="shared" si="275"/>
        <v>0.81954258546658132</v>
      </c>
      <c r="BY146" s="311">
        <f t="shared" si="263"/>
        <v>68293.859538234479</v>
      </c>
      <c r="BZ146" s="311">
        <f t="shared" si="264"/>
        <v>27081.256421052629</v>
      </c>
      <c r="CA146" s="311">
        <f t="shared" si="276"/>
        <v>96557.017342244493</v>
      </c>
      <c r="CB146" s="307">
        <f t="shared" si="277"/>
        <v>95.375115959287115</v>
      </c>
      <c r="CC146" s="309">
        <f t="shared" si="278"/>
        <v>0.58873528369930317</v>
      </c>
      <c r="CD146" s="379">
        <f t="shared" si="265"/>
        <v>0.94940906848965922</v>
      </c>
    </row>
    <row r="147" spans="1:82" x14ac:dyDescent="0.25">
      <c r="A147" s="305">
        <v>139</v>
      </c>
      <c r="B147" s="298" t="s">
        <v>506</v>
      </c>
      <c r="C147" s="298" t="s">
        <v>559</v>
      </c>
      <c r="D147" s="298" t="s">
        <v>598</v>
      </c>
      <c r="E147" s="343" t="s">
        <v>668</v>
      </c>
      <c r="F147" s="298" t="s">
        <v>485</v>
      </c>
      <c r="G147" s="311">
        <v>900</v>
      </c>
      <c r="H147" s="311">
        <f t="shared" si="295"/>
        <v>450</v>
      </c>
      <c r="I147" s="311">
        <v>1800</v>
      </c>
      <c r="J147" s="306">
        <f t="shared" si="296"/>
        <v>1620000</v>
      </c>
      <c r="K147" s="311">
        <v>90</v>
      </c>
      <c r="L147" s="327">
        <f>0.8*I147</f>
        <v>1440</v>
      </c>
      <c r="M147" s="309">
        <f t="shared" si="297"/>
        <v>0.5</v>
      </c>
      <c r="N147" s="309">
        <f t="shared" si="266"/>
        <v>0.25</v>
      </c>
      <c r="O147" s="309">
        <f t="shared" si="256"/>
        <v>0.25</v>
      </c>
      <c r="P147" s="306">
        <f>(3*390/2*K147)+(I147-3*390/2)*(25.4)*2</f>
        <v>114372</v>
      </c>
      <c r="Q147" s="306">
        <f t="shared" si="257"/>
        <v>162000</v>
      </c>
      <c r="R147" s="309">
        <f t="shared" si="298"/>
        <v>0.70599999999999996</v>
      </c>
      <c r="S147" s="295">
        <f>1800-100</f>
        <v>1700</v>
      </c>
      <c r="T147" s="295">
        <f>1800-100</f>
        <v>1700</v>
      </c>
      <c r="U147" s="308" t="s">
        <v>413</v>
      </c>
      <c r="V147" s="310">
        <v>23.8</v>
      </c>
      <c r="W147" s="387">
        <f t="shared" si="267"/>
        <v>23.8</v>
      </c>
      <c r="X147" s="307">
        <v>40.700000000000003</v>
      </c>
      <c r="Y147" s="387">
        <f t="shared" si="268"/>
        <v>40.700000000000003</v>
      </c>
      <c r="Z147" s="423" t="s">
        <v>413</v>
      </c>
      <c r="AA147" s="427">
        <v>21.61</v>
      </c>
      <c r="AB147" s="427">
        <v>12.43</v>
      </c>
      <c r="AC147" s="311">
        <v>4</v>
      </c>
      <c r="AD147" s="328">
        <f>(90+10+90+10+90+10+90)/K147</f>
        <v>4.333333333333333</v>
      </c>
      <c r="AE147" s="311">
        <v>6</v>
      </c>
      <c r="AF147" s="313">
        <f t="shared" si="281"/>
        <v>0.96241536418781815</v>
      </c>
      <c r="AG147" s="313">
        <f t="shared" si="299"/>
        <v>20.797796020098751</v>
      </c>
      <c r="AH147" s="313">
        <f t="shared" si="282"/>
        <v>11.962822976854579</v>
      </c>
      <c r="AI147" s="308">
        <f t="shared" ref="AI147:AI148" si="306">((3*390/2)*AG147+(I147-3*390/2)*AH147)/I147</f>
        <v>14.834189215908935</v>
      </c>
      <c r="AJ147" s="298" t="s">
        <v>777</v>
      </c>
      <c r="AK147" s="298" t="s">
        <v>777</v>
      </c>
      <c r="AL147" s="298">
        <v>100</v>
      </c>
      <c r="AM147" s="298">
        <f>3*100</f>
        <v>300</v>
      </c>
      <c r="AN147" s="306">
        <f t="shared" si="207"/>
        <v>2.3148148148148151E-3</v>
      </c>
      <c r="AO147" s="298">
        <v>491.7</v>
      </c>
      <c r="AP147" s="306">
        <f>AN147*AO147</f>
        <v>1.1381944444444445</v>
      </c>
      <c r="AQ147" s="298">
        <v>855</v>
      </c>
      <c r="AR147" s="311" t="s">
        <v>783</v>
      </c>
      <c r="AS147" s="311">
        <f>2*19.4</f>
        <v>38.799999999999997</v>
      </c>
      <c r="AT147" s="311" t="s">
        <v>413</v>
      </c>
      <c r="AU147" s="298">
        <v>0</v>
      </c>
      <c r="AV147" s="298">
        <v>19.399999999999999</v>
      </c>
      <c r="AW147" s="312">
        <f t="shared" si="301"/>
        <v>38.799999999999997</v>
      </c>
      <c r="AX147" s="306">
        <f t="shared" si="302"/>
        <v>2.521117608836907E-4</v>
      </c>
      <c r="AY147" s="298">
        <v>690.7</v>
      </c>
      <c r="AZ147" s="306">
        <f t="shared" si="303"/>
        <v>0.17413359324236519</v>
      </c>
      <c r="BA147" s="298">
        <v>855</v>
      </c>
      <c r="BB147" s="306">
        <f t="shared" si="285"/>
        <v>121.5</v>
      </c>
      <c r="BC147" s="298">
        <v>0.75</v>
      </c>
      <c r="BD147" s="313">
        <f t="shared" si="269"/>
        <v>5.0558880507986376E-2</v>
      </c>
      <c r="BE147" s="328">
        <f t="shared" si="210"/>
        <v>1.0623229461756376</v>
      </c>
      <c r="BF147" s="307">
        <v>114.2</v>
      </c>
      <c r="BG147" s="307">
        <v>122.9</v>
      </c>
      <c r="BH147" s="307">
        <f t="shared" si="286"/>
        <v>118.55000000000001</v>
      </c>
      <c r="BI147" s="361">
        <v>1</v>
      </c>
      <c r="BJ147" s="361">
        <f t="shared" si="258"/>
        <v>1</v>
      </c>
      <c r="BK147" s="312">
        <f t="shared" si="259"/>
        <v>1</v>
      </c>
      <c r="BL147" s="311">
        <f t="shared" si="305"/>
        <v>118.55000000000001</v>
      </c>
      <c r="BM147" s="309">
        <f t="shared" si="203"/>
        <v>0.73179012345679018</v>
      </c>
      <c r="BN147" s="309">
        <f t="shared" si="271"/>
        <v>1.0365299199104676</v>
      </c>
      <c r="BO147" s="376"/>
      <c r="BP147" s="328">
        <f t="shared" si="272"/>
        <v>15.406071123246932</v>
      </c>
      <c r="BQ147" s="328">
        <f t="shared" si="260"/>
        <v>0.17413359324236519</v>
      </c>
      <c r="BR147" s="328">
        <f t="shared" si="294"/>
        <v>0.32746399960773509</v>
      </c>
      <c r="BS147" s="328">
        <f t="shared" si="273"/>
        <v>1.1346917286788665</v>
      </c>
      <c r="BT147" s="328">
        <f t="shared" si="274"/>
        <v>0.75</v>
      </c>
      <c r="BU147" s="376"/>
      <c r="BV147" s="328">
        <f t="shared" si="261"/>
        <v>0.5</v>
      </c>
      <c r="BW147" s="328">
        <f t="shared" si="262"/>
        <v>0.3125</v>
      </c>
      <c r="BX147" s="373">
        <f t="shared" si="275"/>
        <v>1.0399098008191681</v>
      </c>
      <c r="BY147" s="311">
        <f t="shared" si="263"/>
        <v>82573.655093082096</v>
      </c>
      <c r="BZ147" s="311">
        <f t="shared" si="264"/>
        <v>27081.256421052629</v>
      </c>
      <c r="CA147" s="311">
        <f t="shared" si="276"/>
        <v>99831.340878640112</v>
      </c>
      <c r="CB147" s="307">
        <f t="shared" si="277"/>
        <v>99.831340878640106</v>
      </c>
      <c r="CC147" s="309">
        <f t="shared" si="278"/>
        <v>0.61624284492987713</v>
      </c>
      <c r="CD147" s="379">
        <f t="shared" si="265"/>
        <v>1.1875028318423093</v>
      </c>
    </row>
    <row r="148" spans="1:82" x14ac:dyDescent="0.25">
      <c r="A148" s="315">
        <v>140</v>
      </c>
      <c r="B148" s="315" t="s">
        <v>506</v>
      </c>
      <c r="C148" s="315" t="s">
        <v>560</v>
      </c>
      <c r="D148" s="315" t="s">
        <v>598</v>
      </c>
      <c r="E148" s="341" t="s">
        <v>668</v>
      </c>
      <c r="F148" s="315" t="s">
        <v>485</v>
      </c>
      <c r="G148" s="321">
        <v>2698</v>
      </c>
      <c r="H148" s="321">
        <f t="shared" si="295"/>
        <v>1349</v>
      </c>
      <c r="I148" s="321">
        <v>1800</v>
      </c>
      <c r="J148" s="316">
        <f t="shared" si="296"/>
        <v>4856400</v>
      </c>
      <c r="K148" s="321">
        <v>90</v>
      </c>
      <c r="L148" s="329">
        <f>0.8*I148</f>
        <v>1440</v>
      </c>
      <c r="M148" s="319">
        <f t="shared" si="297"/>
        <v>1.4988888888888889</v>
      </c>
      <c r="N148" s="319">
        <f t="shared" si="266"/>
        <v>0.74944444444444447</v>
      </c>
      <c r="O148" s="319">
        <f t="shared" si="256"/>
        <v>0.74944444444444447</v>
      </c>
      <c r="P148" s="316">
        <f>(3*390/2*K148)+(I148-3*390/2)*(25.4)*2</f>
        <v>114372</v>
      </c>
      <c r="Q148" s="316">
        <f t="shared" si="257"/>
        <v>162000</v>
      </c>
      <c r="R148" s="319">
        <f t="shared" si="298"/>
        <v>0.70599999999999996</v>
      </c>
      <c r="S148" s="294">
        <f>(1800-100)/2</f>
        <v>850</v>
      </c>
      <c r="T148" s="322">
        <f>(2700-100)/3</f>
        <v>866.66666666666663</v>
      </c>
      <c r="U148" s="318" t="s">
        <v>413</v>
      </c>
      <c r="V148" s="320">
        <v>23.8</v>
      </c>
      <c r="W148" s="387">
        <f t="shared" si="267"/>
        <v>23.8</v>
      </c>
      <c r="X148" s="317">
        <v>40.700000000000003</v>
      </c>
      <c r="Y148" s="387">
        <f t="shared" si="268"/>
        <v>40.700000000000003</v>
      </c>
      <c r="Z148" s="419" t="s">
        <v>413</v>
      </c>
      <c r="AA148" s="428">
        <v>21.61</v>
      </c>
      <c r="AB148" s="428">
        <v>12.43</v>
      </c>
      <c r="AC148" s="321">
        <v>4</v>
      </c>
      <c r="AD148" s="330">
        <f>(90+10+90+10+90+10+90)/K148</f>
        <v>4.333333333333333</v>
      </c>
      <c r="AE148" s="321">
        <v>6</v>
      </c>
      <c r="AF148" s="324">
        <f t="shared" si="281"/>
        <v>0.96241536418781815</v>
      </c>
      <c r="AG148" s="324">
        <f t="shared" si="299"/>
        <v>20.797796020098751</v>
      </c>
      <c r="AH148" s="324">
        <f t="shared" si="282"/>
        <v>11.962822976854579</v>
      </c>
      <c r="AI148" s="318">
        <f t="shared" si="306"/>
        <v>14.834189215908935</v>
      </c>
      <c r="AJ148" s="315" t="s">
        <v>777</v>
      </c>
      <c r="AK148" s="315" t="s">
        <v>777</v>
      </c>
      <c r="AL148" s="315">
        <v>100</v>
      </c>
      <c r="AM148" s="315">
        <f>3*100</f>
        <v>300</v>
      </c>
      <c r="AN148" s="316">
        <f t="shared" ref="AN148:AN166" si="307">AM148/K148/L148</f>
        <v>2.3148148148148151E-3</v>
      </c>
      <c r="AO148" s="315">
        <v>491.7</v>
      </c>
      <c r="AP148" s="316">
        <f>AN148*AO148</f>
        <v>1.1381944444444445</v>
      </c>
      <c r="AQ148" s="315">
        <v>855</v>
      </c>
      <c r="AR148" s="321" t="s">
        <v>780</v>
      </c>
      <c r="AS148" s="321">
        <f>4*25.8</f>
        <v>103.2</v>
      </c>
      <c r="AT148" s="321" t="s">
        <v>413</v>
      </c>
      <c r="AU148" s="315">
        <v>0</v>
      </c>
      <c r="AV148" s="315">
        <v>25.8</v>
      </c>
      <c r="AW148" s="322">
        <f t="shared" si="301"/>
        <v>103.2</v>
      </c>
      <c r="AX148" s="316">
        <f t="shared" si="302"/>
        <v>3.3528265107212477E-4</v>
      </c>
      <c r="AY148" s="315">
        <v>743.7</v>
      </c>
      <c r="AZ148" s="316">
        <f t="shared" si="303"/>
        <v>0.24934970760233921</v>
      </c>
      <c r="BA148" s="315">
        <v>855</v>
      </c>
      <c r="BB148" s="316">
        <f t="shared" si="285"/>
        <v>121.5</v>
      </c>
      <c r="BC148" s="315">
        <v>0.75</v>
      </c>
      <c r="BD148" s="324">
        <f t="shared" si="269"/>
        <v>5.0558880507986376E-2</v>
      </c>
      <c r="BE148" s="330">
        <f t="shared" si="210"/>
        <v>1.0623229461756376</v>
      </c>
      <c r="BF148" s="317">
        <v>79.099999999999994</v>
      </c>
      <c r="BG148" s="317">
        <v>84.3</v>
      </c>
      <c r="BH148" s="317">
        <f t="shared" si="286"/>
        <v>81.699999999999989</v>
      </c>
      <c r="BI148" s="315">
        <v>1</v>
      </c>
      <c r="BJ148" s="315">
        <f t="shared" si="258"/>
        <v>1</v>
      </c>
      <c r="BK148" s="322">
        <f t="shared" si="259"/>
        <v>1</v>
      </c>
      <c r="BL148" s="321">
        <f t="shared" si="305"/>
        <v>81.699999999999989</v>
      </c>
      <c r="BM148" s="319">
        <f t="shared" si="203"/>
        <v>0.50432098765432087</v>
      </c>
      <c r="BN148" s="319">
        <f t="shared" si="271"/>
        <v>0.71433567656419394</v>
      </c>
      <c r="BO148" s="376"/>
      <c r="BP148" s="330">
        <f t="shared" si="272"/>
        <v>5.139163829103869</v>
      </c>
      <c r="BQ148" s="330">
        <f t="shared" si="260"/>
        <v>0.24934970760233921</v>
      </c>
      <c r="BR148" s="330">
        <f t="shared" si="294"/>
        <v>0.32746399960773509</v>
      </c>
      <c r="BS148" s="330">
        <f t="shared" si="273"/>
        <v>1.3578163686557516</v>
      </c>
      <c r="BT148" s="330">
        <f t="shared" si="274"/>
        <v>0.75</v>
      </c>
      <c r="BU148" s="376"/>
      <c r="BV148" s="328">
        <f t="shared" si="261"/>
        <v>0.5</v>
      </c>
      <c r="BW148" s="328">
        <f t="shared" si="262"/>
        <v>0.93680555555555556</v>
      </c>
      <c r="BX148" s="373">
        <f t="shared" si="275"/>
        <v>0.6551859691580848</v>
      </c>
      <c r="BY148" s="311">
        <f t="shared" si="263"/>
        <v>57643.550801443889</v>
      </c>
      <c r="BZ148" s="311">
        <f t="shared" si="264"/>
        <v>77557.733052631578</v>
      </c>
      <c r="CA148" s="311">
        <f t="shared" si="276"/>
        <v>99831.340878640112</v>
      </c>
      <c r="CB148" s="307">
        <f t="shared" si="277"/>
        <v>99.831340878640106</v>
      </c>
      <c r="CC148" s="309">
        <f t="shared" si="278"/>
        <v>0.61624284492987713</v>
      </c>
      <c r="CD148" s="379">
        <f t="shared" si="265"/>
        <v>0.81838027297778693</v>
      </c>
    </row>
    <row r="149" spans="1:82" x14ac:dyDescent="0.25">
      <c r="A149" s="305">
        <v>141</v>
      </c>
      <c r="B149" s="298" t="s">
        <v>564</v>
      </c>
      <c r="C149" s="298" t="s">
        <v>565</v>
      </c>
      <c r="D149" s="298" t="s">
        <v>598</v>
      </c>
      <c r="E149" s="298" t="s">
        <v>668</v>
      </c>
      <c r="F149" s="298" t="s">
        <v>485</v>
      </c>
      <c r="G149" s="311">
        <f t="shared" ref="G149:G154" si="308">60*$O$3</f>
        <v>1524</v>
      </c>
      <c r="H149" s="311">
        <f t="shared" si="295"/>
        <v>762</v>
      </c>
      <c r="I149" s="311">
        <f t="shared" ref="I149:I154" si="309">104*$O$3</f>
        <v>2641.6</v>
      </c>
      <c r="J149" s="306">
        <f t="shared" si="296"/>
        <v>4025798.4</v>
      </c>
      <c r="K149" s="311">
        <f t="shared" ref="K149:K154" si="310">8*$O$3-10</f>
        <v>193.2</v>
      </c>
      <c r="L149" s="312">
        <v>2634</v>
      </c>
      <c r="M149" s="309">
        <f t="shared" si="297"/>
        <v>0.57692307692307698</v>
      </c>
      <c r="N149" s="309">
        <f t="shared" si="266"/>
        <v>0.28846153846153849</v>
      </c>
      <c r="O149" s="309">
        <f t="shared" si="256"/>
        <v>0.28846153846153849</v>
      </c>
      <c r="P149" s="312">
        <v>229677</v>
      </c>
      <c r="Q149" s="306">
        <f t="shared" si="257"/>
        <v>510357.11999999994</v>
      </c>
      <c r="R149" s="309">
        <f t="shared" si="298"/>
        <v>0.45003193058225588</v>
      </c>
      <c r="S149" s="312">
        <f>48*$O$3</f>
        <v>1219.1999999999998</v>
      </c>
      <c r="T149" s="295">
        <f>28*$O$3</f>
        <v>711.19999999999993</v>
      </c>
      <c r="U149" s="308" t="s">
        <v>413</v>
      </c>
      <c r="V149" s="310">
        <v>14.89</v>
      </c>
      <c r="W149" s="387">
        <f t="shared" si="267"/>
        <v>14.89</v>
      </c>
      <c r="X149" s="298">
        <v>35.85</v>
      </c>
      <c r="Y149" s="387">
        <f t="shared" si="268"/>
        <v>35.85</v>
      </c>
      <c r="Z149" s="425" t="s">
        <v>413</v>
      </c>
      <c r="AA149" s="325">
        <v>17.440000000000001</v>
      </c>
      <c r="AB149" s="325">
        <v>24.4</v>
      </c>
      <c r="AC149" s="298">
        <v>2</v>
      </c>
      <c r="AD149" s="328">
        <f>385/197</f>
        <v>1.9543147208121827</v>
      </c>
      <c r="AE149" s="298">
        <v>5</v>
      </c>
      <c r="AF149" s="313">
        <f t="shared" si="281"/>
        <v>0.80902744017690209</v>
      </c>
      <c r="AG149" s="313">
        <f t="shared" si="299"/>
        <v>14.109438556685173</v>
      </c>
      <c r="AH149" s="313">
        <f t="shared" si="282"/>
        <v>19.740269540316408</v>
      </c>
      <c r="AI149" s="308">
        <f t="shared" ref="AI149:AI152" si="311">((3*390/2)*AG149+(I149-3*390/2)*AH149)/I149</f>
        <v>18.493284332327207</v>
      </c>
      <c r="AJ149" s="311" t="s">
        <v>769</v>
      </c>
      <c r="AK149" s="311" t="s">
        <v>769</v>
      </c>
      <c r="AL149" s="311">
        <f>0.44*$O$3^2</f>
        <v>283.87039999999996</v>
      </c>
      <c r="AM149" s="311">
        <f>6*0.44*O3^2</f>
        <v>1703.2224000000001</v>
      </c>
      <c r="AN149" s="306">
        <f t="shared" si="307"/>
        <v>3.3469441654050947E-3</v>
      </c>
      <c r="AO149" s="298">
        <v>427</v>
      </c>
      <c r="AP149" s="306">
        <f t="shared" ref="AP149:AP166" si="312">AO149/O149/K149</f>
        <v>7.6618357487922699</v>
      </c>
      <c r="AQ149" s="298">
        <v>1219</v>
      </c>
      <c r="AR149" s="311" t="s">
        <v>724</v>
      </c>
      <c r="AS149" s="311">
        <f t="shared" ref="AS149:AS154" si="313">AV149*2</f>
        <v>399.99919999999997</v>
      </c>
      <c r="AT149" s="311" t="s">
        <v>413</v>
      </c>
      <c r="AU149" s="298">
        <v>0</v>
      </c>
      <c r="AV149" s="311">
        <f>0.31*$O$3^2</f>
        <v>199.99959999999999</v>
      </c>
      <c r="AW149" s="312">
        <f t="shared" si="301"/>
        <v>399.99919999999997</v>
      </c>
      <c r="AX149" s="345">
        <f t="shared" si="302"/>
        <v>8.4921625674915966E-4</v>
      </c>
      <c r="AY149" s="298">
        <v>452</v>
      </c>
      <c r="AZ149" s="306">
        <f t="shared" si="303"/>
        <v>0.38384574805062016</v>
      </c>
      <c r="BA149" s="298">
        <v>1219</v>
      </c>
      <c r="BB149" s="298">
        <v>48.927999999999997</v>
      </c>
      <c r="BC149" s="309">
        <f t="shared" ref="BC149:BC158" si="314">BB149/Q149*1000</f>
        <v>9.5870123258004133E-2</v>
      </c>
      <c r="BD149" s="313">
        <f t="shared" si="269"/>
        <v>5.1840506821396919E-3</v>
      </c>
      <c r="BE149" s="309">
        <f t="shared" si="210"/>
        <v>0.21302960244168984</v>
      </c>
      <c r="BF149" s="307" t="s">
        <v>413</v>
      </c>
      <c r="BG149" s="307">
        <v>238</v>
      </c>
      <c r="BH149" s="312">
        <f t="shared" ref="BH149:BH157" si="315">BG149</f>
        <v>238</v>
      </c>
      <c r="BI149" s="373">
        <v>0.94430000000000003</v>
      </c>
      <c r="BJ149" s="361">
        <f t="shared" si="258"/>
        <v>1</v>
      </c>
      <c r="BK149" s="312">
        <f t="shared" si="259"/>
        <v>1</v>
      </c>
      <c r="BL149" s="311">
        <f t="shared" si="305"/>
        <v>224.74340000000001</v>
      </c>
      <c r="BM149" s="309">
        <f t="shared" si="203"/>
        <v>0.44036497423608012</v>
      </c>
      <c r="BN149" s="309">
        <f t="shared" si="271"/>
        <v>0.97851939898204876</v>
      </c>
      <c r="BO149" s="376"/>
      <c r="BP149" s="328">
        <f t="shared" si="272"/>
        <v>14.907990524787968</v>
      </c>
      <c r="BQ149" s="328">
        <f t="shared" si="260"/>
        <v>0.38384574805062016</v>
      </c>
      <c r="BR149" s="328">
        <f t="shared" si="294"/>
        <v>0.95881591139138478</v>
      </c>
      <c r="BS149" s="328">
        <f t="shared" si="273"/>
        <v>1.1990263281550944</v>
      </c>
      <c r="BT149" s="328">
        <f t="shared" si="274"/>
        <v>9.5870123258004133E-2</v>
      </c>
      <c r="BU149" s="376"/>
      <c r="BV149" s="328">
        <f t="shared" si="261"/>
        <v>0.45003193058225588</v>
      </c>
      <c r="BW149" s="328">
        <f t="shared" si="262"/>
        <v>0.28929384965831434</v>
      </c>
      <c r="BX149" s="373">
        <f t="shared" si="275"/>
        <v>1.1770703575380164</v>
      </c>
      <c r="BY149" s="311">
        <f t="shared" si="263"/>
        <v>275072.98172068555</v>
      </c>
      <c r="BZ149" s="311">
        <f t="shared" si="264"/>
        <v>234401.76253269889</v>
      </c>
      <c r="CA149" s="311">
        <f t="shared" si="276"/>
        <v>393942.86255994567</v>
      </c>
      <c r="CB149" s="307">
        <f t="shared" si="277"/>
        <v>393.9428625599457</v>
      </c>
      <c r="CC149" s="309">
        <f t="shared" si="278"/>
        <v>0.77189647625557911</v>
      </c>
      <c r="CD149" s="379">
        <f t="shared" si="265"/>
        <v>0.57049745371589555</v>
      </c>
    </row>
    <row r="150" spans="1:82" x14ac:dyDescent="0.25">
      <c r="A150" s="305">
        <v>142</v>
      </c>
      <c r="B150" s="298" t="s">
        <v>564</v>
      </c>
      <c r="C150" s="298" t="s">
        <v>566</v>
      </c>
      <c r="D150" s="298" t="s">
        <v>598</v>
      </c>
      <c r="E150" s="298" t="s">
        <v>668</v>
      </c>
      <c r="F150" s="298" t="s">
        <v>485</v>
      </c>
      <c r="G150" s="311">
        <f t="shared" si="308"/>
        <v>1524</v>
      </c>
      <c r="H150" s="311">
        <f t="shared" si="295"/>
        <v>762</v>
      </c>
      <c r="I150" s="311">
        <f t="shared" si="309"/>
        <v>2641.6</v>
      </c>
      <c r="J150" s="306">
        <f t="shared" si="296"/>
        <v>4025798.4</v>
      </c>
      <c r="K150" s="311">
        <f t="shared" si="310"/>
        <v>193.2</v>
      </c>
      <c r="L150" s="312">
        <v>2634</v>
      </c>
      <c r="M150" s="309">
        <f t="shared" si="297"/>
        <v>0.57692307692307698</v>
      </c>
      <c r="N150" s="309">
        <f t="shared" si="266"/>
        <v>0.28846153846153849</v>
      </c>
      <c r="O150" s="309">
        <f t="shared" si="256"/>
        <v>0.28846153846153849</v>
      </c>
      <c r="P150" s="312">
        <v>229677</v>
      </c>
      <c r="Q150" s="306">
        <f t="shared" si="257"/>
        <v>510357.11999999994</v>
      </c>
      <c r="R150" s="309">
        <f t="shared" si="298"/>
        <v>0.45003193058225588</v>
      </c>
      <c r="S150" s="312">
        <f t="shared" ref="S150:S152" si="316">48*$O$3</f>
        <v>1219.1999999999998</v>
      </c>
      <c r="T150" s="295">
        <f t="shared" ref="T150:T154" si="317">28*$O$3</f>
        <v>711.19999999999993</v>
      </c>
      <c r="U150" s="308" t="s">
        <v>413</v>
      </c>
      <c r="V150" s="310">
        <v>14.89</v>
      </c>
      <c r="W150" s="387">
        <f t="shared" si="267"/>
        <v>14.89</v>
      </c>
      <c r="X150" s="298">
        <v>35.85</v>
      </c>
      <c r="Y150" s="387">
        <f t="shared" si="268"/>
        <v>35.85</v>
      </c>
      <c r="Z150" s="423" t="s">
        <v>413</v>
      </c>
      <c r="AA150" s="325">
        <v>17.440000000000001</v>
      </c>
      <c r="AB150" s="325">
        <v>24.4</v>
      </c>
      <c r="AC150" s="298">
        <v>2</v>
      </c>
      <c r="AD150" s="328">
        <f t="shared" ref="AD150:AD154" si="318">385/197</f>
        <v>1.9543147208121827</v>
      </c>
      <c r="AE150" s="298">
        <v>5</v>
      </c>
      <c r="AF150" s="313">
        <f t="shared" si="281"/>
        <v>0.80902744017690209</v>
      </c>
      <c r="AG150" s="313">
        <f t="shared" si="299"/>
        <v>14.109438556685173</v>
      </c>
      <c r="AH150" s="313">
        <f t="shared" si="282"/>
        <v>19.740269540316408</v>
      </c>
      <c r="AI150" s="308">
        <f t="shared" si="311"/>
        <v>18.493284332327207</v>
      </c>
      <c r="AJ150" s="311" t="s">
        <v>769</v>
      </c>
      <c r="AK150" s="311" t="s">
        <v>769</v>
      </c>
      <c r="AL150" s="311">
        <f>0.44*$O$3^2</f>
        <v>283.87039999999996</v>
      </c>
      <c r="AM150" s="311">
        <f>6*0.44*$O$3^2</f>
        <v>1703.2224000000001</v>
      </c>
      <c r="AN150" s="306">
        <f t="shared" si="307"/>
        <v>3.3469441654050947E-3</v>
      </c>
      <c r="AO150" s="298">
        <v>427</v>
      </c>
      <c r="AP150" s="306">
        <f t="shared" si="312"/>
        <v>7.6618357487922699</v>
      </c>
      <c r="AQ150" s="298">
        <v>1219</v>
      </c>
      <c r="AR150" s="311" t="s">
        <v>785</v>
      </c>
      <c r="AS150" s="311">
        <f t="shared" si="313"/>
        <v>567.74079999999992</v>
      </c>
      <c r="AT150" s="311" t="s">
        <v>413</v>
      </c>
      <c r="AU150" s="298">
        <v>0</v>
      </c>
      <c r="AV150" s="311">
        <f>0.44*$O$3^2</f>
        <v>283.87039999999996</v>
      </c>
      <c r="AW150" s="312">
        <f t="shared" si="301"/>
        <v>567.74079999999992</v>
      </c>
      <c r="AX150" s="345">
        <f t="shared" si="302"/>
        <v>1.2053392031278396E-3</v>
      </c>
      <c r="AY150" s="298">
        <v>427</v>
      </c>
      <c r="AZ150" s="306">
        <f t="shared" si="303"/>
        <v>0.51467983973558751</v>
      </c>
      <c r="BA150" s="298">
        <v>1219</v>
      </c>
      <c r="BB150" s="298">
        <v>48.927999999999997</v>
      </c>
      <c r="BC150" s="309">
        <f t="shared" si="314"/>
        <v>9.5870123258004133E-2</v>
      </c>
      <c r="BD150" s="313">
        <f t="shared" si="269"/>
        <v>5.1840506821396919E-3</v>
      </c>
      <c r="BE150" s="309">
        <f t="shared" si="210"/>
        <v>0.21302960244168984</v>
      </c>
      <c r="BF150" s="307" t="s">
        <v>413</v>
      </c>
      <c r="BG150" s="307">
        <v>252</v>
      </c>
      <c r="BH150" s="312">
        <f t="shared" si="315"/>
        <v>252</v>
      </c>
      <c r="BI150" s="373">
        <v>0.94430000000000003</v>
      </c>
      <c r="BJ150" s="361">
        <f t="shared" si="258"/>
        <v>1</v>
      </c>
      <c r="BK150" s="312">
        <f t="shared" si="259"/>
        <v>1</v>
      </c>
      <c r="BL150" s="311">
        <f t="shared" ref="BL150:BL154" si="319">BH150*BI150*BJ150*BK150</f>
        <v>237.96360000000001</v>
      </c>
      <c r="BM150" s="309">
        <f t="shared" si="203"/>
        <v>0.46626879624996714</v>
      </c>
      <c r="BN150" s="309">
        <f t="shared" si="271"/>
        <v>1.0360793636280516</v>
      </c>
      <c r="BO150" s="376"/>
      <c r="BP150" s="328">
        <f t="shared" si="272"/>
        <v>14.907990524787968</v>
      </c>
      <c r="BQ150" s="328">
        <f t="shared" si="260"/>
        <v>0.51467983973558751</v>
      </c>
      <c r="BR150" s="328">
        <f t="shared" si="294"/>
        <v>0.95881591139138478</v>
      </c>
      <c r="BS150" s="328">
        <f t="shared" si="273"/>
        <v>1.3884138294235193</v>
      </c>
      <c r="BT150" s="328">
        <f t="shared" si="274"/>
        <v>9.5870123258004133E-2</v>
      </c>
      <c r="BU150" s="376"/>
      <c r="BV150" s="328">
        <f t="shared" si="261"/>
        <v>0.45003193058225588</v>
      </c>
      <c r="BW150" s="328">
        <f t="shared" si="262"/>
        <v>0.28929384965831434</v>
      </c>
      <c r="BX150" s="373">
        <f t="shared" si="275"/>
        <v>1.1770703575380164</v>
      </c>
      <c r="BY150" s="311">
        <f t="shared" si="263"/>
        <v>275072.98172068555</v>
      </c>
      <c r="BZ150" s="311">
        <f t="shared" si="264"/>
        <v>314297.76723268244</v>
      </c>
      <c r="CA150" s="311">
        <f t="shared" si="276"/>
        <v>393942.86255994567</v>
      </c>
      <c r="CB150" s="307">
        <f t="shared" si="277"/>
        <v>393.9428625599457</v>
      </c>
      <c r="CC150" s="309">
        <f t="shared" si="278"/>
        <v>0.77189647625557911</v>
      </c>
      <c r="CD150" s="379">
        <f t="shared" si="265"/>
        <v>0.60405612746388937</v>
      </c>
    </row>
    <row r="151" spans="1:82" x14ac:dyDescent="0.25">
      <c r="A151" s="305">
        <v>143</v>
      </c>
      <c r="B151" s="298" t="s">
        <v>564</v>
      </c>
      <c r="C151" s="298" t="s">
        <v>567</v>
      </c>
      <c r="D151" s="298" t="s">
        <v>598</v>
      </c>
      <c r="E151" s="298" t="s">
        <v>668</v>
      </c>
      <c r="F151" s="298" t="s">
        <v>485</v>
      </c>
      <c r="G151" s="311">
        <f t="shared" si="308"/>
        <v>1524</v>
      </c>
      <c r="H151" s="311">
        <f t="shared" si="295"/>
        <v>762</v>
      </c>
      <c r="I151" s="311">
        <f t="shared" si="309"/>
        <v>2641.6</v>
      </c>
      <c r="J151" s="306">
        <f t="shared" si="296"/>
        <v>4025798.4</v>
      </c>
      <c r="K151" s="311">
        <f t="shared" si="310"/>
        <v>193.2</v>
      </c>
      <c r="L151" s="312">
        <v>2634</v>
      </c>
      <c r="M151" s="309">
        <f t="shared" si="297"/>
        <v>0.57692307692307698</v>
      </c>
      <c r="N151" s="309">
        <f t="shared" si="266"/>
        <v>0.28846153846153849</v>
      </c>
      <c r="O151" s="309">
        <f t="shared" si="256"/>
        <v>0.28846153846153849</v>
      </c>
      <c r="P151" s="312">
        <v>229677</v>
      </c>
      <c r="Q151" s="306">
        <f t="shared" si="257"/>
        <v>510357.11999999994</v>
      </c>
      <c r="R151" s="309">
        <f t="shared" si="298"/>
        <v>0.45003193058225588</v>
      </c>
      <c r="S151" s="312">
        <f t="shared" si="316"/>
        <v>1219.1999999999998</v>
      </c>
      <c r="T151" s="295">
        <f t="shared" si="317"/>
        <v>711.19999999999993</v>
      </c>
      <c r="U151" s="308" t="s">
        <v>413</v>
      </c>
      <c r="V151" s="310">
        <v>14.89</v>
      </c>
      <c r="W151" s="387">
        <f t="shared" si="267"/>
        <v>14.89</v>
      </c>
      <c r="X151" s="298">
        <v>35.85</v>
      </c>
      <c r="Y151" s="387">
        <f t="shared" si="268"/>
        <v>35.85</v>
      </c>
      <c r="Z151" s="423" t="s">
        <v>413</v>
      </c>
      <c r="AA151" s="325">
        <v>17.440000000000001</v>
      </c>
      <c r="AB151" s="325">
        <v>24.4</v>
      </c>
      <c r="AC151" s="298">
        <v>2</v>
      </c>
      <c r="AD151" s="328">
        <f t="shared" si="318"/>
        <v>1.9543147208121827</v>
      </c>
      <c r="AE151" s="298">
        <v>5</v>
      </c>
      <c r="AF151" s="313">
        <f t="shared" si="281"/>
        <v>0.80902744017690209</v>
      </c>
      <c r="AG151" s="313">
        <f t="shared" si="299"/>
        <v>14.109438556685173</v>
      </c>
      <c r="AH151" s="313">
        <f t="shared" si="282"/>
        <v>19.740269540316408</v>
      </c>
      <c r="AI151" s="308">
        <f t="shared" si="311"/>
        <v>18.493284332327207</v>
      </c>
      <c r="AJ151" s="311" t="s">
        <v>769</v>
      </c>
      <c r="AK151" s="311" t="s">
        <v>769</v>
      </c>
      <c r="AL151" s="311">
        <f>0.44*$O$3^2</f>
        <v>283.87039999999996</v>
      </c>
      <c r="AM151" s="311">
        <f>6*0.44*$O$3^2</f>
        <v>1703.2224000000001</v>
      </c>
      <c r="AN151" s="306">
        <f t="shared" si="307"/>
        <v>3.3469441654050947E-3</v>
      </c>
      <c r="AO151" s="298">
        <v>427</v>
      </c>
      <c r="AP151" s="306">
        <f t="shared" si="312"/>
        <v>7.6618357487922699</v>
      </c>
      <c r="AQ151" s="298">
        <v>1219</v>
      </c>
      <c r="AR151" s="311" t="s">
        <v>786</v>
      </c>
      <c r="AS151" s="311">
        <f t="shared" si="313"/>
        <v>799.99839999999995</v>
      </c>
      <c r="AT151" s="311" t="s">
        <v>413</v>
      </c>
      <c r="AU151" s="298">
        <v>0</v>
      </c>
      <c r="AV151" s="311">
        <f>0.31*2*$O$3^2</f>
        <v>399.99919999999997</v>
      </c>
      <c r="AW151" s="312">
        <f t="shared" si="301"/>
        <v>799.99839999999995</v>
      </c>
      <c r="AX151" s="345">
        <f t="shared" si="302"/>
        <v>1.6984325134983193E-3</v>
      </c>
      <c r="AY151" s="298">
        <v>452</v>
      </c>
      <c r="AZ151" s="306">
        <f t="shared" si="303"/>
        <v>0.76769149610124032</v>
      </c>
      <c r="BA151" s="298">
        <v>1219</v>
      </c>
      <c r="BB151" s="298">
        <v>48.927999999999997</v>
      </c>
      <c r="BC151" s="309">
        <f t="shared" si="314"/>
        <v>9.5870123258004133E-2</v>
      </c>
      <c r="BD151" s="313">
        <f t="shared" si="269"/>
        <v>5.1840506821396919E-3</v>
      </c>
      <c r="BE151" s="309">
        <f t="shared" si="210"/>
        <v>0.21302960244168984</v>
      </c>
      <c r="BF151" s="307" t="s">
        <v>413</v>
      </c>
      <c r="BG151" s="307">
        <v>246</v>
      </c>
      <c r="BH151" s="312">
        <f t="shared" si="315"/>
        <v>246</v>
      </c>
      <c r="BI151" s="373">
        <v>0.94430000000000003</v>
      </c>
      <c r="BJ151" s="361">
        <f t="shared" si="258"/>
        <v>1</v>
      </c>
      <c r="BK151" s="312">
        <f t="shared" si="259"/>
        <v>1</v>
      </c>
      <c r="BL151" s="311">
        <f t="shared" si="319"/>
        <v>232.2978</v>
      </c>
      <c r="BM151" s="309">
        <f t="shared" si="203"/>
        <v>0.45516715824401555</v>
      </c>
      <c r="BN151" s="309">
        <f t="shared" si="271"/>
        <v>1.0114108073511932</v>
      </c>
      <c r="BO151" s="376"/>
      <c r="BP151" s="328">
        <f t="shared" si="272"/>
        <v>14.907990524787968</v>
      </c>
      <c r="BQ151" s="328">
        <f t="shared" si="260"/>
        <v>0.76769149610124032</v>
      </c>
      <c r="BR151" s="328">
        <f t="shared" si="294"/>
        <v>0.95881591139138478</v>
      </c>
      <c r="BS151" s="328">
        <f t="shared" si="273"/>
        <v>1.6956792949193478</v>
      </c>
      <c r="BT151" s="328">
        <f t="shared" si="274"/>
        <v>9.5870123258004133E-2</v>
      </c>
      <c r="BU151" s="376"/>
      <c r="BV151" s="328">
        <f t="shared" si="261"/>
        <v>0.45003193058225588</v>
      </c>
      <c r="BW151" s="328">
        <f t="shared" si="262"/>
        <v>0.28929384965831434</v>
      </c>
      <c r="BX151" s="373">
        <f t="shared" si="275"/>
        <v>1.1770703575380164</v>
      </c>
      <c r="BY151" s="311">
        <f t="shared" si="263"/>
        <v>275072.98172068555</v>
      </c>
      <c r="BZ151" s="311">
        <f t="shared" si="264"/>
        <v>468803.52506539779</v>
      </c>
      <c r="CA151" s="311">
        <f t="shared" si="276"/>
        <v>393942.86255994567</v>
      </c>
      <c r="CB151" s="307">
        <f t="shared" si="277"/>
        <v>393.9428625599457</v>
      </c>
      <c r="CC151" s="309">
        <f t="shared" si="278"/>
        <v>0.77189647625557911</v>
      </c>
      <c r="CD151" s="379">
        <f t="shared" si="265"/>
        <v>0.5896738387147491</v>
      </c>
    </row>
    <row r="152" spans="1:82" x14ac:dyDescent="0.25">
      <c r="A152" s="305">
        <v>144</v>
      </c>
      <c r="B152" s="298" t="s">
        <v>564</v>
      </c>
      <c r="C152" s="298" t="s">
        <v>568</v>
      </c>
      <c r="D152" s="298" t="s">
        <v>598</v>
      </c>
      <c r="E152" s="298" t="s">
        <v>668</v>
      </c>
      <c r="F152" s="298" t="s">
        <v>485</v>
      </c>
      <c r="G152" s="311">
        <f t="shared" si="308"/>
        <v>1524</v>
      </c>
      <c r="H152" s="311">
        <f t="shared" si="295"/>
        <v>762</v>
      </c>
      <c r="I152" s="311">
        <f t="shared" si="309"/>
        <v>2641.6</v>
      </c>
      <c r="J152" s="306">
        <f t="shared" si="296"/>
        <v>4025798.4</v>
      </c>
      <c r="K152" s="311">
        <f t="shared" si="310"/>
        <v>193.2</v>
      </c>
      <c r="L152" s="312">
        <v>2634</v>
      </c>
      <c r="M152" s="309">
        <f t="shared" si="297"/>
        <v>0.57692307692307698</v>
      </c>
      <c r="N152" s="309">
        <f t="shared" si="266"/>
        <v>0.28846153846153849</v>
      </c>
      <c r="O152" s="309">
        <f t="shared" si="256"/>
        <v>0.28846153846153849</v>
      </c>
      <c r="P152" s="312">
        <v>229677</v>
      </c>
      <c r="Q152" s="306">
        <f t="shared" si="257"/>
        <v>510357.11999999994</v>
      </c>
      <c r="R152" s="309">
        <f t="shared" si="298"/>
        <v>0.45003193058225588</v>
      </c>
      <c r="S152" s="312">
        <f t="shared" si="316"/>
        <v>1219.1999999999998</v>
      </c>
      <c r="T152" s="295">
        <f t="shared" si="317"/>
        <v>711.19999999999993</v>
      </c>
      <c r="U152" s="308" t="s">
        <v>413</v>
      </c>
      <c r="V152" s="310">
        <v>14.89</v>
      </c>
      <c r="W152" s="387">
        <f t="shared" si="267"/>
        <v>14.89</v>
      </c>
      <c r="X152" s="298">
        <v>35.85</v>
      </c>
      <c r="Y152" s="387">
        <f t="shared" si="268"/>
        <v>35.85</v>
      </c>
      <c r="Z152" s="423" t="s">
        <v>413</v>
      </c>
      <c r="AA152" s="325">
        <v>17.440000000000001</v>
      </c>
      <c r="AB152" s="325">
        <v>24.4</v>
      </c>
      <c r="AC152" s="298">
        <v>2</v>
      </c>
      <c r="AD152" s="328">
        <f t="shared" si="318"/>
        <v>1.9543147208121827</v>
      </c>
      <c r="AE152" s="298">
        <v>5</v>
      </c>
      <c r="AF152" s="313">
        <f t="shared" si="281"/>
        <v>0.80902744017690209</v>
      </c>
      <c r="AG152" s="313">
        <f t="shared" si="299"/>
        <v>14.109438556685173</v>
      </c>
      <c r="AH152" s="313">
        <f t="shared" si="282"/>
        <v>19.740269540316408</v>
      </c>
      <c r="AI152" s="308">
        <f t="shared" si="311"/>
        <v>18.493284332327207</v>
      </c>
      <c r="AJ152" s="311" t="s">
        <v>769</v>
      </c>
      <c r="AK152" s="311" t="s">
        <v>769</v>
      </c>
      <c r="AL152" s="311">
        <f>0.44*$O$3^2</f>
        <v>283.87039999999996</v>
      </c>
      <c r="AM152" s="311">
        <f>6*0.44*$O$3^2</f>
        <v>1703.2224000000001</v>
      </c>
      <c r="AN152" s="306">
        <f t="shared" si="307"/>
        <v>3.3469441654050947E-3</v>
      </c>
      <c r="AO152" s="298">
        <v>427</v>
      </c>
      <c r="AP152" s="306">
        <f t="shared" si="312"/>
        <v>7.6618357487922699</v>
      </c>
      <c r="AQ152" s="298">
        <v>1219</v>
      </c>
      <c r="AR152" s="311" t="s">
        <v>724</v>
      </c>
      <c r="AS152" s="311">
        <f t="shared" si="313"/>
        <v>399.99919999999997</v>
      </c>
      <c r="AT152" s="311" t="s">
        <v>413</v>
      </c>
      <c r="AU152" s="298">
        <v>0</v>
      </c>
      <c r="AV152" s="311">
        <f>0.31*$O$3^2</f>
        <v>199.99959999999999</v>
      </c>
      <c r="AW152" s="312">
        <f t="shared" si="301"/>
        <v>399.99919999999997</v>
      </c>
      <c r="AX152" s="345">
        <f t="shared" si="302"/>
        <v>8.4921625674915966E-4</v>
      </c>
      <c r="AY152" s="298">
        <v>452</v>
      </c>
      <c r="AZ152" s="306">
        <f t="shared" si="303"/>
        <v>0.38384574805062016</v>
      </c>
      <c r="BA152" s="298">
        <v>1219</v>
      </c>
      <c r="BB152" s="298">
        <v>48.927999999999997</v>
      </c>
      <c r="BC152" s="309">
        <f t="shared" si="314"/>
        <v>9.5870123258004133E-2</v>
      </c>
      <c r="BD152" s="313">
        <f t="shared" si="269"/>
        <v>5.1840506821396919E-3</v>
      </c>
      <c r="BE152" s="309">
        <f t="shared" si="210"/>
        <v>0.21302960244168984</v>
      </c>
      <c r="BF152" s="307" t="s">
        <v>413</v>
      </c>
      <c r="BG152" s="307">
        <v>286</v>
      </c>
      <c r="BH152" s="312">
        <f t="shared" si="315"/>
        <v>286</v>
      </c>
      <c r="BI152" s="373">
        <v>0.94430000000000003</v>
      </c>
      <c r="BJ152" s="361">
        <f t="shared" si="258"/>
        <v>1</v>
      </c>
      <c r="BK152" s="312">
        <f t="shared" si="259"/>
        <v>1</v>
      </c>
      <c r="BL152" s="311">
        <f t="shared" si="319"/>
        <v>270.06979999999999</v>
      </c>
      <c r="BM152" s="309">
        <f t="shared" si="203"/>
        <v>0.52917807828369279</v>
      </c>
      <c r="BN152" s="309">
        <f t="shared" si="271"/>
        <v>1.1758678491969157</v>
      </c>
      <c r="BO152" s="376"/>
      <c r="BP152" s="328">
        <f t="shared" si="272"/>
        <v>14.907990524787968</v>
      </c>
      <c r="BQ152" s="328">
        <f t="shared" si="260"/>
        <v>0.38384574805062016</v>
      </c>
      <c r="BR152" s="328">
        <f t="shared" si="294"/>
        <v>0.95881591139138478</v>
      </c>
      <c r="BS152" s="328">
        <f t="shared" si="273"/>
        <v>1.1990263281550944</v>
      </c>
      <c r="BT152" s="328">
        <f t="shared" si="274"/>
        <v>9.5870123258004133E-2</v>
      </c>
      <c r="BU152" s="376"/>
      <c r="BV152" s="328">
        <f t="shared" si="261"/>
        <v>0.45003193058225588</v>
      </c>
      <c r="BW152" s="328">
        <f t="shared" si="262"/>
        <v>0.28929384965831434</v>
      </c>
      <c r="BX152" s="373">
        <f t="shared" si="275"/>
        <v>1.1770703575380164</v>
      </c>
      <c r="BY152" s="311">
        <f t="shared" si="263"/>
        <v>275072.98172068555</v>
      </c>
      <c r="BZ152" s="311">
        <f t="shared" si="264"/>
        <v>234401.76253269889</v>
      </c>
      <c r="CA152" s="311">
        <f t="shared" si="276"/>
        <v>393942.86255994567</v>
      </c>
      <c r="CB152" s="307">
        <f t="shared" si="277"/>
        <v>393.9428625599457</v>
      </c>
      <c r="CC152" s="309">
        <f t="shared" si="278"/>
        <v>0.77189647625557911</v>
      </c>
      <c r="CD152" s="379">
        <f t="shared" si="265"/>
        <v>0.68555576370901727</v>
      </c>
    </row>
    <row r="153" spans="1:82" x14ac:dyDescent="0.25">
      <c r="A153" s="305">
        <v>145</v>
      </c>
      <c r="B153" s="298" t="s">
        <v>564</v>
      </c>
      <c r="C153" s="298" t="s">
        <v>569</v>
      </c>
      <c r="D153" s="298" t="s">
        <v>598</v>
      </c>
      <c r="E153" s="298" t="s">
        <v>668</v>
      </c>
      <c r="F153" s="298" t="s">
        <v>485</v>
      </c>
      <c r="G153" s="311">
        <f t="shared" si="308"/>
        <v>1524</v>
      </c>
      <c r="H153" s="311">
        <f t="shared" si="295"/>
        <v>762</v>
      </c>
      <c r="I153" s="311">
        <f t="shared" si="309"/>
        <v>2641.6</v>
      </c>
      <c r="J153" s="306">
        <f t="shared" si="296"/>
        <v>4025798.4</v>
      </c>
      <c r="K153" s="311">
        <f t="shared" si="310"/>
        <v>193.2</v>
      </c>
      <c r="L153" s="312">
        <v>2634</v>
      </c>
      <c r="M153" s="309">
        <f t="shared" si="297"/>
        <v>0.57692307692307698</v>
      </c>
      <c r="N153" s="309">
        <f t="shared" si="266"/>
        <v>0.28846153846153849</v>
      </c>
      <c r="O153" s="309">
        <f t="shared" si="256"/>
        <v>0.28846153846153849</v>
      </c>
      <c r="P153" s="312">
        <v>250322</v>
      </c>
      <c r="Q153" s="306">
        <f t="shared" si="257"/>
        <v>510357.11999999994</v>
      </c>
      <c r="R153" s="309">
        <f t="shared" si="298"/>
        <v>0.49048399677465071</v>
      </c>
      <c r="S153" s="312">
        <f>24*$O$3</f>
        <v>609.59999999999991</v>
      </c>
      <c r="T153" s="295">
        <f t="shared" si="317"/>
        <v>711.19999999999993</v>
      </c>
      <c r="U153" s="308" t="s">
        <v>413</v>
      </c>
      <c r="V153" s="310">
        <v>14.89</v>
      </c>
      <c r="W153" s="387">
        <f t="shared" si="267"/>
        <v>14.89</v>
      </c>
      <c r="X153" s="298">
        <v>35.85</v>
      </c>
      <c r="Y153" s="387">
        <f t="shared" si="268"/>
        <v>35.85</v>
      </c>
      <c r="Z153" s="423" t="s">
        <v>413</v>
      </c>
      <c r="AA153" s="325">
        <v>17.440000000000001</v>
      </c>
      <c r="AB153" s="325">
        <v>24.4</v>
      </c>
      <c r="AC153" s="298">
        <v>2</v>
      </c>
      <c r="AD153" s="328">
        <f t="shared" si="318"/>
        <v>1.9543147208121827</v>
      </c>
      <c r="AE153" s="298">
        <v>5</v>
      </c>
      <c r="AF153" s="313">
        <f t="shared" si="281"/>
        <v>0.80902744017690209</v>
      </c>
      <c r="AG153" s="313">
        <f t="shared" si="299"/>
        <v>14.109438556685173</v>
      </c>
      <c r="AH153" s="313">
        <f t="shared" si="282"/>
        <v>19.740269540316408</v>
      </c>
      <c r="AI153" s="308">
        <f>((5*390/2)*AG153+(I153-5*390/2)*AH153)/I153</f>
        <v>17.661960860334407</v>
      </c>
      <c r="AJ153" s="311" t="s">
        <v>784</v>
      </c>
      <c r="AK153" s="311" t="s">
        <v>769</v>
      </c>
      <c r="AL153" s="298" t="s">
        <v>571</v>
      </c>
      <c r="AM153" s="311">
        <f>6*0.44*$O$3^2</f>
        <v>1703.2224000000001</v>
      </c>
      <c r="AN153" s="306">
        <f t="shared" si="307"/>
        <v>3.3469441654050947E-3</v>
      </c>
      <c r="AO153" s="298">
        <v>427</v>
      </c>
      <c r="AP153" s="306">
        <f t="shared" si="312"/>
        <v>7.6618357487922699</v>
      </c>
      <c r="AQ153" s="298">
        <v>610</v>
      </c>
      <c r="AR153" s="311" t="s">
        <v>724</v>
      </c>
      <c r="AS153" s="311">
        <f t="shared" si="313"/>
        <v>399.99919999999997</v>
      </c>
      <c r="AT153" s="311" t="s">
        <v>413</v>
      </c>
      <c r="AU153" s="298">
        <v>0</v>
      </c>
      <c r="AV153" s="311">
        <f>0.31*$O$3^2</f>
        <v>199.99959999999999</v>
      </c>
      <c r="AW153" s="312">
        <f t="shared" si="301"/>
        <v>399.99919999999997</v>
      </c>
      <c r="AX153" s="345">
        <f t="shared" si="302"/>
        <v>1.6970403557003699E-3</v>
      </c>
      <c r="AY153" s="298">
        <v>452</v>
      </c>
      <c r="AZ153" s="306">
        <f t="shared" si="303"/>
        <v>0.76706224077656715</v>
      </c>
      <c r="BA153" s="298">
        <v>610</v>
      </c>
      <c r="BB153" s="298">
        <v>48.927999999999997</v>
      </c>
      <c r="BC153" s="309">
        <f t="shared" si="314"/>
        <v>9.5870123258004133E-2</v>
      </c>
      <c r="BD153" s="313">
        <f t="shared" si="269"/>
        <v>5.4280566023284099E-3</v>
      </c>
      <c r="BE153" s="309">
        <f t="shared" si="210"/>
        <v>0.19546024720160432</v>
      </c>
      <c r="BF153" s="307" t="s">
        <v>413</v>
      </c>
      <c r="BG153" s="307">
        <v>344</v>
      </c>
      <c r="BH153" s="312">
        <f t="shared" si="315"/>
        <v>344</v>
      </c>
      <c r="BI153" s="373">
        <v>0.94430000000000003</v>
      </c>
      <c r="BJ153" s="361">
        <f t="shared" si="258"/>
        <v>1</v>
      </c>
      <c r="BK153" s="312">
        <f t="shared" si="259"/>
        <v>1</v>
      </c>
      <c r="BL153" s="311">
        <f t="shared" si="319"/>
        <v>324.83920000000001</v>
      </c>
      <c r="BM153" s="309">
        <f t="shared" si="203"/>
        <v>0.63649391234122499</v>
      </c>
      <c r="BN153" s="309">
        <f t="shared" si="271"/>
        <v>1.297685381228977</v>
      </c>
      <c r="BO153" s="376"/>
      <c r="BP153" s="328">
        <f t="shared" si="272"/>
        <v>14.56906039315191</v>
      </c>
      <c r="BQ153" s="328">
        <f t="shared" si="260"/>
        <v>0.76706224077656715</v>
      </c>
      <c r="BR153" s="328">
        <f t="shared" si="294"/>
        <v>0.95881591139138478</v>
      </c>
      <c r="BS153" s="328">
        <f t="shared" si="273"/>
        <v>1.8053424889547895</v>
      </c>
      <c r="BT153" s="328">
        <f t="shared" si="274"/>
        <v>9.5870123258004133E-2</v>
      </c>
      <c r="BU153" s="376"/>
      <c r="BV153" s="328">
        <f t="shared" si="261"/>
        <v>0.49048399677465071</v>
      </c>
      <c r="BW153" s="328">
        <f t="shared" si="262"/>
        <v>0.28929384965831434</v>
      </c>
      <c r="BX153" s="373">
        <f t="shared" si="275"/>
        <v>1.1503099024275891</v>
      </c>
      <c r="BY153" s="311">
        <f t="shared" si="263"/>
        <v>293119.03687471786</v>
      </c>
      <c r="BZ153" s="311">
        <f t="shared" si="264"/>
        <v>468419.25988091796</v>
      </c>
      <c r="CA153" s="311">
        <f t="shared" si="276"/>
        <v>419591.98628125427</v>
      </c>
      <c r="CB153" s="307">
        <f t="shared" si="277"/>
        <v>419.59198628125426</v>
      </c>
      <c r="CC153" s="309">
        <f t="shared" si="278"/>
        <v>0.82215368383859189</v>
      </c>
      <c r="CD153" s="379">
        <f t="shared" si="265"/>
        <v>0.77417875131261193</v>
      </c>
    </row>
    <row r="154" spans="1:82" x14ac:dyDescent="0.25">
      <c r="A154" s="315">
        <v>146</v>
      </c>
      <c r="B154" s="315" t="s">
        <v>564</v>
      </c>
      <c r="C154" s="315" t="s">
        <v>570</v>
      </c>
      <c r="D154" s="315" t="s">
        <v>598</v>
      </c>
      <c r="E154" s="315" t="s">
        <v>668</v>
      </c>
      <c r="F154" s="315" t="s">
        <v>485</v>
      </c>
      <c r="G154" s="321">
        <f t="shared" si="308"/>
        <v>1524</v>
      </c>
      <c r="H154" s="321">
        <f t="shared" si="295"/>
        <v>762</v>
      </c>
      <c r="I154" s="321">
        <f t="shared" si="309"/>
        <v>2641.6</v>
      </c>
      <c r="J154" s="316">
        <f t="shared" si="296"/>
        <v>4025798.4</v>
      </c>
      <c r="K154" s="321">
        <f t="shared" si="310"/>
        <v>193.2</v>
      </c>
      <c r="L154" s="322">
        <v>2634</v>
      </c>
      <c r="M154" s="319">
        <f t="shared" si="297"/>
        <v>0.57692307692307698</v>
      </c>
      <c r="N154" s="319">
        <f t="shared" si="266"/>
        <v>0.28846153846153849</v>
      </c>
      <c r="O154" s="319">
        <f t="shared" si="256"/>
        <v>0.28846153846153849</v>
      </c>
      <c r="P154" s="322">
        <v>271612</v>
      </c>
      <c r="Q154" s="316">
        <f t="shared" si="257"/>
        <v>510357.11999999994</v>
      </c>
      <c r="R154" s="319">
        <f t="shared" si="298"/>
        <v>0.5321998838773917</v>
      </c>
      <c r="S154" s="322">
        <f>24*$O$3</f>
        <v>609.59999999999991</v>
      </c>
      <c r="T154" s="294">
        <f t="shared" si="317"/>
        <v>711.19999999999993</v>
      </c>
      <c r="U154" s="318" t="s">
        <v>413</v>
      </c>
      <c r="V154" s="320">
        <v>14.89</v>
      </c>
      <c r="W154" s="387">
        <f t="shared" si="267"/>
        <v>14.89</v>
      </c>
      <c r="X154" s="315">
        <v>35.85</v>
      </c>
      <c r="Y154" s="387">
        <f t="shared" si="268"/>
        <v>35.85</v>
      </c>
      <c r="Z154" s="424" t="s">
        <v>413</v>
      </c>
      <c r="AA154" s="326">
        <v>17.440000000000001</v>
      </c>
      <c r="AB154" s="326">
        <v>24.4</v>
      </c>
      <c r="AC154" s="315">
        <v>2</v>
      </c>
      <c r="AD154" s="330">
        <f t="shared" si="318"/>
        <v>1.9543147208121827</v>
      </c>
      <c r="AE154" s="315">
        <v>5</v>
      </c>
      <c r="AF154" s="324">
        <f t="shared" si="281"/>
        <v>0.80902744017690209</v>
      </c>
      <c r="AG154" s="324">
        <f t="shared" si="299"/>
        <v>14.109438556685173</v>
      </c>
      <c r="AH154" s="324">
        <f t="shared" si="282"/>
        <v>19.740269540316408</v>
      </c>
      <c r="AI154" s="318">
        <f>((5*390/2)*AG154+(I154-5*390/2)*AH154)/I154</f>
        <v>17.661960860334407</v>
      </c>
      <c r="AJ154" s="321" t="s">
        <v>761</v>
      </c>
      <c r="AK154" s="321" t="s">
        <v>769</v>
      </c>
      <c r="AL154" s="321">
        <f>0.44*$O$3^2</f>
        <v>283.87039999999996</v>
      </c>
      <c r="AM154" s="321">
        <f>(2+2)*0.44*O3^2+(1+1+1)*0.31*O3^2</f>
        <v>1735.4803999999999</v>
      </c>
      <c r="AN154" s="316">
        <f t="shared" si="307"/>
        <v>3.4103332594468579E-3</v>
      </c>
      <c r="AO154" s="321">
        <f>(452*(2+2)*0.44*O3^2+427*(1+1+1)*0.31*O3^2)/AM154</f>
        <v>443.35687732342006</v>
      </c>
      <c r="AP154" s="316">
        <f t="shared" si="312"/>
        <v>7.9553338926217538</v>
      </c>
      <c r="AQ154" s="315">
        <v>610</v>
      </c>
      <c r="AR154" s="321" t="s">
        <v>724</v>
      </c>
      <c r="AS154" s="321">
        <f t="shared" si="313"/>
        <v>399.99919999999997</v>
      </c>
      <c r="AT154" s="321" t="s">
        <v>413</v>
      </c>
      <c r="AU154" s="315">
        <v>0</v>
      </c>
      <c r="AV154" s="321">
        <f>0.31*$O$3^2</f>
        <v>199.99959999999999</v>
      </c>
      <c r="AW154" s="322">
        <f t="shared" si="301"/>
        <v>399.99919999999997</v>
      </c>
      <c r="AX154" s="346">
        <f t="shared" si="302"/>
        <v>8.4921625674915966E-4</v>
      </c>
      <c r="AY154" s="315">
        <v>452</v>
      </c>
      <c r="AZ154" s="316">
        <f t="shared" si="303"/>
        <v>0.38384574805062016</v>
      </c>
      <c r="BA154" s="315">
        <v>1219</v>
      </c>
      <c r="BB154" s="315">
        <v>48.927999999999997</v>
      </c>
      <c r="BC154" s="319">
        <f t="shared" si="314"/>
        <v>9.5870123258004133E-2</v>
      </c>
      <c r="BD154" s="324">
        <f t="shared" si="269"/>
        <v>5.4280566023284099E-3</v>
      </c>
      <c r="BE154" s="319">
        <f t="shared" si="210"/>
        <v>0.18013931637777417</v>
      </c>
      <c r="BF154" s="317" t="s">
        <v>413</v>
      </c>
      <c r="BG154" s="317">
        <v>400</v>
      </c>
      <c r="BH154" s="322">
        <f>BG154</f>
        <v>400</v>
      </c>
      <c r="BI154" s="373">
        <v>0.94430000000000003</v>
      </c>
      <c r="BJ154" s="315">
        <f t="shared" si="258"/>
        <v>1</v>
      </c>
      <c r="BK154" s="322">
        <f t="shared" si="259"/>
        <v>1</v>
      </c>
      <c r="BL154" s="321">
        <f t="shared" si="319"/>
        <v>377.72</v>
      </c>
      <c r="BM154" s="319">
        <f t="shared" si="203"/>
        <v>0.7401092003967733</v>
      </c>
      <c r="BN154" s="319">
        <f t="shared" si="271"/>
        <v>1.3906602064709954</v>
      </c>
      <c r="BO154" s="376"/>
      <c r="BP154" s="330">
        <f t="shared" si="272"/>
        <v>14.56906039315191</v>
      </c>
      <c r="BQ154" s="330">
        <f t="shared" si="260"/>
        <v>0.38384574805062016</v>
      </c>
      <c r="BR154" s="330">
        <f t="shared" si="294"/>
        <v>0.98621634570709638</v>
      </c>
      <c r="BS154" s="330">
        <f t="shared" si="273"/>
        <v>1.3857107992284798</v>
      </c>
      <c r="BT154" s="330">
        <f t="shared" si="274"/>
        <v>9.5870123258004133E-2</v>
      </c>
      <c r="BU154" s="376"/>
      <c r="BV154" s="328">
        <f t="shared" si="261"/>
        <v>0.5</v>
      </c>
      <c r="BW154" s="328">
        <f t="shared" si="262"/>
        <v>0.28929384965831434</v>
      </c>
      <c r="BX154" s="373">
        <f t="shared" si="275"/>
        <v>1.1503099024275891</v>
      </c>
      <c r="BY154" s="311">
        <f t="shared" si="263"/>
        <v>298805.91293724644</v>
      </c>
      <c r="BZ154" s="311">
        <f t="shared" si="264"/>
        <v>234401.76253269889</v>
      </c>
      <c r="CA154" s="311">
        <f t="shared" si="276"/>
        <v>427732.59580376558</v>
      </c>
      <c r="CB154" s="307">
        <f t="shared" si="277"/>
        <v>427.73259580376561</v>
      </c>
      <c r="CC154" s="309">
        <f t="shared" si="278"/>
        <v>0.83810449397426967</v>
      </c>
      <c r="CD154" s="379">
        <f t="shared" si="265"/>
        <v>0.88307508874841456</v>
      </c>
    </row>
    <row r="155" spans="1:82" x14ac:dyDescent="0.25">
      <c r="A155" s="305">
        <v>147</v>
      </c>
      <c r="B155" s="298" t="s">
        <v>61</v>
      </c>
      <c r="C155" s="298" t="s">
        <v>289</v>
      </c>
      <c r="D155" s="298" t="s">
        <v>598</v>
      </c>
      <c r="E155" s="298" t="s">
        <v>668</v>
      </c>
      <c r="F155" s="298" t="s">
        <v>484</v>
      </c>
      <c r="G155" s="311">
        <v>2640</v>
      </c>
      <c r="H155" s="311">
        <f t="shared" si="295"/>
        <v>2640</v>
      </c>
      <c r="I155" s="311">
        <v>3860</v>
      </c>
      <c r="J155" s="327">
        <f t="shared" si="296"/>
        <v>10190400</v>
      </c>
      <c r="K155" s="311">
        <v>200</v>
      </c>
      <c r="L155" s="327">
        <f t="shared" ref="L155:L158" si="320">0.8*I155</f>
        <v>3088</v>
      </c>
      <c r="M155" s="309">
        <f t="shared" si="297"/>
        <v>0.68393782383419688</v>
      </c>
      <c r="N155" s="309">
        <f t="shared" si="266"/>
        <v>0.68393782383419688</v>
      </c>
      <c r="O155" s="309">
        <f t="shared" si="256"/>
        <v>0.68393782383419688</v>
      </c>
      <c r="P155" s="327">
        <f>(4*390/2*K155)+(I155-4*390/2)*(25.4)*2</f>
        <v>312464</v>
      </c>
      <c r="Q155" s="306">
        <f t="shared" si="257"/>
        <v>772000</v>
      </c>
      <c r="R155" s="309">
        <f t="shared" si="298"/>
        <v>0.40474611398963728</v>
      </c>
      <c r="S155" s="312">
        <f t="shared" ref="S155:S158" si="321">48*$O$3</f>
        <v>1219.1999999999998</v>
      </c>
      <c r="T155" s="295">
        <v>1200</v>
      </c>
      <c r="U155" s="310">
        <v>14</v>
      </c>
      <c r="V155" s="310">
        <v>13.8</v>
      </c>
      <c r="W155" s="387">
        <f t="shared" si="267"/>
        <v>13.8</v>
      </c>
      <c r="X155" s="307">
        <v>22</v>
      </c>
      <c r="Y155" s="387">
        <f t="shared" si="268"/>
        <v>22</v>
      </c>
      <c r="Z155" s="418">
        <v>0.52900000000000003</v>
      </c>
      <c r="AA155" s="366">
        <f>(K155^-0.221)*((1-Z155)^0.0818)*(U155^-0.425)*((V155+U155)^1.01)*((X155+U155)^0.312)</f>
        <v>8.3497349586342704</v>
      </c>
      <c r="AB155" s="426">
        <f>(Z155^0.636)*(U155^0.688)*(V155^0.317)</f>
        <v>9.4187998095671919</v>
      </c>
      <c r="AC155" s="336">
        <v>2</v>
      </c>
      <c r="AD155" s="354">
        <v>2</v>
      </c>
      <c r="AE155" s="307" t="s">
        <v>605</v>
      </c>
      <c r="AF155" s="313">
        <f t="shared" si="281"/>
        <v>0.81209093304219504</v>
      </c>
      <c r="AG155" s="313">
        <f t="shared" si="299"/>
        <v>6.7807440532123389</v>
      </c>
      <c r="AH155" s="313">
        <f t="shared" si="282"/>
        <v>7.6489219254890699</v>
      </c>
      <c r="AI155" s="308">
        <f>((4*390/2)*AG155+(I155-4*390/2)*AH155)/I155</f>
        <v>7.4734870186559474</v>
      </c>
      <c r="AJ155" s="298" t="s">
        <v>784</v>
      </c>
      <c r="AK155" s="298" t="s">
        <v>785</v>
      </c>
      <c r="AL155" s="298">
        <v>284</v>
      </c>
      <c r="AM155" s="298">
        <f>4*284</f>
        <v>1136</v>
      </c>
      <c r="AN155" s="306">
        <f t="shared" si="307"/>
        <v>1.8393782383419688E-3</v>
      </c>
      <c r="AO155" s="336">
        <v>414</v>
      </c>
      <c r="AP155" s="306">
        <f t="shared" si="312"/>
        <v>3.0265909090909093</v>
      </c>
      <c r="AQ155" s="298">
        <v>1220</v>
      </c>
      <c r="AR155" s="298" t="s">
        <v>787</v>
      </c>
      <c r="AS155" s="298">
        <f>3*284</f>
        <v>852</v>
      </c>
      <c r="AT155" s="298" t="s">
        <v>413</v>
      </c>
      <c r="AU155" s="298">
        <v>0</v>
      </c>
      <c r="AV155" s="298">
        <v>284</v>
      </c>
      <c r="AW155" s="312">
        <f t="shared" si="301"/>
        <v>852</v>
      </c>
      <c r="AX155" s="306">
        <f t="shared" si="302"/>
        <v>1.0757575757575758E-3</v>
      </c>
      <c r="AY155" s="336">
        <v>321</v>
      </c>
      <c r="AZ155" s="306">
        <f t="shared" ref="AZ155:AZ158" si="322">AX155*AY155</f>
        <v>0.34531818181818186</v>
      </c>
      <c r="BA155" s="298">
        <f>2640/2</f>
        <v>1320</v>
      </c>
      <c r="BB155" s="308">
        <f>BE155*P155/1000</f>
        <v>218.72479999999999</v>
      </c>
      <c r="BC155" s="309">
        <f t="shared" si="314"/>
        <v>0.2833222797927461</v>
      </c>
      <c r="BD155" s="313">
        <f t="shared" si="269"/>
        <v>3.7910319384444391E-2</v>
      </c>
      <c r="BE155" s="298">
        <v>0.7</v>
      </c>
      <c r="BF155" s="298" t="s">
        <v>413</v>
      </c>
      <c r="BG155" s="298">
        <v>318</v>
      </c>
      <c r="BH155" s="312">
        <f t="shared" si="315"/>
        <v>318</v>
      </c>
      <c r="BI155" s="373">
        <v>0.94430000000000003</v>
      </c>
      <c r="BJ155" s="361">
        <f t="shared" si="258"/>
        <v>1</v>
      </c>
      <c r="BK155" s="312">
        <f t="shared" si="259"/>
        <v>1</v>
      </c>
      <c r="BL155" s="311">
        <f t="shared" ref="BL155:BL171" si="323">BH155*BI155*BJ155*BK155</f>
        <v>300.28739999999999</v>
      </c>
      <c r="BM155" s="309">
        <f t="shared" si="203"/>
        <v>0.38897331606217611</v>
      </c>
      <c r="BN155" s="309">
        <f t="shared" si="271"/>
        <v>0.96103039070100871</v>
      </c>
      <c r="BO155" s="376"/>
      <c r="BP155" s="328">
        <f t="shared" si="272"/>
        <v>3.9971000590280692</v>
      </c>
      <c r="BQ155" s="328">
        <f t="shared" si="260"/>
        <v>0.34531818181818186</v>
      </c>
      <c r="BR155" s="328">
        <f t="shared" si="294"/>
        <v>0.34996428389194234</v>
      </c>
      <c r="BS155" s="328">
        <f t="shared" si="273"/>
        <v>0.39012636674749246</v>
      </c>
      <c r="BT155" s="328">
        <f t="shared" si="274"/>
        <v>0.2833222797927461</v>
      </c>
      <c r="BU155" s="376"/>
      <c r="BV155" s="328">
        <f t="shared" si="261"/>
        <v>0.40474611398963728</v>
      </c>
      <c r="BW155" s="328">
        <f t="shared" si="262"/>
        <v>0.85492227979274615</v>
      </c>
      <c r="BX155" s="373">
        <f t="shared" si="275"/>
        <v>0.50086027725615978</v>
      </c>
      <c r="BY155" s="311">
        <f t="shared" si="263"/>
        <v>147332.64774634512</v>
      </c>
      <c r="BZ155" s="311">
        <f t="shared" si="264"/>
        <v>383883.31636363635</v>
      </c>
      <c r="CA155" s="311">
        <f t="shared" si="276"/>
        <v>273345.29859552725</v>
      </c>
      <c r="CB155" s="307">
        <f t="shared" si="277"/>
        <v>273.34529859552725</v>
      </c>
      <c r="CC155" s="309">
        <f t="shared" si="278"/>
        <v>0.35407422097866226</v>
      </c>
      <c r="CD155" s="379">
        <f t="shared" si="265"/>
        <v>1.0985643489860761</v>
      </c>
    </row>
    <row r="156" spans="1:82" x14ac:dyDescent="0.25">
      <c r="A156" s="305">
        <v>148</v>
      </c>
      <c r="B156" s="298" t="s">
        <v>61</v>
      </c>
      <c r="C156" s="298" t="s">
        <v>290</v>
      </c>
      <c r="D156" s="298" t="s">
        <v>598</v>
      </c>
      <c r="E156" s="298" t="s">
        <v>668</v>
      </c>
      <c r="F156" s="298" t="s">
        <v>484</v>
      </c>
      <c r="G156" s="311">
        <v>2640</v>
      </c>
      <c r="H156" s="311">
        <f t="shared" si="295"/>
        <v>2640</v>
      </c>
      <c r="I156" s="311">
        <v>3860</v>
      </c>
      <c r="J156" s="327">
        <f t="shared" si="296"/>
        <v>10190400</v>
      </c>
      <c r="K156" s="311">
        <v>200</v>
      </c>
      <c r="L156" s="327">
        <f t="shared" si="320"/>
        <v>3088</v>
      </c>
      <c r="M156" s="309">
        <f t="shared" si="297"/>
        <v>0.68393782383419688</v>
      </c>
      <c r="N156" s="309">
        <f t="shared" si="266"/>
        <v>0.68393782383419688</v>
      </c>
      <c r="O156" s="309">
        <f t="shared" si="256"/>
        <v>0.68393782383419688</v>
      </c>
      <c r="P156" s="327">
        <f>(4*390/2*K156)+(I156-4*390/2)*(25.4)*2</f>
        <v>312464</v>
      </c>
      <c r="Q156" s="306">
        <f t="shared" si="257"/>
        <v>772000</v>
      </c>
      <c r="R156" s="309">
        <f t="shared" si="298"/>
        <v>0.40474611398963728</v>
      </c>
      <c r="S156" s="312">
        <f t="shared" si="321"/>
        <v>1219.1999999999998</v>
      </c>
      <c r="T156" s="295">
        <v>1200</v>
      </c>
      <c r="U156" s="310">
        <v>14</v>
      </c>
      <c r="V156" s="310">
        <v>13.8</v>
      </c>
      <c r="W156" s="387">
        <f t="shared" si="267"/>
        <v>13.8</v>
      </c>
      <c r="X156" s="307">
        <v>22</v>
      </c>
      <c r="Y156" s="387">
        <f t="shared" si="268"/>
        <v>22</v>
      </c>
      <c r="Z156" s="418">
        <v>0.52900000000000003</v>
      </c>
      <c r="AA156" s="366">
        <f>(K156^-0.221)*((1-Z156)^0.0818)*(U156^-0.425)*((V156+U156)^1.01)*((X156+U156)^0.312)</f>
        <v>8.3497349586342704</v>
      </c>
      <c r="AB156" s="366">
        <f t="shared" ref="AB156:AB158" si="324">(Z156^0.636)*(U156^0.688)*(V156^0.317)</f>
        <v>9.4187998095671919</v>
      </c>
      <c r="AC156" s="336">
        <v>2</v>
      </c>
      <c r="AD156" s="354">
        <v>2</v>
      </c>
      <c r="AE156" s="307" t="s">
        <v>605</v>
      </c>
      <c r="AF156" s="313">
        <f t="shared" si="281"/>
        <v>0.81209093304219504</v>
      </c>
      <c r="AG156" s="313">
        <f t="shared" si="299"/>
        <v>6.7807440532123389</v>
      </c>
      <c r="AH156" s="313">
        <f t="shared" si="282"/>
        <v>7.6489219254890699</v>
      </c>
      <c r="AI156" s="308">
        <f t="shared" ref="AI156:AI158" si="325">((4*390/2)*AG156+(I156-4*390/2)*AH156)/I156</f>
        <v>7.4734870186559474</v>
      </c>
      <c r="AJ156" s="298" t="s">
        <v>784</v>
      </c>
      <c r="AK156" s="298" t="s">
        <v>785</v>
      </c>
      <c r="AL156" s="298">
        <v>284</v>
      </c>
      <c r="AM156" s="298">
        <f>4*284</f>
        <v>1136</v>
      </c>
      <c r="AN156" s="306">
        <f t="shared" si="307"/>
        <v>1.8393782383419688E-3</v>
      </c>
      <c r="AO156" s="336">
        <v>414</v>
      </c>
      <c r="AP156" s="306">
        <f t="shared" si="312"/>
        <v>3.0265909090909093</v>
      </c>
      <c r="AQ156" s="298">
        <v>1220</v>
      </c>
      <c r="AR156" s="298" t="s">
        <v>787</v>
      </c>
      <c r="AS156" s="298">
        <f>3*284</f>
        <v>852</v>
      </c>
      <c r="AT156" s="298" t="s">
        <v>413</v>
      </c>
      <c r="AU156" s="298">
        <v>0</v>
      </c>
      <c r="AV156" s="298">
        <v>284</v>
      </c>
      <c r="AW156" s="312">
        <f t="shared" si="301"/>
        <v>852</v>
      </c>
      <c r="AX156" s="306">
        <f t="shared" si="302"/>
        <v>1.0757575757575758E-3</v>
      </c>
      <c r="AY156" s="336">
        <v>321</v>
      </c>
      <c r="AZ156" s="306">
        <f t="shared" si="322"/>
        <v>0.34531818181818186</v>
      </c>
      <c r="BA156" s="298">
        <f>2640/2</f>
        <v>1320</v>
      </c>
      <c r="BB156" s="308">
        <f>BE156*P156/1000</f>
        <v>218.72479999999999</v>
      </c>
      <c r="BC156" s="309">
        <f t="shared" si="314"/>
        <v>0.2833222797927461</v>
      </c>
      <c r="BD156" s="313">
        <f t="shared" si="269"/>
        <v>3.7910319384444391E-2</v>
      </c>
      <c r="BE156" s="298">
        <v>0.7</v>
      </c>
      <c r="BF156" s="298" t="s">
        <v>413</v>
      </c>
      <c r="BG156" s="298">
        <v>190</v>
      </c>
      <c r="BH156" s="312">
        <f t="shared" si="315"/>
        <v>190</v>
      </c>
      <c r="BI156" s="373">
        <v>0.94430000000000003</v>
      </c>
      <c r="BJ156" s="361">
        <f t="shared" si="258"/>
        <v>1</v>
      </c>
      <c r="BK156" s="312">
        <f t="shared" si="259"/>
        <v>1</v>
      </c>
      <c r="BL156" s="311">
        <f t="shared" si="323"/>
        <v>179.417</v>
      </c>
      <c r="BM156" s="309">
        <f t="shared" si="203"/>
        <v>0.23240544041450778</v>
      </c>
      <c r="BN156" s="309">
        <f t="shared" si="271"/>
        <v>0.57420054790311847</v>
      </c>
      <c r="BO156" s="376"/>
      <c r="BP156" s="328">
        <f t="shared" si="272"/>
        <v>3.9971000590280692</v>
      </c>
      <c r="BQ156" s="328">
        <f t="shared" si="260"/>
        <v>0.34531818181818186</v>
      </c>
      <c r="BR156" s="328">
        <f t="shared" si="294"/>
        <v>0.34996428389194234</v>
      </c>
      <c r="BS156" s="328">
        <f t="shared" si="273"/>
        <v>0.39012636674749246</v>
      </c>
      <c r="BT156" s="328">
        <f t="shared" si="274"/>
        <v>0.2833222797927461</v>
      </c>
      <c r="BU156" s="376"/>
      <c r="BV156" s="328">
        <f t="shared" si="261"/>
        <v>0.40474611398963728</v>
      </c>
      <c r="BW156" s="328">
        <f t="shared" si="262"/>
        <v>0.85492227979274615</v>
      </c>
      <c r="BX156" s="373">
        <f t="shared" si="275"/>
        <v>0.50086027725615978</v>
      </c>
      <c r="BY156" s="311">
        <f t="shared" si="263"/>
        <v>147332.64774634512</v>
      </c>
      <c r="BZ156" s="311">
        <f t="shared" si="264"/>
        <v>383883.31636363635</v>
      </c>
      <c r="CA156" s="311">
        <f t="shared" si="276"/>
        <v>273345.29859552725</v>
      </c>
      <c r="CB156" s="307">
        <f t="shared" si="277"/>
        <v>273.34529859552725</v>
      </c>
      <c r="CC156" s="309">
        <f t="shared" si="278"/>
        <v>0.35407422097866226</v>
      </c>
      <c r="CD156" s="379">
        <f t="shared" si="265"/>
        <v>0.65637492549482535</v>
      </c>
    </row>
    <row r="157" spans="1:82" x14ac:dyDescent="0.25">
      <c r="A157" s="305">
        <v>149</v>
      </c>
      <c r="B157" s="298" t="s">
        <v>61</v>
      </c>
      <c r="C157" s="298" t="s">
        <v>291</v>
      </c>
      <c r="D157" s="298" t="s">
        <v>598</v>
      </c>
      <c r="E157" s="298" t="s">
        <v>668</v>
      </c>
      <c r="F157" s="298" t="s">
        <v>485</v>
      </c>
      <c r="G157" s="311">
        <v>2640</v>
      </c>
      <c r="H157" s="311">
        <f t="shared" si="295"/>
        <v>1320</v>
      </c>
      <c r="I157" s="311">
        <v>3860</v>
      </c>
      <c r="J157" s="327">
        <f t="shared" si="296"/>
        <v>10190400</v>
      </c>
      <c r="K157" s="311">
        <v>200</v>
      </c>
      <c r="L157" s="327">
        <f t="shared" si="320"/>
        <v>3088</v>
      </c>
      <c r="M157" s="309">
        <f t="shared" si="297"/>
        <v>0.68393782383419688</v>
      </c>
      <c r="N157" s="309">
        <f t="shared" si="266"/>
        <v>0.34196891191709844</v>
      </c>
      <c r="O157" s="309">
        <f t="shared" si="256"/>
        <v>0.34196891191709844</v>
      </c>
      <c r="P157" s="327">
        <f>(4*390/2*K157)+(I157-4*390/2)*(25.4)*2</f>
        <v>312464</v>
      </c>
      <c r="Q157" s="306">
        <f t="shared" si="257"/>
        <v>772000</v>
      </c>
      <c r="R157" s="309">
        <f t="shared" si="298"/>
        <v>0.40474611398963728</v>
      </c>
      <c r="S157" s="312">
        <f t="shared" si="321"/>
        <v>1219.1999999999998</v>
      </c>
      <c r="T157" s="295">
        <v>1200</v>
      </c>
      <c r="U157" s="310">
        <v>14</v>
      </c>
      <c r="V157" s="310">
        <v>13.8</v>
      </c>
      <c r="W157" s="387">
        <f t="shared" si="267"/>
        <v>13.8</v>
      </c>
      <c r="X157" s="307">
        <v>22</v>
      </c>
      <c r="Y157" s="387">
        <f t="shared" si="268"/>
        <v>22</v>
      </c>
      <c r="Z157" s="418">
        <v>0.52900000000000003</v>
      </c>
      <c r="AA157" s="366">
        <f>(K157^-0.221)*((1-Z157)^0.0818)*(U157^-0.425)*((V157+U157)^1.01)*((X157+U157)^0.312)</f>
        <v>8.3497349586342704</v>
      </c>
      <c r="AB157" s="366">
        <f t="shared" si="324"/>
        <v>9.4187998095671919</v>
      </c>
      <c r="AC157" s="336">
        <v>2</v>
      </c>
      <c r="AD157" s="354">
        <v>2</v>
      </c>
      <c r="AE157" s="307" t="s">
        <v>605</v>
      </c>
      <c r="AF157" s="313">
        <f t="shared" si="281"/>
        <v>0.81209093304219504</v>
      </c>
      <c r="AG157" s="313">
        <f t="shared" si="299"/>
        <v>6.7807440532123389</v>
      </c>
      <c r="AH157" s="313">
        <f t="shared" si="282"/>
        <v>7.6489219254890699</v>
      </c>
      <c r="AI157" s="308">
        <f t="shared" si="325"/>
        <v>7.4734870186559474</v>
      </c>
      <c r="AJ157" s="298" t="s">
        <v>784</v>
      </c>
      <c r="AK157" s="298" t="s">
        <v>785</v>
      </c>
      <c r="AL157" s="298">
        <v>284</v>
      </c>
      <c r="AM157" s="298">
        <f>4*284</f>
        <v>1136</v>
      </c>
      <c r="AN157" s="306">
        <f t="shared" si="307"/>
        <v>1.8393782383419688E-3</v>
      </c>
      <c r="AO157" s="336">
        <v>414</v>
      </c>
      <c r="AP157" s="306">
        <f t="shared" si="312"/>
        <v>6.0531818181818187</v>
      </c>
      <c r="AQ157" s="298">
        <v>1220</v>
      </c>
      <c r="AR157" s="298" t="s">
        <v>787</v>
      </c>
      <c r="AS157" s="298">
        <f>3*284</f>
        <v>852</v>
      </c>
      <c r="AT157" s="298" t="s">
        <v>413</v>
      </c>
      <c r="AU157" s="298">
        <v>0</v>
      </c>
      <c r="AV157" s="298">
        <v>284</v>
      </c>
      <c r="AW157" s="312">
        <f t="shared" si="301"/>
        <v>852</v>
      </c>
      <c r="AX157" s="306">
        <f t="shared" si="302"/>
        <v>1.0757575757575758E-3</v>
      </c>
      <c r="AY157" s="336">
        <v>321</v>
      </c>
      <c r="AZ157" s="306">
        <f t="shared" si="322"/>
        <v>0.34531818181818186</v>
      </c>
      <c r="BA157" s="298">
        <f>2640/2</f>
        <v>1320</v>
      </c>
      <c r="BB157" s="308">
        <f>BE157*P157/1000</f>
        <v>218.72479999999999</v>
      </c>
      <c r="BC157" s="309">
        <f t="shared" si="314"/>
        <v>0.2833222797927461</v>
      </c>
      <c r="BD157" s="313">
        <f t="shared" si="269"/>
        <v>3.7910319384444391E-2</v>
      </c>
      <c r="BE157" s="298">
        <v>0.7</v>
      </c>
      <c r="BF157" s="298" t="s">
        <v>413</v>
      </c>
      <c r="BG157" s="298">
        <v>241</v>
      </c>
      <c r="BH157" s="312">
        <f t="shared" si="315"/>
        <v>241</v>
      </c>
      <c r="BI157" s="373">
        <v>0.94430000000000003</v>
      </c>
      <c r="BJ157" s="361">
        <f t="shared" si="258"/>
        <v>1</v>
      </c>
      <c r="BK157" s="312">
        <f t="shared" si="259"/>
        <v>1</v>
      </c>
      <c r="BL157" s="311">
        <f t="shared" si="323"/>
        <v>227.5763</v>
      </c>
      <c r="BM157" s="309">
        <f t="shared" si="203"/>
        <v>0.29478795336787567</v>
      </c>
      <c r="BN157" s="309">
        <f t="shared" si="271"/>
        <v>0.7283280633929029</v>
      </c>
      <c r="BO157" s="376"/>
      <c r="BP157" s="328">
        <f t="shared" si="272"/>
        <v>7.9942001180561384</v>
      </c>
      <c r="BQ157" s="328">
        <f t="shared" si="260"/>
        <v>0.34531818181818186</v>
      </c>
      <c r="BR157" s="328">
        <f t="shared" si="294"/>
        <v>0.49492423662617291</v>
      </c>
      <c r="BS157" s="328">
        <f t="shared" si="273"/>
        <v>0.6502106112458208</v>
      </c>
      <c r="BT157" s="328">
        <f t="shared" si="274"/>
        <v>0.2833222797927461</v>
      </c>
      <c r="BU157" s="376"/>
      <c r="BV157" s="328">
        <f t="shared" si="261"/>
        <v>0.40474611398963728</v>
      </c>
      <c r="BW157" s="328">
        <f t="shared" si="262"/>
        <v>0.42746113989637308</v>
      </c>
      <c r="BX157" s="373">
        <f t="shared" si="275"/>
        <v>0.68783300519115154</v>
      </c>
      <c r="BY157" s="311">
        <f t="shared" si="263"/>
        <v>194070.44491552853</v>
      </c>
      <c r="BZ157" s="311">
        <f t="shared" si="264"/>
        <v>383883.31636363635</v>
      </c>
      <c r="CA157" s="311">
        <f t="shared" si="276"/>
        <v>273345.29859552725</v>
      </c>
      <c r="CB157" s="307">
        <f t="shared" si="277"/>
        <v>273.34529859552725</v>
      </c>
      <c r="CC157" s="309">
        <f t="shared" si="278"/>
        <v>0.35407422097866226</v>
      </c>
      <c r="CD157" s="379">
        <f t="shared" si="265"/>
        <v>0.83255977391712066</v>
      </c>
    </row>
    <row r="158" spans="1:82" x14ac:dyDescent="0.25">
      <c r="A158" s="315">
        <v>150</v>
      </c>
      <c r="B158" s="315" t="s">
        <v>61</v>
      </c>
      <c r="C158" s="315" t="s">
        <v>292</v>
      </c>
      <c r="D158" s="315" t="s">
        <v>598</v>
      </c>
      <c r="E158" s="315" t="s">
        <v>668</v>
      </c>
      <c r="F158" s="315" t="s">
        <v>485</v>
      </c>
      <c r="G158" s="321">
        <v>2640</v>
      </c>
      <c r="H158" s="321">
        <f t="shared" si="295"/>
        <v>1320</v>
      </c>
      <c r="I158" s="321">
        <v>3860</v>
      </c>
      <c r="J158" s="329">
        <f t="shared" si="296"/>
        <v>10190400</v>
      </c>
      <c r="K158" s="321">
        <v>200</v>
      </c>
      <c r="L158" s="329">
        <f t="shared" si="320"/>
        <v>3088</v>
      </c>
      <c r="M158" s="319">
        <f t="shared" si="297"/>
        <v>0.68393782383419688</v>
      </c>
      <c r="N158" s="319">
        <f t="shared" si="266"/>
        <v>0.34196891191709844</v>
      </c>
      <c r="O158" s="319">
        <f t="shared" si="256"/>
        <v>0.34196891191709844</v>
      </c>
      <c r="P158" s="329">
        <f>(4*390/2*K158)+(I158-4*390/2)*(25.4)*2</f>
        <v>312464</v>
      </c>
      <c r="Q158" s="316">
        <f t="shared" si="257"/>
        <v>772000</v>
      </c>
      <c r="R158" s="319">
        <f t="shared" si="298"/>
        <v>0.40474611398963728</v>
      </c>
      <c r="S158" s="322">
        <f t="shared" si="321"/>
        <v>1219.1999999999998</v>
      </c>
      <c r="T158" s="294">
        <v>1200</v>
      </c>
      <c r="U158" s="320">
        <v>14</v>
      </c>
      <c r="V158" s="320">
        <v>13.8</v>
      </c>
      <c r="W158" s="387">
        <f t="shared" si="267"/>
        <v>13.8</v>
      </c>
      <c r="X158" s="317">
        <v>22</v>
      </c>
      <c r="Y158" s="387">
        <f t="shared" si="268"/>
        <v>22</v>
      </c>
      <c r="Z158" s="419">
        <v>0.52900000000000003</v>
      </c>
      <c r="AA158" s="367">
        <f>(K158^-0.221)*((1-Z158)^0.0818)*(U158^-0.425)*((V158+U158)^1.01)*((X158+U158)^0.312)</f>
        <v>8.3497349586342704</v>
      </c>
      <c r="AB158" s="367">
        <f t="shared" si="324"/>
        <v>9.4187998095671919</v>
      </c>
      <c r="AC158" s="344">
        <v>2</v>
      </c>
      <c r="AD158" s="355">
        <v>2</v>
      </c>
      <c r="AE158" s="317" t="s">
        <v>605</v>
      </c>
      <c r="AF158" s="324">
        <f t="shared" si="281"/>
        <v>0.81209093304219504</v>
      </c>
      <c r="AG158" s="324">
        <f t="shared" si="299"/>
        <v>6.7807440532123389</v>
      </c>
      <c r="AH158" s="324">
        <f t="shared" si="282"/>
        <v>7.6489219254890699</v>
      </c>
      <c r="AI158" s="318">
        <f t="shared" si="325"/>
        <v>7.4734870186559474</v>
      </c>
      <c r="AJ158" s="315" t="s">
        <v>784</v>
      </c>
      <c r="AK158" s="315" t="s">
        <v>785</v>
      </c>
      <c r="AL158" s="315">
        <v>284</v>
      </c>
      <c r="AM158" s="315">
        <f>4*284</f>
        <v>1136</v>
      </c>
      <c r="AN158" s="316">
        <f t="shared" si="307"/>
        <v>1.8393782383419688E-3</v>
      </c>
      <c r="AO158" s="344">
        <v>414</v>
      </c>
      <c r="AP158" s="316">
        <f t="shared" si="312"/>
        <v>6.0531818181818187</v>
      </c>
      <c r="AQ158" s="315">
        <v>1220</v>
      </c>
      <c r="AR158" s="315" t="s">
        <v>787</v>
      </c>
      <c r="AS158" s="315">
        <f>3*284</f>
        <v>852</v>
      </c>
      <c r="AT158" s="315" t="s">
        <v>413</v>
      </c>
      <c r="AU158" s="315">
        <v>0</v>
      </c>
      <c r="AV158" s="315">
        <v>284</v>
      </c>
      <c r="AW158" s="322">
        <f t="shared" si="301"/>
        <v>852</v>
      </c>
      <c r="AX158" s="316">
        <f t="shared" si="302"/>
        <v>1.0757575757575758E-3</v>
      </c>
      <c r="AY158" s="344">
        <v>321</v>
      </c>
      <c r="AZ158" s="316">
        <f t="shared" si="322"/>
        <v>0.34531818181818186</v>
      </c>
      <c r="BA158" s="315">
        <f>2640/2</f>
        <v>1320</v>
      </c>
      <c r="BB158" s="318">
        <f>BE158*P158/1000</f>
        <v>218.72479999999999</v>
      </c>
      <c r="BC158" s="319">
        <f t="shared" si="314"/>
        <v>0.2833222797927461</v>
      </c>
      <c r="BD158" s="324">
        <f>BC158/AI158</f>
        <v>3.7910319384444391E-2</v>
      </c>
      <c r="BE158" s="315">
        <v>0.7</v>
      </c>
      <c r="BF158" s="315" t="s">
        <v>413</v>
      </c>
      <c r="BG158" s="315">
        <v>230</v>
      </c>
      <c r="BH158" s="322">
        <f>BG158</f>
        <v>230</v>
      </c>
      <c r="BI158" s="373">
        <v>0.94430000000000003</v>
      </c>
      <c r="BJ158" s="315">
        <f t="shared" si="258"/>
        <v>1</v>
      </c>
      <c r="BK158" s="322">
        <f t="shared" si="259"/>
        <v>1</v>
      </c>
      <c r="BL158" s="321">
        <f t="shared" si="323"/>
        <v>217.18899999999999</v>
      </c>
      <c r="BM158" s="319">
        <f t="shared" si="203"/>
        <v>0.2813329015544041</v>
      </c>
      <c r="BN158" s="319">
        <f t="shared" si="271"/>
        <v>0.69508487377745909</v>
      </c>
      <c r="BO158" s="376"/>
      <c r="BP158" s="330">
        <f t="shared" si="272"/>
        <v>7.9942001180561384</v>
      </c>
      <c r="BQ158" s="330">
        <f t="shared" si="260"/>
        <v>0.34531818181818186</v>
      </c>
      <c r="BR158" s="330">
        <f t="shared" si="294"/>
        <v>0.49492423662617291</v>
      </c>
      <c r="BS158" s="330">
        <f t="shared" si="273"/>
        <v>0.6502106112458208</v>
      </c>
      <c r="BT158" s="330">
        <f t="shared" si="274"/>
        <v>0.2833222797927461</v>
      </c>
      <c r="BU158" s="376"/>
      <c r="BV158" s="328">
        <f t="shared" si="261"/>
        <v>0.40474611398963728</v>
      </c>
      <c r="BW158" s="328">
        <f t="shared" si="262"/>
        <v>0.42746113989637308</v>
      </c>
      <c r="BX158" s="373">
        <f t="shared" si="275"/>
        <v>0.68783300519115154</v>
      </c>
      <c r="BY158" s="311">
        <f t="shared" si="263"/>
        <v>194070.44491552853</v>
      </c>
      <c r="BZ158" s="311">
        <f t="shared" si="264"/>
        <v>383883.31636363635</v>
      </c>
      <c r="CA158" s="311">
        <f t="shared" si="276"/>
        <v>273345.29859552725</v>
      </c>
      <c r="CB158" s="307">
        <f t="shared" si="277"/>
        <v>273.34529859552725</v>
      </c>
      <c r="CC158" s="309">
        <f t="shared" si="278"/>
        <v>0.35407422097866226</v>
      </c>
      <c r="CD158" s="379">
        <f t="shared" si="265"/>
        <v>0.7945591203358412</v>
      </c>
    </row>
    <row r="159" spans="1:82" x14ac:dyDescent="0.25">
      <c r="A159" s="305">
        <v>151</v>
      </c>
      <c r="B159" s="298" t="s">
        <v>63</v>
      </c>
      <c r="C159" s="298" t="s">
        <v>572</v>
      </c>
      <c r="D159" s="298" t="s">
        <v>598</v>
      </c>
      <c r="E159" s="343" t="s">
        <v>668</v>
      </c>
      <c r="F159" s="298" t="s">
        <v>484</v>
      </c>
      <c r="G159" s="311">
        <v>2640</v>
      </c>
      <c r="H159" s="311">
        <f t="shared" si="295"/>
        <v>2640</v>
      </c>
      <c r="I159" s="311">
        <v>2850</v>
      </c>
      <c r="J159" s="306">
        <f t="shared" si="296"/>
        <v>7524000</v>
      </c>
      <c r="K159" s="311">
        <v>193</v>
      </c>
      <c r="L159" s="327">
        <f t="shared" ref="L159:L166" si="326">0.8*I159</f>
        <v>2280</v>
      </c>
      <c r="M159" s="309">
        <f t="shared" si="297"/>
        <v>0.9263157894736842</v>
      </c>
      <c r="N159" s="309">
        <f t="shared" si="266"/>
        <v>0.9263157894736842</v>
      </c>
      <c r="O159" s="309">
        <f t="shared" si="256"/>
        <v>0.9263157894736842</v>
      </c>
      <c r="P159" s="311">
        <f>520.5*$O$3^2</f>
        <v>335805.77999999997</v>
      </c>
      <c r="Q159" s="306">
        <f t="shared" si="257"/>
        <v>550050</v>
      </c>
      <c r="R159" s="309">
        <f t="shared" si="298"/>
        <v>0.61050046359421861</v>
      </c>
      <c r="S159" s="312">
        <f>48*$O$3</f>
        <v>1219.1999999999998</v>
      </c>
      <c r="T159" s="295">
        <f>G159/2</f>
        <v>1320</v>
      </c>
      <c r="U159" s="310" t="s">
        <v>413</v>
      </c>
      <c r="V159" s="366">
        <f>(7.7+12.1)/2</f>
        <v>9.9</v>
      </c>
      <c r="W159" s="387">
        <f t="shared" si="267"/>
        <v>9.9</v>
      </c>
      <c r="X159" s="336">
        <f>(18.3+38.9)/2</f>
        <v>28.6</v>
      </c>
      <c r="Y159" s="387">
        <f t="shared" si="268"/>
        <v>28.6</v>
      </c>
      <c r="Z159" s="423" t="s">
        <v>413</v>
      </c>
      <c r="AA159" s="310">
        <v>21.2</v>
      </c>
      <c r="AB159" s="310">
        <v>19.5</v>
      </c>
      <c r="AC159" s="336">
        <v>2</v>
      </c>
      <c r="AD159" s="354">
        <v>2</v>
      </c>
      <c r="AE159" s="307" t="s">
        <v>605</v>
      </c>
      <c r="AF159" s="313">
        <f t="shared" si="281"/>
        <v>0.81209093304219504</v>
      </c>
      <c r="AG159" s="313">
        <f t="shared" si="299"/>
        <v>17.216327780494534</v>
      </c>
      <c r="AH159" s="313">
        <f t="shared" si="282"/>
        <v>15.835773194322803</v>
      </c>
      <c r="AI159" s="308">
        <f t="shared" ref="AI159:AI166" si="327">((3*390/2)*AG159+(I159-3*390/2)*AH159)/I159</f>
        <v>16.119150188326472</v>
      </c>
      <c r="AJ159" s="298" t="s">
        <v>703</v>
      </c>
      <c r="AK159" s="361" t="s">
        <v>769</v>
      </c>
      <c r="AL159" s="298" t="s">
        <v>580</v>
      </c>
      <c r="AM159" s="298">
        <f>2*2*284+2*129</f>
        <v>1394</v>
      </c>
      <c r="AN159" s="306">
        <f t="shared" si="307"/>
        <v>3.1678938278338334E-3</v>
      </c>
      <c r="AO159" s="295">
        <v>461</v>
      </c>
      <c r="AP159" s="306">
        <f t="shared" si="312"/>
        <v>2.5786033914272255</v>
      </c>
      <c r="AQ159" s="298">
        <v>1220</v>
      </c>
      <c r="AR159" s="298" t="s">
        <v>703</v>
      </c>
      <c r="AS159" s="298">
        <f>2*129</f>
        <v>258</v>
      </c>
      <c r="AT159" s="298" t="s">
        <v>413</v>
      </c>
      <c r="AU159" s="298">
        <v>0</v>
      </c>
      <c r="AV159" s="298">
        <f>2*129</f>
        <v>258</v>
      </c>
      <c r="AW159" s="312">
        <f t="shared" si="301"/>
        <v>258</v>
      </c>
      <c r="AX159" s="295">
        <f>0.11/100</f>
        <v>1.1000000000000001E-3</v>
      </c>
      <c r="AY159" s="295">
        <v>445</v>
      </c>
      <c r="AZ159" s="306">
        <f t="shared" ref="AZ159:AZ174" si="328">AX159*AY159</f>
        <v>0.48950000000000005</v>
      </c>
      <c r="BA159" s="298">
        <f>G159/2</f>
        <v>1320</v>
      </c>
      <c r="BB159" s="295">
        <v>0</v>
      </c>
      <c r="BC159" s="298">
        <v>0</v>
      </c>
      <c r="BD159" s="313">
        <f>BC159/AI159</f>
        <v>0</v>
      </c>
      <c r="BE159" s="298">
        <v>0</v>
      </c>
      <c r="BF159" s="361" t="s">
        <v>413</v>
      </c>
      <c r="BG159" s="361" t="s">
        <v>413</v>
      </c>
      <c r="BH159" s="310">
        <f>46.8*1000*$T$3</f>
        <v>208.17669599999999</v>
      </c>
      <c r="BI159" s="361">
        <v>1</v>
      </c>
      <c r="BJ159" s="361">
        <f t="shared" si="258"/>
        <v>1</v>
      </c>
      <c r="BK159" s="312">
        <f t="shared" si="259"/>
        <v>1</v>
      </c>
      <c r="BL159" s="311">
        <f t="shared" si="323"/>
        <v>208.17669599999999</v>
      </c>
      <c r="BM159" s="309">
        <f t="shared" si="203"/>
        <v>0.3784686773929643</v>
      </c>
      <c r="BN159" s="309">
        <f t="shared" si="271"/>
        <v>0.61993184274552993</v>
      </c>
      <c r="BO159" s="376"/>
      <c r="BP159" s="328">
        <f t="shared" si="272"/>
        <v>4.3342305009466875</v>
      </c>
      <c r="BQ159" s="328">
        <f t="shared" si="260"/>
        <v>0.48950000000000005</v>
      </c>
      <c r="BR159" s="328">
        <f t="shared" si="294"/>
        <v>0.48334875045729014</v>
      </c>
      <c r="BS159" s="328">
        <f t="shared" si="273"/>
        <v>1.0289272458246945</v>
      </c>
      <c r="BT159" s="328">
        <f t="shared" si="274"/>
        <v>0</v>
      </c>
      <c r="BU159" s="376"/>
      <c r="BV159" s="328">
        <f t="shared" si="261"/>
        <v>0.5</v>
      </c>
      <c r="BW159" s="328">
        <f t="shared" si="262"/>
        <v>1</v>
      </c>
      <c r="BX159" s="373">
        <f t="shared" si="275"/>
        <v>0.64237858371925638</v>
      </c>
      <c r="BY159" s="311">
        <f t="shared" si="263"/>
        <v>141336.13598991078</v>
      </c>
      <c r="BZ159" s="311">
        <f t="shared" si="264"/>
        <v>118984.90909090907</v>
      </c>
      <c r="CA159" s="311">
        <f t="shared" si="276"/>
        <v>353340.33997477702</v>
      </c>
      <c r="CB159" s="307">
        <f t="shared" si="277"/>
        <v>260.32104508081989</v>
      </c>
      <c r="CC159" s="309">
        <f t="shared" si="278"/>
        <v>0.47326796669542748</v>
      </c>
      <c r="CD159" s="379">
        <f t="shared" si="265"/>
        <v>0.79969214911291153</v>
      </c>
    </row>
    <row r="160" spans="1:82" x14ac:dyDescent="0.25">
      <c r="A160" s="305">
        <v>152</v>
      </c>
      <c r="B160" s="298" t="s">
        <v>63</v>
      </c>
      <c r="C160" s="298" t="s">
        <v>573</v>
      </c>
      <c r="D160" s="298" t="s">
        <v>598</v>
      </c>
      <c r="E160" s="343" t="s">
        <v>668</v>
      </c>
      <c r="F160" s="298" t="s">
        <v>484</v>
      </c>
      <c r="G160" s="311">
        <v>2640</v>
      </c>
      <c r="H160" s="311">
        <f t="shared" si="295"/>
        <v>2640</v>
      </c>
      <c r="I160" s="311">
        <v>2850</v>
      </c>
      <c r="J160" s="306">
        <f t="shared" si="296"/>
        <v>7524000</v>
      </c>
      <c r="K160" s="311">
        <v>193</v>
      </c>
      <c r="L160" s="327">
        <f t="shared" si="326"/>
        <v>2280</v>
      </c>
      <c r="M160" s="309">
        <f t="shared" si="297"/>
        <v>0.9263157894736842</v>
      </c>
      <c r="N160" s="309">
        <f t="shared" si="266"/>
        <v>0.9263157894736842</v>
      </c>
      <c r="O160" s="309">
        <f t="shared" si="256"/>
        <v>0.9263157894736842</v>
      </c>
      <c r="P160" s="311">
        <f>520.5*$O$3^2</f>
        <v>335805.77999999997</v>
      </c>
      <c r="Q160" s="306">
        <f t="shared" si="257"/>
        <v>550050</v>
      </c>
      <c r="R160" s="309">
        <f t="shared" si="298"/>
        <v>0.61050046359421861</v>
      </c>
      <c r="S160" s="312">
        <f t="shared" ref="S160:S166" si="329">48*$O$3</f>
        <v>1219.1999999999998</v>
      </c>
      <c r="T160" s="312">
        <f>G160</f>
        <v>2640</v>
      </c>
      <c r="U160" s="310" t="s">
        <v>413</v>
      </c>
      <c r="V160" s="366">
        <f t="shared" ref="V160:V166" si="330">(7.7+12.1)/2</f>
        <v>9.9</v>
      </c>
      <c r="W160" s="387">
        <f t="shared" si="267"/>
        <v>9.9</v>
      </c>
      <c r="X160" s="336">
        <f t="shared" ref="X160:X166" si="331">(18.3+38.9)/2</f>
        <v>28.6</v>
      </c>
      <c r="Y160" s="387">
        <f t="shared" si="268"/>
        <v>28.6</v>
      </c>
      <c r="Z160" s="423" t="s">
        <v>413</v>
      </c>
      <c r="AA160" s="310">
        <v>17</v>
      </c>
      <c r="AB160" s="310">
        <v>17.7</v>
      </c>
      <c r="AC160" s="336">
        <v>2</v>
      </c>
      <c r="AD160" s="354">
        <v>2</v>
      </c>
      <c r="AE160" s="307" t="s">
        <v>605</v>
      </c>
      <c r="AF160" s="313">
        <f t="shared" si="281"/>
        <v>0.81209093304219504</v>
      </c>
      <c r="AG160" s="313">
        <f t="shared" si="299"/>
        <v>13.805545861717317</v>
      </c>
      <c r="AH160" s="313">
        <f t="shared" si="282"/>
        <v>14.374009514846852</v>
      </c>
      <c r="AI160" s="308">
        <f t="shared" si="327"/>
        <v>14.257324870257106</v>
      </c>
      <c r="AJ160" s="361" t="s">
        <v>703</v>
      </c>
      <c r="AK160" s="361" t="s">
        <v>769</v>
      </c>
      <c r="AL160" s="298" t="s">
        <v>580</v>
      </c>
      <c r="AM160" s="298">
        <f>2*2*284+2*129</f>
        <v>1394</v>
      </c>
      <c r="AN160" s="306">
        <f t="shared" si="307"/>
        <v>3.1678938278338334E-3</v>
      </c>
      <c r="AO160" s="295">
        <v>461</v>
      </c>
      <c r="AP160" s="306">
        <f t="shared" si="312"/>
        <v>2.5786033914272255</v>
      </c>
      <c r="AQ160" s="298">
        <v>1220</v>
      </c>
      <c r="AR160" s="298" t="s">
        <v>413</v>
      </c>
      <c r="AS160" s="298">
        <v>0</v>
      </c>
      <c r="AT160" s="298" t="s">
        <v>791</v>
      </c>
      <c r="AU160" s="311">
        <f>13*AV160</f>
        <v>470.48491580160743</v>
      </c>
      <c r="AV160" s="307">
        <f>2*PI()*4.8^2/4</f>
        <v>36.191147369354418</v>
      </c>
      <c r="AW160" s="312">
        <f t="shared" si="301"/>
        <v>470.48491580160743</v>
      </c>
      <c r="AX160" s="295">
        <f>0.09/100</f>
        <v>8.9999999999999998E-4</v>
      </c>
      <c r="AY160" s="295">
        <v>606.4</v>
      </c>
      <c r="AZ160" s="306">
        <f t="shared" si="328"/>
        <v>0.54575999999999991</v>
      </c>
      <c r="BA160" s="298">
        <f>8*$O$3</f>
        <v>203.2</v>
      </c>
      <c r="BB160" s="295">
        <v>0</v>
      </c>
      <c r="BC160" s="298">
        <v>0</v>
      </c>
      <c r="BD160" s="313">
        <f t="shared" si="269"/>
        <v>0</v>
      </c>
      <c r="BE160" s="298">
        <v>0</v>
      </c>
      <c r="BF160" s="361" t="s">
        <v>413</v>
      </c>
      <c r="BG160" s="361" t="s">
        <v>413</v>
      </c>
      <c r="BH160" s="310">
        <f>45.2*1000*$T$3</f>
        <v>201.05954400000002</v>
      </c>
      <c r="BI160" s="361">
        <v>1</v>
      </c>
      <c r="BJ160" s="361">
        <f t="shared" si="258"/>
        <v>1</v>
      </c>
      <c r="BK160" s="312">
        <f t="shared" si="259"/>
        <v>1</v>
      </c>
      <c r="BL160" s="311">
        <f t="shared" si="323"/>
        <v>201.05954400000002</v>
      </c>
      <c r="BM160" s="309">
        <f t="shared" si="203"/>
        <v>0.36552957731115354</v>
      </c>
      <c r="BN160" s="309">
        <f t="shared" si="271"/>
        <v>0.59873759171149477</v>
      </c>
      <c r="BO160" s="376"/>
      <c r="BP160" s="328">
        <f t="shared" si="272"/>
        <v>4.0762419670101115</v>
      </c>
      <c r="BQ160" s="328">
        <f t="shared" si="260"/>
        <v>0.54575999999999991</v>
      </c>
      <c r="BR160" s="328">
        <f t="shared" si="294"/>
        <v>0.48334875045729014</v>
      </c>
      <c r="BS160" s="328">
        <f t="shared" si="273"/>
        <v>1.0217793520990139</v>
      </c>
      <c r="BT160" s="328">
        <f t="shared" si="274"/>
        <v>0</v>
      </c>
      <c r="BU160" s="376"/>
      <c r="BV160" s="328">
        <f t="shared" si="261"/>
        <v>0.5</v>
      </c>
      <c r="BW160" s="328">
        <f t="shared" si="262"/>
        <v>1</v>
      </c>
      <c r="BX160" s="373">
        <f t="shared" si="275"/>
        <v>0.60414196732107761</v>
      </c>
      <c r="BY160" s="311">
        <f t="shared" si="263"/>
        <v>132923.3156499835</v>
      </c>
      <c r="BZ160" s="311">
        <f t="shared" si="264"/>
        <v>1920734.2934290632</v>
      </c>
      <c r="CA160" s="311">
        <f t="shared" si="276"/>
        <v>332308.28912495874</v>
      </c>
      <c r="CB160" s="307">
        <f t="shared" si="277"/>
        <v>332.30828912495872</v>
      </c>
      <c r="CC160" s="309">
        <f t="shared" si="278"/>
        <v>0.60414196732107761</v>
      </c>
      <c r="CD160" s="379">
        <f t="shared" si="265"/>
        <v>0.60503920780740772</v>
      </c>
    </row>
    <row r="161" spans="1:82" x14ac:dyDescent="0.25">
      <c r="A161" s="305">
        <v>153</v>
      </c>
      <c r="B161" s="298" t="s">
        <v>63</v>
      </c>
      <c r="C161" s="298" t="s">
        <v>574</v>
      </c>
      <c r="D161" s="298" t="s">
        <v>598</v>
      </c>
      <c r="E161" s="343" t="s">
        <v>668</v>
      </c>
      <c r="F161" s="298" t="s">
        <v>484</v>
      </c>
      <c r="G161" s="311">
        <v>2640</v>
      </c>
      <c r="H161" s="311">
        <f t="shared" si="295"/>
        <v>2640</v>
      </c>
      <c r="I161" s="311">
        <v>2850</v>
      </c>
      <c r="J161" s="306">
        <f t="shared" si="296"/>
        <v>7524000</v>
      </c>
      <c r="K161" s="311">
        <v>193</v>
      </c>
      <c r="L161" s="327">
        <f t="shared" si="326"/>
        <v>2280</v>
      </c>
      <c r="M161" s="309">
        <f t="shared" si="297"/>
        <v>0.9263157894736842</v>
      </c>
      <c r="N161" s="309">
        <f t="shared" si="266"/>
        <v>0.9263157894736842</v>
      </c>
      <c r="O161" s="309">
        <f t="shared" si="256"/>
        <v>0.9263157894736842</v>
      </c>
      <c r="P161" s="311">
        <f>587.2*$O$3^2</f>
        <v>378837.95199999999</v>
      </c>
      <c r="Q161" s="306">
        <f t="shared" si="257"/>
        <v>550050</v>
      </c>
      <c r="R161" s="309">
        <f t="shared" si="298"/>
        <v>0.68873366421234428</v>
      </c>
      <c r="S161" s="312">
        <f t="shared" si="329"/>
        <v>1219.1999999999998</v>
      </c>
      <c r="T161" s="312">
        <f>G161</f>
        <v>2640</v>
      </c>
      <c r="U161" s="310" t="s">
        <v>413</v>
      </c>
      <c r="V161" s="366">
        <f t="shared" si="330"/>
        <v>9.9</v>
      </c>
      <c r="W161" s="387">
        <f t="shared" si="267"/>
        <v>9.9</v>
      </c>
      <c r="X161" s="336">
        <f t="shared" si="331"/>
        <v>28.6</v>
      </c>
      <c r="Y161" s="387">
        <f t="shared" si="268"/>
        <v>28.6</v>
      </c>
      <c r="Z161" s="423" t="s">
        <v>413</v>
      </c>
      <c r="AA161" s="310">
        <v>17</v>
      </c>
      <c r="AB161" s="310">
        <v>17.7</v>
      </c>
      <c r="AC161" s="336">
        <v>2</v>
      </c>
      <c r="AD161" s="354">
        <v>2</v>
      </c>
      <c r="AE161" s="307" t="s">
        <v>605</v>
      </c>
      <c r="AF161" s="313">
        <f t="shared" si="281"/>
        <v>0.81209093304219504</v>
      </c>
      <c r="AG161" s="313">
        <f t="shared" si="299"/>
        <v>13.805545861717317</v>
      </c>
      <c r="AH161" s="313">
        <f t="shared" si="282"/>
        <v>14.374009514846852</v>
      </c>
      <c r="AI161" s="308">
        <f t="shared" si="327"/>
        <v>14.257324870257106</v>
      </c>
      <c r="AJ161" s="361" t="s">
        <v>788</v>
      </c>
      <c r="AK161" s="298" t="s">
        <v>785</v>
      </c>
      <c r="AL161" s="298" t="s">
        <v>580</v>
      </c>
      <c r="AM161" s="298">
        <f>2*284+8*129</f>
        <v>1600</v>
      </c>
      <c r="AN161" s="306">
        <f t="shared" si="307"/>
        <v>3.6360330879010995E-3</v>
      </c>
      <c r="AO161" s="295">
        <v>461</v>
      </c>
      <c r="AP161" s="306">
        <f t="shared" si="312"/>
        <v>2.5786033914272255</v>
      </c>
      <c r="AQ161" s="298">
        <v>1220</v>
      </c>
      <c r="AR161" s="298" t="s">
        <v>413</v>
      </c>
      <c r="AS161" s="298">
        <v>0</v>
      </c>
      <c r="AT161" s="361" t="s">
        <v>792</v>
      </c>
      <c r="AU161" s="311">
        <f>13*AV161</f>
        <v>940.96983160321486</v>
      </c>
      <c r="AV161" s="307">
        <f>2*2*PI()*4.8^2/4</f>
        <v>72.382294738708836</v>
      </c>
      <c r="AW161" s="312">
        <f t="shared" si="301"/>
        <v>940.96983160321486</v>
      </c>
      <c r="AX161" s="295">
        <f>0.18/100</f>
        <v>1.8E-3</v>
      </c>
      <c r="AY161" s="295">
        <v>606.4</v>
      </c>
      <c r="AZ161" s="306">
        <f t="shared" si="328"/>
        <v>1.0915199999999998</v>
      </c>
      <c r="BA161" s="298">
        <f>8*$O$3</f>
        <v>203.2</v>
      </c>
      <c r="BB161" s="295">
        <v>0</v>
      </c>
      <c r="BC161" s="298">
        <v>0</v>
      </c>
      <c r="BD161" s="313">
        <f t="shared" si="269"/>
        <v>0</v>
      </c>
      <c r="BE161" s="298">
        <v>0</v>
      </c>
      <c r="BF161" s="361" t="s">
        <v>413</v>
      </c>
      <c r="BG161" s="361" t="s">
        <v>413</v>
      </c>
      <c r="BH161" s="310">
        <f>73.2*1000*$T$3</f>
        <v>325.60970400000002</v>
      </c>
      <c r="BI161" s="361">
        <v>1</v>
      </c>
      <c r="BJ161" s="361">
        <f t="shared" si="258"/>
        <v>1</v>
      </c>
      <c r="BK161" s="312">
        <f t="shared" si="259"/>
        <v>1</v>
      </c>
      <c r="BL161" s="311">
        <f t="shared" si="323"/>
        <v>325.60970400000002</v>
      </c>
      <c r="BM161" s="309">
        <f t="shared" si="203"/>
        <v>0.59196382874284159</v>
      </c>
      <c r="BN161" s="309">
        <f t="shared" si="271"/>
        <v>0.85949599896475004</v>
      </c>
      <c r="BO161" s="376"/>
      <c r="BP161" s="328">
        <f t="shared" si="272"/>
        <v>4.0762419670101115</v>
      </c>
      <c r="BQ161" s="328">
        <f t="shared" si="260"/>
        <v>1.0915199999999998</v>
      </c>
      <c r="BR161" s="328">
        <f t="shared" si="294"/>
        <v>0.51783238156914901</v>
      </c>
      <c r="BS161" s="328">
        <f t="shared" si="273"/>
        <v>1.6301870288392779</v>
      </c>
      <c r="BT161" s="328">
        <f t="shared" si="274"/>
        <v>0</v>
      </c>
      <c r="BU161" s="376"/>
      <c r="BV161" s="328">
        <f t="shared" si="261"/>
        <v>0.5</v>
      </c>
      <c r="BW161" s="328">
        <f t="shared" si="262"/>
        <v>1</v>
      </c>
      <c r="BX161" s="373">
        <f t="shared" si="275"/>
        <v>0.60414196732107761</v>
      </c>
      <c r="BY161" s="311">
        <f t="shared" si="263"/>
        <v>132923.3156499835</v>
      </c>
      <c r="BZ161" s="311">
        <f t="shared" si="264"/>
        <v>3841468.5868581263</v>
      </c>
      <c r="CA161" s="311">
        <f t="shared" si="276"/>
        <v>332308.28912495874</v>
      </c>
      <c r="CB161" s="307">
        <f t="shared" si="277"/>
        <v>332.30828912495872</v>
      </c>
      <c r="CC161" s="309">
        <f t="shared" si="278"/>
        <v>0.60414196732107761</v>
      </c>
      <c r="CD161" s="379">
        <f t="shared" si="265"/>
        <v>0.9798422568916425</v>
      </c>
    </row>
    <row r="162" spans="1:82" x14ac:dyDescent="0.25">
      <c r="A162" s="305">
        <v>154</v>
      </c>
      <c r="B162" s="298" t="s">
        <v>63</v>
      </c>
      <c r="C162" s="298" t="s">
        <v>575</v>
      </c>
      <c r="D162" s="298" t="s">
        <v>598</v>
      </c>
      <c r="E162" s="343" t="s">
        <v>668</v>
      </c>
      <c r="F162" s="298" t="s">
        <v>484</v>
      </c>
      <c r="G162" s="311">
        <v>2640</v>
      </c>
      <c r="H162" s="311">
        <f t="shared" si="295"/>
        <v>2640</v>
      </c>
      <c r="I162" s="311">
        <v>2850</v>
      </c>
      <c r="J162" s="306">
        <f t="shared" si="296"/>
        <v>7524000</v>
      </c>
      <c r="K162" s="311">
        <v>193</v>
      </c>
      <c r="L162" s="327">
        <f t="shared" si="326"/>
        <v>2280</v>
      </c>
      <c r="M162" s="309">
        <f t="shared" si="297"/>
        <v>0.9263157894736842</v>
      </c>
      <c r="N162" s="309">
        <f t="shared" si="266"/>
        <v>0.9263157894736842</v>
      </c>
      <c r="O162" s="309">
        <f t="shared" si="256"/>
        <v>0.9263157894736842</v>
      </c>
      <c r="P162" s="311">
        <f>587.2*$O$3^2</f>
        <v>378837.95199999999</v>
      </c>
      <c r="Q162" s="306">
        <f t="shared" si="257"/>
        <v>550050</v>
      </c>
      <c r="R162" s="309">
        <f t="shared" si="298"/>
        <v>0.68873366421234428</v>
      </c>
      <c r="S162" s="312">
        <f t="shared" si="329"/>
        <v>1219.1999999999998</v>
      </c>
      <c r="T162" s="295">
        <f>G162/2</f>
        <v>1320</v>
      </c>
      <c r="U162" s="310" t="s">
        <v>413</v>
      </c>
      <c r="V162" s="366">
        <f t="shared" si="330"/>
        <v>9.9</v>
      </c>
      <c r="W162" s="387">
        <f t="shared" si="267"/>
        <v>9.9</v>
      </c>
      <c r="X162" s="336">
        <f t="shared" si="331"/>
        <v>28.6</v>
      </c>
      <c r="Y162" s="387">
        <f t="shared" si="268"/>
        <v>28.6</v>
      </c>
      <c r="Z162" s="423" t="s">
        <v>413</v>
      </c>
      <c r="AA162" s="310">
        <v>20.5</v>
      </c>
      <c r="AB162" s="310">
        <v>19.2</v>
      </c>
      <c r="AC162" s="336">
        <v>2</v>
      </c>
      <c r="AD162" s="354">
        <v>2</v>
      </c>
      <c r="AE162" s="307" t="s">
        <v>605</v>
      </c>
      <c r="AF162" s="313">
        <f t="shared" si="281"/>
        <v>0.81209093304219504</v>
      </c>
      <c r="AG162" s="313">
        <f t="shared" si="299"/>
        <v>16.647864127364997</v>
      </c>
      <c r="AH162" s="313">
        <f t="shared" si="282"/>
        <v>15.592145914410144</v>
      </c>
      <c r="AI162" s="308">
        <f t="shared" si="327"/>
        <v>15.808845968648246</v>
      </c>
      <c r="AJ162" s="361" t="s">
        <v>788</v>
      </c>
      <c r="AK162" s="361" t="s">
        <v>785</v>
      </c>
      <c r="AL162" s="298" t="s">
        <v>580</v>
      </c>
      <c r="AM162" s="298">
        <f>2*284+8*129</f>
        <v>1600</v>
      </c>
      <c r="AN162" s="306">
        <f t="shared" si="307"/>
        <v>3.6360330879010995E-3</v>
      </c>
      <c r="AO162" s="295">
        <v>461</v>
      </c>
      <c r="AP162" s="306">
        <f t="shared" si="312"/>
        <v>2.5786033914272255</v>
      </c>
      <c r="AQ162" s="298">
        <v>1220</v>
      </c>
      <c r="AR162" s="361" t="s">
        <v>703</v>
      </c>
      <c r="AS162" s="298">
        <f>2*129</f>
        <v>258</v>
      </c>
      <c r="AT162" s="286" t="s">
        <v>413</v>
      </c>
      <c r="AU162" s="298">
        <v>0</v>
      </c>
      <c r="AV162" s="298">
        <f>2*129</f>
        <v>258</v>
      </c>
      <c r="AW162" s="312">
        <f t="shared" si="301"/>
        <v>258</v>
      </c>
      <c r="AX162" s="295">
        <f>0.11/100</f>
        <v>1.1000000000000001E-3</v>
      </c>
      <c r="AY162" s="295">
        <v>445</v>
      </c>
      <c r="AZ162" s="306">
        <f t="shared" si="328"/>
        <v>0.48950000000000005</v>
      </c>
      <c r="BA162" s="298">
        <f>G162/2</f>
        <v>1320</v>
      </c>
      <c r="BB162" s="295">
        <v>0</v>
      </c>
      <c r="BC162" s="298">
        <v>0</v>
      </c>
      <c r="BD162" s="313">
        <f t="shared" si="269"/>
        <v>0</v>
      </c>
      <c r="BE162" s="298">
        <v>0</v>
      </c>
      <c r="BF162" s="361" t="s">
        <v>413</v>
      </c>
      <c r="BG162" s="361" t="s">
        <v>413</v>
      </c>
      <c r="BH162" s="310">
        <f>56*1000*$T$3</f>
        <v>249.10032000000001</v>
      </c>
      <c r="BI162" s="361">
        <v>1</v>
      </c>
      <c r="BJ162" s="361">
        <f t="shared" si="258"/>
        <v>1</v>
      </c>
      <c r="BK162" s="312">
        <f t="shared" si="259"/>
        <v>1</v>
      </c>
      <c r="BL162" s="311">
        <f t="shared" si="323"/>
        <v>249.10032000000001</v>
      </c>
      <c r="BM162" s="309">
        <f t="shared" si="203"/>
        <v>0.4528685028633761</v>
      </c>
      <c r="BN162" s="309">
        <f t="shared" si="271"/>
        <v>0.65753792270527323</v>
      </c>
      <c r="BO162" s="376"/>
      <c r="BP162" s="328">
        <f t="shared" si="272"/>
        <v>4.2923093774466237</v>
      </c>
      <c r="BQ162" s="328">
        <f t="shared" si="260"/>
        <v>0.48950000000000005</v>
      </c>
      <c r="BR162" s="328">
        <f t="shared" si="294"/>
        <v>0.51783238156914901</v>
      </c>
      <c r="BS162" s="328">
        <f t="shared" si="273"/>
        <v>1.1495529852248976</v>
      </c>
      <c r="BT162" s="328">
        <f t="shared" si="274"/>
        <v>0</v>
      </c>
      <c r="BU162" s="376"/>
      <c r="BV162" s="328">
        <f t="shared" si="261"/>
        <v>0.5</v>
      </c>
      <c r="BW162" s="328">
        <f t="shared" si="262"/>
        <v>1</v>
      </c>
      <c r="BX162" s="373">
        <f t="shared" si="275"/>
        <v>0.63616543194156272</v>
      </c>
      <c r="BY162" s="311">
        <f t="shared" si="263"/>
        <v>139969.11833578261</v>
      </c>
      <c r="BZ162" s="311">
        <f t="shared" si="264"/>
        <v>118984.90909090907</v>
      </c>
      <c r="CA162" s="311">
        <f t="shared" si="276"/>
        <v>349922.79583945661</v>
      </c>
      <c r="CB162" s="307">
        <f t="shared" si="277"/>
        <v>258.95402742669165</v>
      </c>
      <c r="CC162" s="309">
        <f t="shared" si="278"/>
        <v>0.47078270598434985</v>
      </c>
      <c r="CD162" s="379">
        <f t="shared" si="265"/>
        <v>0.96194804334726491</v>
      </c>
    </row>
    <row r="163" spans="1:82" x14ac:dyDescent="0.25">
      <c r="A163" s="305">
        <v>155</v>
      </c>
      <c r="B163" s="298" t="s">
        <v>63</v>
      </c>
      <c r="C163" s="298" t="s">
        <v>576</v>
      </c>
      <c r="D163" s="298" t="s">
        <v>598</v>
      </c>
      <c r="E163" s="343" t="s">
        <v>668</v>
      </c>
      <c r="F163" s="298" t="s">
        <v>484</v>
      </c>
      <c r="G163" s="311">
        <v>2640</v>
      </c>
      <c r="H163" s="311">
        <f t="shared" si="295"/>
        <v>2640</v>
      </c>
      <c r="I163" s="311">
        <v>2850</v>
      </c>
      <c r="J163" s="306">
        <f t="shared" si="296"/>
        <v>7524000</v>
      </c>
      <c r="K163" s="311">
        <v>193</v>
      </c>
      <c r="L163" s="327">
        <f t="shared" si="326"/>
        <v>2280</v>
      </c>
      <c r="M163" s="309">
        <f t="shared" si="297"/>
        <v>0.9263157894736842</v>
      </c>
      <c r="N163" s="309">
        <f t="shared" si="266"/>
        <v>0.9263157894736842</v>
      </c>
      <c r="O163" s="309">
        <f t="shared" si="256"/>
        <v>0.9263157894736842</v>
      </c>
      <c r="P163" s="311">
        <f>587.2*$O$3^2</f>
        <v>378837.95199999999</v>
      </c>
      <c r="Q163" s="306">
        <f t="shared" si="257"/>
        <v>550050</v>
      </c>
      <c r="R163" s="309">
        <f t="shared" si="298"/>
        <v>0.68873366421234428</v>
      </c>
      <c r="S163" s="312">
        <f t="shared" si="329"/>
        <v>1219.1999999999998</v>
      </c>
      <c r="T163" s="312">
        <f>G163</f>
        <v>2640</v>
      </c>
      <c r="U163" s="310" t="s">
        <v>413</v>
      </c>
      <c r="V163" s="366">
        <f t="shared" si="330"/>
        <v>9.9</v>
      </c>
      <c r="W163" s="387">
        <f t="shared" si="267"/>
        <v>9.9</v>
      </c>
      <c r="X163" s="336">
        <f t="shared" si="331"/>
        <v>28.6</v>
      </c>
      <c r="Y163" s="387">
        <f t="shared" si="268"/>
        <v>28.6</v>
      </c>
      <c r="Z163" s="423" t="s">
        <v>413</v>
      </c>
      <c r="AA163" s="310">
        <v>20.5</v>
      </c>
      <c r="AB163" s="310">
        <v>19.2</v>
      </c>
      <c r="AC163" s="336">
        <v>2</v>
      </c>
      <c r="AD163" s="354">
        <v>2</v>
      </c>
      <c r="AE163" s="307" t="s">
        <v>605</v>
      </c>
      <c r="AF163" s="313">
        <f t="shared" si="281"/>
        <v>0.81209093304219504</v>
      </c>
      <c r="AG163" s="313">
        <f t="shared" si="299"/>
        <v>16.647864127364997</v>
      </c>
      <c r="AH163" s="313">
        <f t="shared" si="282"/>
        <v>15.592145914410144</v>
      </c>
      <c r="AI163" s="308">
        <f t="shared" si="327"/>
        <v>15.808845968648246</v>
      </c>
      <c r="AJ163" s="361" t="s">
        <v>788</v>
      </c>
      <c r="AK163" s="361" t="s">
        <v>785</v>
      </c>
      <c r="AL163" s="298" t="s">
        <v>580</v>
      </c>
      <c r="AM163" s="298">
        <f>2*284+8*129</f>
        <v>1600</v>
      </c>
      <c r="AN163" s="306">
        <f t="shared" si="307"/>
        <v>3.6360330879010995E-3</v>
      </c>
      <c r="AO163" s="295">
        <v>461</v>
      </c>
      <c r="AP163" s="306">
        <f t="shared" si="312"/>
        <v>2.5786033914272255</v>
      </c>
      <c r="AQ163" s="298">
        <v>1220</v>
      </c>
      <c r="AR163" s="298" t="s">
        <v>413</v>
      </c>
      <c r="AS163" s="298">
        <v>0</v>
      </c>
      <c r="AT163" s="361" t="s">
        <v>791</v>
      </c>
      <c r="AU163" s="311">
        <f>13*AV163</f>
        <v>470.48491580160743</v>
      </c>
      <c r="AV163" s="307">
        <f>2*PI()*4.8^2/4</f>
        <v>36.191147369354418</v>
      </c>
      <c r="AW163" s="312">
        <f t="shared" si="301"/>
        <v>470.48491580160743</v>
      </c>
      <c r="AX163" s="295">
        <f>0.09/100</f>
        <v>8.9999999999999998E-4</v>
      </c>
      <c r="AY163" s="295">
        <v>606.4</v>
      </c>
      <c r="AZ163" s="306">
        <f t="shared" si="328"/>
        <v>0.54575999999999991</v>
      </c>
      <c r="BA163" s="298">
        <f>8*$O$3</f>
        <v>203.2</v>
      </c>
      <c r="BB163" s="295">
        <v>0</v>
      </c>
      <c r="BC163" s="298">
        <v>0</v>
      </c>
      <c r="BD163" s="313">
        <f t="shared" si="269"/>
        <v>0</v>
      </c>
      <c r="BE163" s="298">
        <v>0</v>
      </c>
      <c r="BF163" s="361" t="s">
        <v>413</v>
      </c>
      <c r="BG163" s="361" t="s">
        <v>413</v>
      </c>
      <c r="BH163" s="310">
        <f>59.8*1000*$T$3</f>
        <v>266.003556</v>
      </c>
      <c r="BI163" s="361">
        <v>1</v>
      </c>
      <c r="BJ163" s="361">
        <f t="shared" si="258"/>
        <v>1</v>
      </c>
      <c r="BK163" s="312">
        <f t="shared" si="259"/>
        <v>1</v>
      </c>
      <c r="BL163" s="311">
        <f t="shared" si="323"/>
        <v>266.003556</v>
      </c>
      <c r="BM163" s="309">
        <f t="shared" si="203"/>
        <v>0.48359886555767662</v>
      </c>
      <c r="BN163" s="309">
        <f t="shared" si="271"/>
        <v>0.70215656746027388</v>
      </c>
      <c r="BO163" s="376"/>
      <c r="BP163" s="328">
        <f t="shared" si="272"/>
        <v>4.2923093774466237</v>
      </c>
      <c r="BQ163" s="328">
        <f t="shared" si="260"/>
        <v>0.54575999999999991</v>
      </c>
      <c r="BR163" s="328">
        <f t="shared" si="294"/>
        <v>0.51783238156914901</v>
      </c>
      <c r="BS163" s="328">
        <f t="shared" si="273"/>
        <v>1.2138177850175138</v>
      </c>
      <c r="BT163" s="328">
        <f t="shared" si="274"/>
        <v>0</v>
      </c>
      <c r="BU163" s="376"/>
      <c r="BV163" s="328">
        <f t="shared" si="261"/>
        <v>0.5</v>
      </c>
      <c r="BW163" s="328">
        <f t="shared" si="262"/>
        <v>1</v>
      </c>
      <c r="BX163" s="373">
        <f t="shared" si="275"/>
        <v>0.63616543194156272</v>
      </c>
      <c r="BY163" s="311">
        <f t="shared" si="263"/>
        <v>139969.11833578261</v>
      </c>
      <c r="BZ163" s="311">
        <f t="shared" si="264"/>
        <v>1920734.2934290632</v>
      </c>
      <c r="CA163" s="311">
        <f t="shared" si="276"/>
        <v>349922.79583945661</v>
      </c>
      <c r="CB163" s="307">
        <f t="shared" si="277"/>
        <v>349.92279583945663</v>
      </c>
      <c r="CC163" s="309">
        <f t="shared" si="278"/>
        <v>0.63616543194156272</v>
      </c>
      <c r="CD163" s="379">
        <f t="shared" si="265"/>
        <v>0.76017784254913623</v>
      </c>
    </row>
    <row r="164" spans="1:82" x14ac:dyDescent="0.25">
      <c r="A164" s="305">
        <v>156</v>
      </c>
      <c r="B164" s="298" t="s">
        <v>63</v>
      </c>
      <c r="C164" s="298" t="s">
        <v>577</v>
      </c>
      <c r="D164" s="298" t="s">
        <v>598</v>
      </c>
      <c r="E164" s="343" t="s">
        <v>668</v>
      </c>
      <c r="F164" s="298" t="s">
        <v>484</v>
      </c>
      <c r="G164" s="311">
        <v>2640</v>
      </c>
      <c r="H164" s="311">
        <f t="shared" si="295"/>
        <v>2640</v>
      </c>
      <c r="I164" s="311">
        <v>4270</v>
      </c>
      <c r="J164" s="306">
        <f t="shared" si="296"/>
        <v>11272800</v>
      </c>
      <c r="K164" s="311">
        <v>193</v>
      </c>
      <c r="L164" s="327">
        <f t="shared" si="326"/>
        <v>3416</v>
      </c>
      <c r="M164" s="309">
        <f t="shared" si="297"/>
        <v>0.61826697892271665</v>
      </c>
      <c r="N164" s="309">
        <f t="shared" si="266"/>
        <v>0.61826697892271665</v>
      </c>
      <c r="O164" s="309">
        <f t="shared" si="256"/>
        <v>0.61826697892271665</v>
      </c>
      <c r="P164" s="311">
        <f>780.6*$O$3^2</f>
        <v>503611.89600000001</v>
      </c>
      <c r="Q164" s="306">
        <f t="shared" si="257"/>
        <v>824110</v>
      </c>
      <c r="R164" s="309">
        <f t="shared" si="298"/>
        <v>0.61109790683282572</v>
      </c>
      <c r="S164" s="312">
        <f t="shared" si="329"/>
        <v>1219.1999999999998</v>
      </c>
      <c r="T164" s="295">
        <f>G164/2</f>
        <v>1320</v>
      </c>
      <c r="U164" s="310" t="s">
        <v>413</v>
      </c>
      <c r="V164" s="366">
        <f t="shared" si="330"/>
        <v>9.9</v>
      </c>
      <c r="W164" s="387">
        <f t="shared" si="267"/>
        <v>9.9</v>
      </c>
      <c r="X164" s="336">
        <f t="shared" si="331"/>
        <v>28.6</v>
      </c>
      <c r="Y164" s="387">
        <f t="shared" si="268"/>
        <v>28.6</v>
      </c>
      <c r="Z164" s="423" t="s">
        <v>413</v>
      </c>
      <c r="AA164" s="310">
        <v>20.5</v>
      </c>
      <c r="AB164" s="310">
        <v>19.2</v>
      </c>
      <c r="AC164" s="336">
        <v>2</v>
      </c>
      <c r="AD164" s="354">
        <v>2</v>
      </c>
      <c r="AE164" s="307" t="s">
        <v>605</v>
      </c>
      <c r="AF164" s="313">
        <f t="shared" si="281"/>
        <v>0.81209093304219504</v>
      </c>
      <c r="AG164" s="313">
        <f t="shared" si="299"/>
        <v>16.647864127364997</v>
      </c>
      <c r="AH164" s="313">
        <f t="shared" si="282"/>
        <v>15.592145914410144</v>
      </c>
      <c r="AI164" s="308">
        <f t="shared" si="327"/>
        <v>15.736781781992953</v>
      </c>
      <c r="AJ164" s="361" t="s">
        <v>789</v>
      </c>
      <c r="AK164" s="361" t="s">
        <v>769</v>
      </c>
      <c r="AL164" s="298" t="s">
        <v>580</v>
      </c>
      <c r="AM164" s="298">
        <f>2*2*284+4*129</f>
        <v>1652</v>
      </c>
      <c r="AN164" s="306">
        <f t="shared" si="307"/>
        <v>2.5057334579121722E-3</v>
      </c>
      <c r="AO164" s="295">
        <v>461</v>
      </c>
      <c r="AP164" s="306">
        <f t="shared" si="312"/>
        <v>3.863381221541843</v>
      </c>
      <c r="AQ164" s="298">
        <v>1220</v>
      </c>
      <c r="AR164" s="361" t="s">
        <v>703</v>
      </c>
      <c r="AS164" s="298">
        <f>2*129</f>
        <v>258</v>
      </c>
      <c r="AT164" s="298" t="s">
        <v>413</v>
      </c>
      <c r="AU164" s="298">
        <v>0</v>
      </c>
      <c r="AV164" s="298">
        <f>2*129</f>
        <v>258</v>
      </c>
      <c r="AW164" s="312">
        <f t="shared" si="301"/>
        <v>258</v>
      </c>
      <c r="AX164" s="295">
        <f>0.11/100</f>
        <v>1.1000000000000001E-3</v>
      </c>
      <c r="AY164" s="295">
        <v>445</v>
      </c>
      <c r="AZ164" s="306">
        <f t="shared" si="328"/>
        <v>0.48950000000000005</v>
      </c>
      <c r="BA164" s="298">
        <f>G164/2</f>
        <v>1320</v>
      </c>
      <c r="BB164" s="295">
        <v>0</v>
      </c>
      <c r="BC164" s="298">
        <v>0</v>
      </c>
      <c r="BD164" s="313">
        <f t="shared" si="269"/>
        <v>0</v>
      </c>
      <c r="BE164" s="298">
        <v>0</v>
      </c>
      <c r="BF164" s="361" t="s">
        <v>413</v>
      </c>
      <c r="BG164" s="361" t="s">
        <v>413</v>
      </c>
      <c r="BH164" s="310">
        <f>78.3*1000*$T$3</f>
        <v>348.29562600000003</v>
      </c>
      <c r="BI164" s="361">
        <v>1</v>
      </c>
      <c r="BJ164" s="361">
        <f t="shared" si="258"/>
        <v>1</v>
      </c>
      <c r="BK164" s="312">
        <f t="shared" si="259"/>
        <v>1</v>
      </c>
      <c r="BL164" s="311">
        <f t="shared" si="323"/>
        <v>348.29562600000003</v>
      </c>
      <c r="BM164" s="309">
        <f t="shared" si="203"/>
        <v>0.4226324471247771</v>
      </c>
      <c r="BN164" s="309">
        <f t="shared" si="271"/>
        <v>0.6915953113228287</v>
      </c>
      <c r="BO164" s="376"/>
      <c r="BP164" s="328">
        <f t="shared" si="272"/>
        <v>6.4162593399670165</v>
      </c>
      <c r="BQ164" s="328">
        <f t="shared" si="260"/>
        <v>0.48950000000000005</v>
      </c>
      <c r="BR164" s="328">
        <f t="shared" si="294"/>
        <v>0.52617987666018551</v>
      </c>
      <c r="BS164" s="328">
        <f t="shared" si="273"/>
        <v>1.0176451236997315</v>
      </c>
      <c r="BT164" s="328">
        <f t="shared" si="274"/>
        <v>0</v>
      </c>
      <c r="BU164" s="376"/>
      <c r="BV164" s="328">
        <f t="shared" si="261"/>
        <v>0.5</v>
      </c>
      <c r="BW164" s="328">
        <f t="shared" si="262"/>
        <v>0.77283372365339575</v>
      </c>
      <c r="BX164" s="373">
        <f t="shared" si="275"/>
        <v>0.77889937601033499</v>
      </c>
      <c r="BY164" s="311">
        <f t="shared" si="263"/>
        <v>256759.50590555085</v>
      </c>
      <c r="BZ164" s="311">
        <f t="shared" si="264"/>
        <v>178268.61818181814</v>
      </c>
      <c r="CA164" s="311">
        <f t="shared" si="276"/>
        <v>523073.99342399917</v>
      </c>
      <c r="CB164" s="307">
        <f t="shared" si="277"/>
        <v>435.02812408736895</v>
      </c>
      <c r="CC164" s="309">
        <f t="shared" si="278"/>
        <v>0.52787628361185879</v>
      </c>
      <c r="CD164" s="379">
        <f t="shared" si="265"/>
        <v>0.80062783694888195</v>
      </c>
    </row>
    <row r="165" spans="1:82" x14ac:dyDescent="0.25">
      <c r="A165" s="305">
        <v>157</v>
      </c>
      <c r="B165" s="298" t="s">
        <v>63</v>
      </c>
      <c r="C165" s="298" t="s">
        <v>578</v>
      </c>
      <c r="D165" s="298" t="s">
        <v>598</v>
      </c>
      <c r="E165" s="343" t="s">
        <v>668</v>
      </c>
      <c r="F165" s="298" t="s">
        <v>484</v>
      </c>
      <c r="G165" s="311">
        <v>2640</v>
      </c>
      <c r="H165" s="311">
        <f t="shared" si="295"/>
        <v>2640</v>
      </c>
      <c r="I165" s="311">
        <v>4270</v>
      </c>
      <c r="J165" s="306">
        <f t="shared" si="296"/>
        <v>11272800</v>
      </c>
      <c r="K165" s="311">
        <v>193</v>
      </c>
      <c r="L165" s="327">
        <f t="shared" si="326"/>
        <v>3416</v>
      </c>
      <c r="M165" s="309">
        <f t="shared" si="297"/>
        <v>0.61826697892271665</v>
      </c>
      <c r="N165" s="309">
        <f t="shared" si="266"/>
        <v>0.61826697892271665</v>
      </c>
      <c r="O165" s="309">
        <f t="shared" si="256"/>
        <v>0.61826697892271665</v>
      </c>
      <c r="P165" s="311">
        <f>847.5*$O$3^2</f>
        <v>546773.1</v>
      </c>
      <c r="Q165" s="306">
        <f t="shared" si="257"/>
        <v>824110</v>
      </c>
      <c r="R165" s="309">
        <f t="shared" si="298"/>
        <v>0.66347101721857515</v>
      </c>
      <c r="S165" s="312">
        <f t="shared" si="329"/>
        <v>1219.1999999999998</v>
      </c>
      <c r="T165" s="312">
        <f>G165</f>
        <v>2640</v>
      </c>
      <c r="U165" s="310" t="s">
        <v>413</v>
      </c>
      <c r="V165" s="366">
        <f t="shared" si="330"/>
        <v>9.9</v>
      </c>
      <c r="W165" s="387">
        <f t="shared" si="267"/>
        <v>9.9</v>
      </c>
      <c r="X165" s="336">
        <f t="shared" si="331"/>
        <v>28.6</v>
      </c>
      <c r="Y165" s="387">
        <f t="shared" si="268"/>
        <v>28.6</v>
      </c>
      <c r="Z165" s="423" t="s">
        <v>413</v>
      </c>
      <c r="AA165" s="310">
        <v>24.6</v>
      </c>
      <c r="AB165" s="310">
        <v>24.1</v>
      </c>
      <c r="AC165" s="336">
        <v>2</v>
      </c>
      <c r="AD165" s="354">
        <v>2</v>
      </c>
      <c r="AE165" s="307" t="s">
        <v>605</v>
      </c>
      <c r="AF165" s="313">
        <f t="shared" si="281"/>
        <v>0.81209093304219504</v>
      </c>
      <c r="AG165" s="313">
        <f t="shared" si="299"/>
        <v>19.977436952837998</v>
      </c>
      <c r="AH165" s="313">
        <f t="shared" si="282"/>
        <v>19.571391486316902</v>
      </c>
      <c r="AI165" s="308">
        <f t="shared" si="327"/>
        <v>19.627020666156444</v>
      </c>
      <c r="AJ165" s="361" t="s">
        <v>790</v>
      </c>
      <c r="AK165" s="361" t="s">
        <v>769</v>
      </c>
      <c r="AL165" s="298" t="s">
        <v>580</v>
      </c>
      <c r="AM165" s="298">
        <f>2*2*284+7*129</f>
        <v>2039</v>
      </c>
      <c r="AN165" s="306">
        <f t="shared" si="307"/>
        <v>3.0927303393964399E-3</v>
      </c>
      <c r="AO165" s="295">
        <v>461</v>
      </c>
      <c r="AP165" s="306">
        <f t="shared" si="312"/>
        <v>3.863381221541843</v>
      </c>
      <c r="AQ165" s="298">
        <v>1220</v>
      </c>
      <c r="AR165" s="298" t="s">
        <v>413</v>
      </c>
      <c r="AS165" s="298">
        <v>0</v>
      </c>
      <c r="AT165" s="361" t="s">
        <v>791</v>
      </c>
      <c r="AU165" s="311">
        <f>13*AV165</f>
        <v>470.48491580160743</v>
      </c>
      <c r="AV165" s="307">
        <f>2*PI()*4.8^2/4</f>
        <v>36.191147369354418</v>
      </c>
      <c r="AW165" s="312">
        <f t="shared" si="301"/>
        <v>470.48491580160743</v>
      </c>
      <c r="AX165" s="295">
        <f>0.09/100</f>
        <v>8.9999999999999998E-4</v>
      </c>
      <c r="AY165" s="295">
        <v>606.4</v>
      </c>
      <c r="AZ165" s="306">
        <f t="shared" si="328"/>
        <v>0.54575999999999991</v>
      </c>
      <c r="BA165" s="298">
        <f>8*$O$3</f>
        <v>203.2</v>
      </c>
      <c r="BB165" s="295">
        <v>0</v>
      </c>
      <c r="BC165" s="298">
        <v>0</v>
      </c>
      <c r="BD165" s="313">
        <f t="shared" si="269"/>
        <v>0</v>
      </c>
      <c r="BE165" s="298">
        <v>0</v>
      </c>
      <c r="BF165" s="361" t="s">
        <v>413</v>
      </c>
      <c r="BG165" s="361" t="s">
        <v>413</v>
      </c>
      <c r="BH165" s="310">
        <f>96.9*1000*$T$3</f>
        <v>431.03251800000004</v>
      </c>
      <c r="BI165" s="361">
        <v>1</v>
      </c>
      <c r="BJ165" s="361">
        <f t="shared" si="258"/>
        <v>1</v>
      </c>
      <c r="BK165" s="312">
        <f t="shared" si="259"/>
        <v>1</v>
      </c>
      <c r="BL165" s="311">
        <f t="shared" si="323"/>
        <v>431.03251800000004</v>
      </c>
      <c r="BM165" s="309">
        <f t="shared" si="203"/>
        <v>0.52302789433449415</v>
      </c>
      <c r="BN165" s="309">
        <f t="shared" si="271"/>
        <v>0.7883206361102989</v>
      </c>
      <c r="BO165" s="376"/>
      <c r="BP165" s="328">
        <f t="shared" si="272"/>
        <v>7.1655765185663292</v>
      </c>
      <c r="BQ165" s="328">
        <f t="shared" si="260"/>
        <v>0.54575999999999991</v>
      </c>
      <c r="BR165" s="328">
        <f t="shared" si="294"/>
        <v>0.58457175321117294</v>
      </c>
      <c r="BS165" s="328">
        <f t="shared" si="273"/>
        <v>1.3028704898468646</v>
      </c>
      <c r="BT165" s="328">
        <f t="shared" si="274"/>
        <v>0</v>
      </c>
      <c r="BU165" s="376"/>
      <c r="BV165" s="328">
        <f t="shared" si="261"/>
        <v>0.5</v>
      </c>
      <c r="BW165" s="328">
        <f t="shared" si="262"/>
        <v>0.77283372365339575</v>
      </c>
      <c r="BX165" s="373">
        <f t="shared" si="275"/>
        <v>0.86986245152215336</v>
      </c>
      <c r="BY165" s="311">
        <f t="shared" si="263"/>
        <v>286744.93796956871</v>
      </c>
      <c r="BZ165" s="311">
        <f t="shared" si="264"/>
        <v>2877731.7308568768</v>
      </c>
      <c r="CA165" s="311">
        <f t="shared" si="276"/>
        <v>584160.72763838666</v>
      </c>
      <c r="CB165" s="307">
        <f t="shared" si="277"/>
        <v>584.16072763838667</v>
      </c>
      <c r="CC165" s="309">
        <f t="shared" si="278"/>
        <v>0.70883829541977006</v>
      </c>
      <c r="CD165" s="379">
        <f t="shared" si="265"/>
        <v>0.73786630563570221</v>
      </c>
    </row>
    <row r="166" spans="1:82" x14ac:dyDescent="0.25">
      <c r="A166" s="315">
        <v>158</v>
      </c>
      <c r="B166" s="315" t="s">
        <v>63</v>
      </c>
      <c r="C166" s="315" t="s">
        <v>579</v>
      </c>
      <c r="D166" s="315" t="s">
        <v>598</v>
      </c>
      <c r="E166" s="341" t="s">
        <v>668</v>
      </c>
      <c r="F166" s="315" t="s">
        <v>484</v>
      </c>
      <c r="G166" s="321">
        <v>2640</v>
      </c>
      <c r="H166" s="321">
        <f t="shared" si="295"/>
        <v>2640</v>
      </c>
      <c r="I166" s="321">
        <v>4270</v>
      </c>
      <c r="J166" s="316">
        <f t="shared" si="296"/>
        <v>11272800</v>
      </c>
      <c r="K166" s="321">
        <v>193</v>
      </c>
      <c r="L166" s="329">
        <f t="shared" si="326"/>
        <v>3416</v>
      </c>
      <c r="M166" s="319">
        <f t="shared" si="297"/>
        <v>0.61826697892271665</v>
      </c>
      <c r="N166" s="319">
        <f t="shared" si="266"/>
        <v>0.61826697892271665</v>
      </c>
      <c r="O166" s="319">
        <f t="shared" si="256"/>
        <v>0.61826697892271665</v>
      </c>
      <c r="P166" s="321">
        <f>847.5*$O$3^2</f>
        <v>546773.1</v>
      </c>
      <c r="Q166" s="316">
        <f t="shared" si="257"/>
        <v>824110</v>
      </c>
      <c r="R166" s="319">
        <f t="shared" si="298"/>
        <v>0.66347101721857515</v>
      </c>
      <c r="S166" s="322">
        <f t="shared" si="329"/>
        <v>1219.1999999999998</v>
      </c>
      <c r="T166" s="322">
        <f>G166</f>
        <v>2640</v>
      </c>
      <c r="U166" s="320" t="s">
        <v>413</v>
      </c>
      <c r="V166" s="367">
        <f t="shared" si="330"/>
        <v>9.9</v>
      </c>
      <c r="W166" s="387">
        <f t="shared" si="267"/>
        <v>9.9</v>
      </c>
      <c r="X166" s="344">
        <f t="shared" si="331"/>
        <v>28.6</v>
      </c>
      <c r="Y166" s="387">
        <f t="shared" si="268"/>
        <v>28.6</v>
      </c>
      <c r="Z166" s="419" t="s">
        <v>413</v>
      </c>
      <c r="AA166" s="320">
        <v>20.5</v>
      </c>
      <c r="AB166" s="320">
        <v>25.4</v>
      </c>
      <c r="AC166" s="344">
        <v>2</v>
      </c>
      <c r="AD166" s="355">
        <v>2</v>
      </c>
      <c r="AE166" s="317" t="s">
        <v>605</v>
      </c>
      <c r="AF166" s="324">
        <f t="shared" si="281"/>
        <v>0.81209093304219504</v>
      </c>
      <c r="AG166" s="324">
        <f t="shared" si="299"/>
        <v>16.647864127364997</v>
      </c>
      <c r="AH166" s="324">
        <f t="shared" si="282"/>
        <v>20.627109699271752</v>
      </c>
      <c r="AI166" s="318">
        <f t="shared" si="327"/>
        <v>20.081943736844249</v>
      </c>
      <c r="AJ166" s="315" t="s">
        <v>790</v>
      </c>
      <c r="AK166" s="315" t="s">
        <v>769</v>
      </c>
      <c r="AL166" s="315" t="s">
        <v>580</v>
      </c>
      <c r="AM166" s="315">
        <f>2*2*284+7*129</f>
        <v>2039</v>
      </c>
      <c r="AN166" s="316">
        <f t="shared" si="307"/>
        <v>3.0927303393964399E-3</v>
      </c>
      <c r="AO166" s="294">
        <v>461</v>
      </c>
      <c r="AP166" s="316">
        <f t="shared" si="312"/>
        <v>3.863381221541843</v>
      </c>
      <c r="AQ166" s="315">
        <v>1220</v>
      </c>
      <c r="AR166" s="315" t="s">
        <v>413</v>
      </c>
      <c r="AS166" s="315">
        <v>0</v>
      </c>
      <c r="AT166" s="315" t="s">
        <v>792</v>
      </c>
      <c r="AU166" s="321">
        <f>13*AV166</f>
        <v>940.96983160321486</v>
      </c>
      <c r="AV166" s="317">
        <f>2*2*PI()*4.8^2/4</f>
        <v>72.382294738708836</v>
      </c>
      <c r="AW166" s="322">
        <f t="shared" si="301"/>
        <v>940.96983160321486</v>
      </c>
      <c r="AX166" s="294">
        <f>0.18/100</f>
        <v>1.8E-3</v>
      </c>
      <c r="AY166" s="294">
        <v>606.4</v>
      </c>
      <c r="AZ166" s="316">
        <f t="shared" si="328"/>
        <v>1.0915199999999998</v>
      </c>
      <c r="BA166" s="315">
        <f>8*$O$3</f>
        <v>203.2</v>
      </c>
      <c r="BB166" s="294">
        <v>0</v>
      </c>
      <c r="BC166" s="315">
        <v>0</v>
      </c>
      <c r="BD166" s="324">
        <f t="shared" si="269"/>
        <v>0</v>
      </c>
      <c r="BE166" s="315">
        <v>0</v>
      </c>
      <c r="BF166" s="315" t="s">
        <v>413</v>
      </c>
      <c r="BG166" s="315" t="s">
        <v>413</v>
      </c>
      <c r="BH166" s="320">
        <f>91.2*1000*$T$3</f>
        <v>405.67766399999999</v>
      </c>
      <c r="BI166" s="315">
        <v>1</v>
      </c>
      <c r="BJ166" s="315">
        <f t="shared" si="258"/>
        <v>1</v>
      </c>
      <c r="BK166" s="322">
        <f t="shared" si="259"/>
        <v>1</v>
      </c>
      <c r="BL166" s="321">
        <f t="shared" si="323"/>
        <v>405.67766399999999</v>
      </c>
      <c r="BM166" s="319">
        <f t="shared" si="203"/>
        <v>0.49226154760893565</v>
      </c>
      <c r="BN166" s="319">
        <f t="shared" si="271"/>
        <v>0.74194883398616351</v>
      </c>
      <c r="BO166" s="376"/>
      <c r="BP166" s="330">
        <f t="shared" si="272"/>
        <v>7.2481441368486568</v>
      </c>
      <c r="BQ166" s="330">
        <f t="shared" si="260"/>
        <v>1.0915199999999998</v>
      </c>
      <c r="BR166" s="330">
        <f t="shared" si="294"/>
        <v>0.58457175321117294</v>
      </c>
      <c r="BS166" s="330">
        <f t="shared" si="273"/>
        <v>1.8637683325473906</v>
      </c>
      <c r="BT166" s="330">
        <f t="shared" si="274"/>
        <v>0</v>
      </c>
      <c r="BU166" s="376"/>
      <c r="BV166" s="328">
        <f t="shared" si="261"/>
        <v>0.5</v>
      </c>
      <c r="BW166" s="328">
        <f t="shared" si="262"/>
        <v>0.77283372365339575</v>
      </c>
      <c r="BX166" s="373">
        <f t="shared" si="275"/>
        <v>0.87988571631729096</v>
      </c>
      <c r="BY166" s="311">
        <f t="shared" si="263"/>
        <v>290049.04706969706</v>
      </c>
      <c r="BZ166" s="311">
        <f t="shared" si="264"/>
        <v>5755463.4617137536</v>
      </c>
      <c r="CA166" s="311">
        <f t="shared" si="276"/>
        <v>590891.90409714042</v>
      </c>
      <c r="CB166" s="307">
        <f t="shared" si="277"/>
        <v>590.89190409714047</v>
      </c>
      <c r="CC166" s="309">
        <f t="shared" si="278"/>
        <v>0.71700610852573132</v>
      </c>
      <c r="CD166" s="379">
        <f t="shared" si="265"/>
        <v>0.68655139998890236</v>
      </c>
    </row>
    <row r="167" spans="1:82" x14ac:dyDescent="0.25">
      <c r="A167" s="305">
        <v>159</v>
      </c>
      <c r="B167" s="298" t="s">
        <v>62</v>
      </c>
      <c r="C167" s="298" t="s">
        <v>501</v>
      </c>
      <c r="D167" s="298" t="s">
        <v>598</v>
      </c>
      <c r="E167" s="298" t="s">
        <v>668</v>
      </c>
      <c r="F167" s="298" t="s">
        <v>484</v>
      </c>
      <c r="G167" s="311">
        <v>2337</v>
      </c>
      <c r="H167" s="311">
        <f t="shared" si="295"/>
        <v>2337</v>
      </c>
      <c r="I167" s="311">
        <v>2631</v>
      </c>
      <c r="J167" s="306">
        <f t="shared" si="296"/>
        <v>6148647</v>
      </c>
      <c r="K167" s="311">
        <v>194</v>
      </c>
      <c r="L167" s="312">
        <v>2631</v>
      </c>
      <c r="M167" s="309">
        <f t="shared" si="297"/>
        <v>0.88825541619156212</v>
      </c>
      <c r="N167" s="309">
        <f t="shared" si="266"/>
        <v>0.88825541619156212</v>
      </c>
      <c r="O167" s="309">
        <f t="shared" si="256"/>
        <v>0.88825541619156212</v>
      </c>
      <c r="P167" s="298">
        <v>229677</v>
      </c>
      <c r="Q167" s="306">
        <f t="shared" si="257"/>
        <v>510414</v>
      </c>
      <c r="R167" s="309">
        <f t="shared" si="298"/>
        <v>0.44998177949664392</v>
      </c>
      <c r="S167" s="295">
        <v>1219</v>
      </c>
      <c r="T167" s="295">
        <v>1219</v>
      </c>
      <c r="U167" s="310">
        <v>18.100000000000001</v>
      </c>
      <c r="V167" s="308" t="s">
        <v>413</v>
      </c>
      <c r="W167" s="387">
        <f t="shared" si="267"/>
        <v>0</v>
      </c>
      <c r="X167" s="298">
        <v>29.2</v>
      </c>
      <c r="Y167" s="387">
        <f t="shared" si="268"/>
        <v>29.2</v>
      </c>
      <c r="Z167" s="423" t="s">
        <v>413</v>
      </c>
      <c r="AA167" s="310">
        <f>2864*$J$3</f>
        <v>19.746592639999999</v>
      </c>
      <c r="AB167" s="310">
        <f>1637*$J$3</f>
        <v>11.28672212</v>
      </c>
      <c r="AC167" s="298">
        <v>3</v>
      </c>
      <c r="AD167" s="328">
        <f t="shared" ref="AD167:AD198" si="332">(190+10+190+10+190)/K167</f>
        <v>3.0412371134020617</v>
      </c>
      <c r="AE167" s="298">
        <v>4</v>
      </c>
      <c r="AF167" s="313">
        <f t="shared" si="281"/>
        <v>0.88091732250230859</v>
      </c>
      <c r="AG167" s="313">
        <f t="shared" ref="AG167:AG201" si="333">AF167*AA167</f>
        <v>17.395115516972592</v>
      </c>
      <c r="AH167" s="313">
        <f t="shared" ref="AH167:AH201" si="334">AF167*AB167</f>
        <v>9.9426690297779796</v>
      </c>
      <c r="AI167" s="308">
        <f>((3*390/2)*AG167+(I167-3*390/2)*AH167)/I167</f>
        <v>11.599712433430145</v>
      </c>
      <c r="AJ167" s="298" t="s">
        <v>793</v>
      </c>
      <c r="AK167" s="298" t="s">
        <v>793</v>
      </c>
      <c r="AL167" s="298">
        <v>200</v>
      </c>
      <c r="AM167" s="298">
        <v>200</v>
      </c>
      <c r="AN167" s="298">
        <v>4.5599999999999998E-3</v>
      </c>
      <c r="AO167" s="298">
        <v>438</v>
      </c>
      <c r="AP167" s="306">
        <f t="shared" ref="AP167:AP174" si="335">AN167*AO167</f>
        <v>1.9972799999999999</v>
      </c>
      <c r="AQ167" s="298">
        <v>1219</v>
      </c>
      <c r="AR167" s="311" t="s">
        <v>724</v>
      </c>
      <c r="AS167" s="311">
        <v>200</v>
      </c>
      <c r="AT167" s="311" t="s">
        <v>413</v>
      </c>
      <c r="AU167" s="298">
        <v>0</v>
      </c>
      <c r="AV167" s="307">
        <v>200</v>
      </c>
      <c r="AW167" s="311">
        <f t="shared" ref="AW167:AW198" si="336">AS167+AU167</f>
        <v>200</v>
      </c>
      <c r="AX167" s="298">
        <v>8.4999999999999995E-4</v>
      </c>
      <c r="AY167" s="298">
        <v>438</v>
      </c>
      <c r="AZ167" s="347">
        <f t="shared" si="328"/>
        <v>0.37229999999999996</v>
      </c>
      <c r="BA167" s="298">
        <v>1219</v>
      </c>
      <c r="BB167" s="298">
        <v>49.286000000000001</v>
      </c>
      <c r="BC167" s="309">
        <f t="shared" ref="BC167:BC198" si="337">BB167/Q167*1000</f>
        <v>9.6560831011688553E-2</v>
      </c>
      <c r="BD167" s="313">
        <f t="shared" si="269"/>
        <v>8.3244159340883413E-3</v>
      </c>
      <c r="BE167" s="309">
        <f t="shared" ref="BE167:BE198" si="338">BB167/P167*1000</f>
        <v>0.21458831315281895</v>
      </c>
      <c r="BF167" s="311">
        <v>211</v>
      </c>
      <c r="BG167" s="311">
        <v>234</v>
      </c>
      <c r="BH167" s="307">
        <f t="shared" ref="BH167:BH171" si="339">(BF167+BG167)/2</f>
        <v>222.5</v>
      </c>
      <c r="BI167" s="361">
        <f>IF(C167="Monotonic",0.814,1)</f>
        <v>1</v>
      </c>
      <c r="BJ167" s="361">
        <f t="shared" si="258"/>
        <v>1</v>
      </c>
      <c r="BK167" s="312">
        <f t="shared" si="259"/>
        <v>1</v>
      </c>
      <c r="BL167" s="311">
        <f t="shared" si="323"/>
        <v>222.5</v>
      </c>
      <c r="BM167" s="309">
        <f t="shared" si="203"/>
        <v>0.43592064480989939</v>
      </c>
      <c r="BN167" s="309">
        <f t="shared" si="271"/>
        <v>0.9687517687883419</v>
      </c>
      <c r="BO167" s="376"/>
      <c r="BP167" s="328">
        <f t="shared" si="272"/>
        <v>3.834296976538857</v>
      </c>
      <c r="BQ167" s="328">
        <f t="shared" si="260"/>
        <v>0.37229999999999996</v>
      </c>
      <c r="BR167" s="328">
        <f t="shared" si="294"/>
        <v>0.51569547851420994</v>
      </c>
      <c r="BS167" s="328">
        <f t="shared" si="273"/>
        <v>0.56106904505345501</v>
      </c>
      <c r="BT167" s="328">
        <f t="shared" si="274"/>
        <v>9.6560831011688553E-2</v>
      </c>
      <c r="BU167" s="376"/>
      <c r="BV167" s="328">
        <f t="shared" si="261"/>
        <v>0.44998177949664392</v>
      </c>
      <c r="BW167" s="328">
        <f t="shared" si="262"/>
        <v>0.88825541619156212</v>
      </c>
      <c r="BX167" s="373">
        <f t="shared" si="275"/>
        <v>0.60582698842054861</v>
      </c>
      <c r="BY167" s="311">
        <f t="shared" si="263"/>
        <v>144688.97571553427</v>
      </c>
      <c r="BZ167" s="311">
        <f t="shared" si="264"/>
        <v>113441.64068908941</v>
      </c>
      <c r="CA167" s="311">
        <f t="shared" si="276"/>
        <v>312896.79132685123</v>
      </c>
      <c r="CB167" s="307">
        <f t="shared" si="277"/>
        <v>258.13061640462365</v>
      </c>
      <c r="CC167" s="309">
        <f t="shared" si="278"/>
        <v>0.50572793145294537</v>
      </c>
      <c r="CD167" s="379">
        <f t="shared" si="265"/>
        <v>0.86196671707949546</v>
      </c>
    </row>
    <row r="168" spans="1:82" x14ac:dyDescent="0.25">
      <c r="A168" s="305">
        <v>160</v>
      </c>
      <c r="B168" s="298" t="s">
        <v>62</v>
      </c>
      <c r="C168" s="298" t="s">
        <v>502</v>
      </c>
      <c r="D168" s="298" t="s">
        <v>598</v>
      </c>
      <c r="E168" s="298" t="s">
        <v>668</v>
      </c>
      <c r="F168" s="298" t="s">
        <v>484</v>
      </c>
      <c r="G168" s="311">
        <v>2337</v>
      </c>
      <c r="H168" s="311">
        <f t="shared" si="295"/>
        <v>2337</v>
      </c>
      <c r="I168" s="311">
        <v>2631</v>
      </c>
      <c r="J168" s="306">
        <f t="shared" ref="J168:J171" si="340">I168*G168</f>
        <v>6148647</v>
      </c>
      <c r="K168" s="311">
        <v>194</v>
      </c>
      <c r="L168" s="312">
        <v>2631</v>
      </c>
      <c r="M168" s="309">
        <f t="shared" si="297"/>
        <v>0.88825541619156212</v>
      </c>
      <c r="N168" s="309">
        <f t="shared" si="266"/>
        <v>0.88825541619156212</v>
      </c>
      <c r="O168" s="309">
        <f t="shared" si="256"/>
        <v>0.88825541619156212</v>
      </c>
      <c r="P168" s="298">
        <v>229677</v>
      </c>
      <c r="Q168" s="306">
        <f t="shared" si="257"/>
        <v>510414</v>
      </c>
      <c r="R168" s="309">
        <f t="shared" si="298"/>
        <v>0.44998177949664392</v>
      </c>
      <c r="S168" s="295">
        <v>1219</v>
      </c>
      <c r="T168" s="295">
        <v>1219</v>
      </c>
      <c r="U168" s="310">
        <v>18.100000000000001</v>
      </c>
      <c r="V168" s="308" t="s">
        <v>413</v>
      </c>
      <c r="W168" s="387">
        <f t="shared" si="267"/>
        <v>0</v>
      </c>
      <c r="X168" s="298">
        <v>29.2</v>
      </c>
      <c r="Y168" s="387">
        <f t="shared" si="268"/>
        <v>29.2</v>
      </c>
      <c r="Z168" s="423" t="s">
        <v>413</v>
      </c>
      <c r="AA168" s="310">
        <f t="shared" ref="AA168:AA171" si="341">2864*$J$3</f>
        <v>19.746592639999999</v>
      </c>
      <c r="AB168" s="310">
        <f t="shared" ref="AB168:AB171" si="342">1637*$J$3</f>
        <v>11.28672212</v>
      </c>
      <c r="AC168" s="298">
        <v>3</v>
      </c>
      <c r="AD168" s="328">
        <f t="shared" si="332"/>
        <v>3.0412371134020617</v>
      </c>
      <c r="AE168" s="298">
        <v>4</v>
      </c>
      <c r="AF168" s="313">
        <f t="shared" si="281"/>
        <v>0.88091732250230859</v>
      </c>
      <c r="AG168" s="313">
        <f t="shared" si="333"/>
        <v>17.395115516972592</v>
      </c>
      <c r="AH168" s="313">
        <f t="shared" si="334"/>
        <v>9.9426690297779796</v>
      </c>
      <c r="AI168" s="308">
        <f>((3*390/2)*AG168+(I168-3*390/2)*AH168)/I168</f>
        <v>11.599712433430145</v>
      </c>
      <c r="AJ168" s="298" t="s">
        <v>793</v>
      </c>
      <c r="AK168" s="298" t="s">
        <v>793</v>
      </c>
      <c r="AL168" s="298">
        <v>284</v>
      </c>
      <c r="AM168" s="298">
        <v>284</v>
      </c>
      <c r="AN168" s="298">
        <v>4.5599999999999998E-3</v>
      </c>
      <c r="AO168" s="298">
        <v>438</v>
      </c>
      <c r="AP168" s="306">
        <f t="shared" si="335"/>
        <v>1.9972799999999999</v>
      </c>
      <c r="AQ168" s="298">
        <v>1219</v>
      </c>
      <c r="AR168" s="311" t="s">
        <v>785</v>
      </c>
      <c r="AS168" s="311">
        <v>284</v>
      </c>
      <c r="AT168" s="311" t="s">
        <v>413</v>
      </c>
      <c r="AU168" s="298">
        <v>0</v>
      </c>
      <c r="AV168" s="307">
        <v>284</v>
      </c>
      <c r="AW168" s="311">
        <f t="shared" si="336"/>
        <v>284</v>
      </c>
      <c r="AX168" s="298">
        <v>1.1999999999999999E-3</v>
      </c>
      <c r="AY168" s="298">
        <v>438</v>
      </c>
      <c r="AZ168" s="347">
        <f t="shared" si="328"/>
        <v>0.52559999999999996</v>
      </c>
      <c r="BA168" s="298">
        <v>1219</v>
      </c>
      <c r="BB168" s="298">
        <v>49.286000000000001</v>
      </c>
      <c r="BC168" s="309">
        <f t="shared" si="337"/>
        <v>9.6560831011688553E-2</v>
      </c>
      <c r="BD168" s="313">
        <f t="shared" si="269"/>
        <v>8.3244159340883413E-3</v>
      </c>
      <c r="BE168" s="309">
        <f t="shared" si="338"/>
        <v>0.21458831315281895</v>
      </c>
      <c r="BF168" s="311">
        <v>227</v>
      </c>
      <c r="BG168" s="311">
        <v>230</v>
      </c>
      <c r="BH168" s="307">
        <f t="shared" si="339"/>
        <v>228.5</v>
      </c>
      <c r="BI168" s="361">
        <f>IF(C168="Monotonic",0.814,1)</f>
        <v>1</v>
      </c>
      <c r="BJ168" s="361">
        <f t="shared" si="258"/>
        <v>1</v>
      </c>
      <c r="BK168" s="312">
        <f t="shared" si="259"/>
        <v>1</v>
      </c>
      <c r="BL168" s="311">
        <f t="shared" si="323"/>
        <v>228.5</v>
      </c>
      <c r="BM168" s="309">
        <f t="shared" si="203"/>
        <v>0.44767580826544728</v>
      </c>
      <c r="BN168" s="309">
        <f t="shared" si="271"/>
        <v>0.99487541199162299</v>
      </c>
      <c r="BO168" s="376"/>
      <c r="BP168" s="328">
        <f t="shared" si="272"/>
        <v>3.834296976538857</v>
      </c>
      <c r="BQ168" s="328">
        <f t="shared" si="260"/>
        <v>0.52559999999999996</v>
      </c>
      <c r="BR168" s="328">
        <f t="shared" si="294"/>
        <v>0.51569547851420994</v>
      </c>
      <c r="BS168" s="328">
        <f t="shared" si="273"/>
        <v>0.66664936367993688</v>
      </c>
      <c r="BT168" s="328">
        <f t="shared" si="274"/>
        <v>9.6560831011688553E-2</v>
      </c>
      <c r="BU168" s="376"/>
      <c r="BV168" s="328">
        <f t="shared" si="261"/>
        <v>0.44998177949664392</v>
      </c>
      <c r="BW168" s="328">
        <f t="shared" si="262"/>
        <v>0.88825541619156212</v>
      </c>
      <c r="BX168" s="373">
        <f t="shared" si="275"/>
        <v>0.60582698842054861</v>
      </c>
      <c r="BY168" s="311">
        <f t="shared" si="263"/>
        <v>144688.97571553427</v>
      </c>
      <c r="BZ168" s="311">
        <f t="shared" si="264"/>
        <v>161087.12977850696</v>
      </c>
      <c r="CA168" s="311">
        <f t="shared" si="276"/>
        <v>312896.79132685123</v>
      </c>
      <c r="CB168" s="307">
        <f t="shared" si="277"/>
        <v>305.77610549404125</v>
      </c>
      <c r="CC168" s="309">
        <f t="shared" si="278"/>
        <v>0.5990746834805496</v>
      </c>
      <c r="CD168" s="379">
        <f t="shared" si="265"/>
        <v>0.7472787961335744</v>
      </c>
    </row>
    <row r="169" spans="1:82" x14ac:dyDescent="0.25">
      <c r="A169" s="305">
        <v>161</v>
      </c>
      <c r="B169" s="298" t="s">
        <v>62</v>
      </c>
      <c r="C169" s="298" t="s">
        <v>503</v>
      </c>
      <c r="D169" s="298" t="s">
        <v>598</v>
      </c>
      <c r="E169" s="298" t="s">
        <v>668</v>
      </c>
      <c r="F169" s="298" t="s">
        <v>484</v>
      </c>
      <c r="G169" s="311">
        <v>2337</v>
      </c>
      <c r="H169" s="311">
        <f t="shared" si="295"/>
        <v>2337</v>
      </c>
      <c r="I169" s="311">
        <v>2631</v>
      </c>
      <c r="J169" s="306">
        <f t="shared" si="340"/>
        <v>6148647</v>
      </c>
      <c r="K169" s="311">
        <v>194</v>
      </c>
      <c r="L169" s="312">
        <v>2631</v>
      </c>
      <c r="M169" s="309">
        <f t="shared" si="297"/>
        <v>0.88825541619156212</v>
      </c>
      <c r="N169" s="309">
        <f t="shared" si="266"/>
        <v>0.88825541619156212</v>
      </c>
      <c r="O169" s="309">
        <f t="shared" si="256"/>
        <v>0.88825541619156212</v>
      </c>
      <c r="P169" s="298">
        <v>229677</v>
      </c>
      <c r="Q169" s="306">
        <f t="shared" si="257"/>
        <v>510414</v>
      </c>
      <c r="R169" s="309">
        <f t="shared" si="298"/>
        <v>0.44998177949664392</v>
      </c>
      <c r="S169" s="295">
        <v>1219</v>
      </c>
      <c r="T169" s="295">
        <v>1219</v>
      </c>
      <c r="U169" s="310">
        <v>18.100000000000001</v>
      </c>
      <c r="V169" s="308" t="s">
        <v>413</v>
      </c>
      <c r="W169" s="387">
        <f t="shared" si="267"/>
        <v>0</v>
      </c>
      <c r="X169" s="298">
        <v>29.2</v>
      </c>
      <c r="Y169" s="387">
        <f t="shared" si="268"/>
        <v>29.2</v>
      </c>
      <c r="Z169" s="423" t="s">
        <v>413</v>
      </c>
      <c r="AA169" s="310">
        <f t="shared" si="341"/>
        <v>19.746592639999999</v>
      </c>
      <c r="AB169" s="310">
        <f t="shared" si="342"/>
        <v>11.28672212</v>
      </c>
      <c r="AC169" s="298">
        <v>3</v>
      </c>
      <c r="AD169" s="328">
        <f t="shared" si="332"/>
        <v>3.0412371134020617</v>
      </c>
      <c r="AE169" s="298">
        <v>4</v>
      </c>
      <c r="AF169" s="313">
        <f t="shared" si="281"/>
        <v>0.88091732250230859</v>
      </c>
      <c r="AG169" s="313">
        <f t="shared" si="333"/>
        <v>17.395115516972592</v>
      </c>
      <c r="AH169" s="313">
        <f t="shared" si="334"/>
        <v>9.9426690297779796</v>
      </c>
      <c r="AI169" s="308">
        <f>((3*390/2)*AG169+(I169-3*390/2)*AH169)/I169</f>
        <v>11.599712433430145</v>
      </c>
      <c r="AJ169" s="298" t="s">
        <v>793</v>
      </c>
      <c r="AK169" s="298" t="s">
        <v>793</v>
      </c>
      <c r="AL169" s="298">
        <v>400</v>
      </c>
      <c r="AM169" s="298">
        <v>400</v>
      </c>
      <c r="AN169" s="298">
        <v>4.5599999999999998E-3</v>
      </c>
      <c r="AO169" s="298">
        <v>438</v>
      </c>
      <c r="AP169" s="306">
        <f t="shared" si="335"/>
        <v>1.9972799999999999</v>
      </c>
      <c r="AQ169" s="298">
        <v>1219</v>
      </c>
      <c r="AR169" s="311" t="s">
        <v>786</v>
      </c>
      <c r="AS169" s="311">
        <v>400</v>
      </c>
      <c r="AT169" s="311" t="s">
        <v>413</v>
      </c>
      <c r="AU169" s="298">
        <v>0</v>
      </c>
      <c r="AV169" s="307">
        <v>400</v>
      </c>
      <c r="AW169" s="311">
        <f t="shared" si="336"/>
        <v>400</v>
      </c>
      <c r="AX169" s="298">
        <v>1.6900000000000001E-3</v>
      </c>
      <c r="AY169" s="298">
        <v>438</v>
      </c>
      <c r="AZ169" s="347">
        <f t="shared" si="328"/>
        <v>0.74021999999999999</v>
      </c>
      <c r="BA169" s="298">
        <v>1219</v>
      </c>
      <c r="BB169" s="298">
        <v>49.286000000000001</v>
      </c>
      <c r="BC169" s="309">
        <f t="shared" si="337"/>
        <v>9.6560831011688553E-2</v>
      </c>
      <c r="BD169" s="313">
        <f t="shared" si="269"/>
        <v>8.3244159340883413E-3</v>
      </c>
      <c r="BE169" s="309">
        <f t="shared" si="338"/>
        <v>0.21458831315281895</v>
      </c>
      <c r="BF169" s="311">
        <v>193</v>
      </c>
      <c r="BG169" s="311">
        <v>215</v>
      </c>
      <c r="BH169" s="307">
        <f t="shared" si="339"/>
        <v>204</v>
      </c>
      <c r="BI169" s="361">
        <f>IF(C169="Monotonic",0.814,1)</f>
        <v>1</v>
      </c>
      <c r="BJ169" s="361">
        <f t="shared" si="258"/>
        <v>1</v>
      </c>
      <c r="BK169" s="312">
        <f t="shared" si="259"/>
        <v>1</v>
      </c>
      <c r="BL169" s="311">
        <f t="shared" si="323"/>
        <v>204</v>
      </c>
      <c r="BM169" s="309">
        <f t="shared" si="203"/>
        <v>0.39967555748862688</v>
      </c>
      <c r="BN169" s="309">
        <f t="shared" si="271"/>
        <v>0.88820386891155845</v>
      </c>
      <c r="BO169" s="376"/>
      <c r="BP169" s="328">
        <f t="shared" si="272"/>
        <v>3.834296976538857</v>
      </c>
      <c r="BQ169" s="328">
        <f t="shared" si="260"/>
        <v>0.74021999999999999</v>
      </c>
      <c r="BR169" s="328">
        <f t="shared" si="294"/>
        <v>0.51569547851420994</v>
      </c>
      <c r="BS169" s="328">
        <f t="shared" si="273"/>
        <v>0.79113427127359437</v>
      </c>
      <c r="BT169" s="328">
        <f t="shared" si="274"/>
        <v>9.6560831011688553E-2</v>
      </c>
      <c r="BU169" s="376"/>
      <c r="BV169" s="328">
        <f t="shared" si="261"/>
        <v>0.44998177949664392</v>
      </c>
      <c r="BW169" s="328">
        <f t="shared" si="262"/>
        <v>0.88825541619156212</v>
      </c>
      <c r="BX169" s="373">
        <f t="shared" si="275"/>
        <v>0.60582698842054861</v>
      </c>
      <c r="BY169" s="311">
        <f t="shared" si="263"/>
        <v>144688.97571553427</v>
      </c>
      <c r="BZ169" s="311">
        <f t="shared" si="264"/>
        <v>226883.28137817883</v>
      </c>
      <c r="CA169" s="311">
        <f t="shared" si="276"/>
        <v>312896.79132685123</v>
      </c>
      <c r="CB169" s="307">
        <f t="shared" si="277"/>
        <v>312.89679132685126</v>
      </c>
      <c r="CC169" s="309">
        <f t="shared" si="278"/>
        <v>0.61302548779393062</v>
      </c>
      <c r="CD169" s="379">
        <f t="shared" si="265"/>
        <v>0.65197216991241713</v>
      </c>
    </row>
    <row r="170" spans="1:82" x14ac:dyDescent="0.25">
      <c r="A170" s="305">
        <v>162</v>
      </c>
      <c r="B170" s="298" t="s">
        <v>62</v>
      </c>
      <c r="C170" s="298" t="s">
        <v>504</v>
      </c>
      <c r="D170" s="298" t="s">
        <v>598</v>
      </c>
      <c r="E170" s="298" t="s">
        <v>668</v>
      </c>
      <c r="F170" s="298" t="s">
        <v>484</v>
      </c>
      <c r="G170" s="311">
        <v>2337</v>
      </c>
      <c r="H170" s="311">
        <f t="shared" si="295"/>
        <v>2337</v>
      </c>
      <c r="I170" s="311">
        <v>2631</v>
      </c>
      <c r="J170" s="306">
        <f t="shared" si="340"/>
        <v>6148647</v>
      </c>
      <c r="K170" s="311">
        <v>194</v>
      </c>
      <c r="L170" s="312">
        <v>2631</v>
      </c>
      <c r="M170" s="309">
        <f t="shared" si="297"/>
        <v>0.88825541619156212</v>
      </c>
      <c r="N170" s="309">
        <f t="shared" si="266"/>
        <v>0.88825541619156212</v>
      </c>
      <c r="O170" s="309">
        <f t="shared" si="256"/>
        <v>0.88825541619156212</v>
      </c>
      <c r="P170" s="298">
        <v>250322</v>
      </c>
      <c r="Q170" s="306">
        <f t="shared" si="257"/>
        <v>510414</v>
      </c>
      <c r="R170" s="309">
        <f t="shared" si="298"/>
        <v>0.4904293377532748</v>
      </c>
      <c r="S170" s="295">
        <v>813</v>
      </c>
      <c r="T170" s="295">
        <v>1219</v>
      </c>
      <c r="U170" s="310">
        <v>18.100000000000001</v>
      </c>
      <c r="V170" s="308" t="s">
        <v>413</v>
      </c>
      <c r="W170" s="387">
        <f t="shared" si="267"/>
        <v>0</v>
      </c>
      <c r="X170" s="298">
        <v>29.2</v>
      </c>
      <c r="Y170" s="387">
        <f t="shared" si="268"/>
        <v>29.2</v>
      </c>
      <c r="Z170" s="423" t="s">
        <v>413</v>
      </c>
      <c r="AA170" s="310">
        <f t="shared" si="341"/>
        <v>19.746592639999999</v>
      </c>
      <c r="AB170" s="310">
        <f t="shared" si="342"/>
        <v>11.28672212</v>
      </c>
      <c r="AC170" s="298">
        <v>3</v>
      </c>
      <c r="AD170" s="328">
        <f t="shared" si="332"/>
        <v>3.0412371134020617</v>
      </c>
      <c r="AE170" s="298">
        <v>4</v>
      </c>
      <c r="AF170" s="313">
        <f t="shared" si="281"/>
        <v>0.88091732250230859</v>
      </c>
      <c r="AG170" s="313">
        <f t="shared" si="333"/>
        <v>17.395115516972592</v>
      </c>
      <c r="AH170" s="313">
        <f t="shared" si="334"/>
        <v>9.9426690297779796</v>
      </c>
      <c r="AI170" s="308">
        <f>((4*390/2)*AG170+(I170-4*390/2)*AH170)/I170</f>
        <v>12.152060234647532</v>
      </c>
      <c r="AJ170" s="298" t="s">
        <v>794</v>
      </c>
      <c r="AK170" s="298" t="s">
        <v>769</v>
      </c>
      <c r="AL170" s="298">
        <v>200</v>
      </c>
      <c r="AM170" s="298">
        <v>200</v>
      </c>
      <c r="AN170" s="298">
        <v>4.4600000000000004E-3</v>
      </c>
      <c r="AO170" s="298">
        <v>438</v>
      </c>
      <c r="AP170" s="306">
        <f t="shared" si="335"/>
        <v>1.9534800000000001</v>
      </c>
      <c r="AQ170" s="298">
        <v>813</v>
      </c>
      <c r="AR170" s="311" t="s">
        <v>724</v>
      </c>
      <c r="AS170" s="311">
        <v>200</v>
      </c>
      <c r="AT170" s="311" t="s">
        <v>413</v>
      </c>
      <c r="AU170" s="298">
        <v>0</v>
      </c>
      <c r="AV170" s="307">
        <v>200</v>
      </c>
      <c r="AW170" s="311">
        <f t="shared" si="336"/>
        <v>200</v>
      </c>
      <c r="AX170" s="298">
        <v>8.4999999999999995E-4</v>
      </c>
      <c r="AY170" s="298">
        <v>438</v>
      </c>
      <c r="AZ170" s="347">
        <f t="shared" si="328"/>
        <v>0.37229999999999996</v>
      </c>
      <c r="BA170" s="298">
        <v>1219</v>
      </c>
      <c r="BB170" s="298">
        <v>49.286000000000001</v>
      </c>
      <c r="BC170" s="309">
        <f t="shared" si="337"/>
        <v>9.6560831011688553E-2</v>
      </c>
      <c r="BD170" s="313">
        <f t="shared" si="269"/>
        <v>7.9460461145820904E-3</v>
      </c>
      <c r="BE170" s="309">
        <f t="shared" si="338"/>
        <v>0.19689040515815631</v>
      </c>
      <c r="BF170" s="311">
        <v>258</v>
      </c>
      <c r="BG170" s="311">
        <v>262</v>
      </c>
      <c r="BH170" s="307">
        <f t="shared" si="339"/>
        <v>260</v>
      </c>
      <c r="BI170" s="361">
        <f>IF(C170="Monotonic",0.814,1)</f>
        <v>1</v>
      </c>
      <c r="BJ170" s="361">
        <f t="shared" si="258"/>
        <v>1</v>
      </c>
      <c r="BK170" s="312">
        <f t="shared" si="259"/>
        <v>1</v>
      </c>
      <c r="BL170" s="311">
        <f t="shared" si="323"/>
        <v>260</v>
      </c>
      <c r="BM170" s="309">
        <f t="shared" si="203"/>
        <v>0.5093904164070735</v>
      </c>
      <c r="BN170" s="309">
        <f t="shared" ref="BN170:BN201" si="343">BL170/P170*1000</f>
        <v>1.03866220308243</v>
      </c>
      <c r="BO170" s="376"/>
      <c r="BP170" s="328">
        <f t="shared" si="272"/>
        <v>3.9245249321977678</v>
      </c>
      <c r="BQ170" s="328">
        <f t="shared" si="260"/>
        <v>0.37229999999999996</v>
      </c>
      <c r="BR170" s="328">
        <f t="shared" si="294"/>
        <v>0.50438636714328433</v>
      </c>
      <c r="BS170" s="328">
        <f t="shared" si="273"/>
        <v>0.6258916638428671</v>
      </c>
      <c r="BT170" s="328">
        <f t="shared" si="274"/>
        <v>9.6560831011688553E-2</v>
      </c>
      <c r="BU170" s="376"/>
      <c r="BV170" s="328">
        <f t="shared" si="261"/>
        <v>0.4904293377532748</v>
      </c>
      <c r="BW170" s="328">
        <f t="shared" si="262"/>
        <v>0.88825541619156212</v>
      </c>
      <c r="BX170" s="373">
        <f t="shared" si="275"/>
        <v>0.62008319522525035</v>
      </c>
      <c r="BY170" s="311">
        <f t="shared" si="263"/>
        <v>161263.29068030207</v>
      </c>
      <c r="BZ170" s="311">
        <f t="shared" si="264"/>
        <v>113441.64068908941</v>
      </c>
      <c r="CA170" s="311">
        <f t="shared" si="276"/>
        <v>349047.04699222709</v>
      </c>
      <c r="CB170" s="307">
        <f t="shared" si="277"/>
        <v>274.70493136939149</v>
      </c>
      <c r="CC170" s="309">
        <f t="shared" si="278"/>
        <v>0.53820022838204173</v>
      </c>
      <c r="CD170" s="379">
        <f t="shared" si="265"/>
        <v>0.94647008593515936</v>
      </c>
    </row>
    <row r="171" spans="1:82" x14ac:dyDescent="0.25">
      <c r="A171" s="315">
        <v>163</v>
      </c>
      <c r="B171" s="315" t="s">
        <v>62</v>
      </c>
      <c r="C171" s="315" t="s">
        <v>505</v>
      </c>
      <c r="D171" s="315" t="s">
        <v>598</v>
      </c>
      <c r="E171" s="315" t="s">
        <v>668</v>
      </c>
      <c r="F171" s="315" t="s">
        <v>484</v>
      </c>
      <c r="G171" s="321">
        <v>2337</v>
      </c>
      <c r="H171" s="321">
        <f t="shared" si="295"/>
        <v>2337</v>
      </c>
      <c r="I171" s="321">
        <v>2631</v>
      </c>
      <c r="J171" s="316">
        <f t="shared" si="340"/>
        <v>6148647</v>
      </c>
      <c r="K171" s="321">
        <v>194</v>
      </c>
      <c r="L171" s="322">
        <v>2631</v>
      </c>
      <c r="M171" s="319">
        <f t="shared" si="297"/>
        <v>0.88825541619156212</v>
      </c>
      <c r="N171" s="319">
        <f t="shared" si="266"/>
        <v>0.88825541619156212</v>
      </c>
      <c r="O171" s="319">
        <f t="shared" si="256"/>
        <v>0.88825541619156212</v>
      </c>
      <c r="P171" s="315">
        <v>271612</v>
      </c>
      <c r="Q171" s="316">
        <f t="shared" si="257"/>
        <v>510414</v>
      </c>
      <c r="R171" s="319">
        <f t="shared" si="298"/>
        <v>0.5321405760813771</v>
      </c>
      <c r="S171" s="294">
        <v>610</v>
      </c>
      <c r="T171" s="294">
        <v>1219</v>
      </c>
      <c r="U171" s="320">
        <v>18.100000000000001</v>
      </c>
      <c r="V171" s="318" t="s">
        <v>413</v>
      </c>
      <c r="W171" s="387">
        <f t="shared" si="267"/>
        <v>0</v>
      </c>
      <c r="X171" s="315">
        <v>29.2</v>
      </c>
      <c r="Y171" s="387">
        <f t="shared" si="268"/>
        <v>29.2</v>
      </c>
      <c r="Z171" s="419" t="s">
        <v>413</v>
      </c>
      <c r="AA171" s="320">
        <f t="shared" si="341"/>
        <v>19.746592639999999</v>
      </c>
      <c r="AB171" s="320">
        <f t="shared" si="342"/>
        <v>11.28672212</v>
      </c>
      <c r="AC171" s="315">
        <v>3</v>
      </c>
      <c r="AD171" s="330">
        <f t="shared" si="332"/>
        <v>3.0412371134020617</v>
      </c>
      <c r="AE171" s="315">
        <v>4</v>
      </c>
      <c r="AF171" s="324">
        <f t="shared" si="281"/>
        <v>0.88091732250230859</v>
      </c>
      <c r="AG171" s="324">
        <f t="shared" si="333"/>
        <v>17.395115516972592</v>
      </c>
      <c r="AH171" s="324">
        <f t="shared" si="334"/>
        <v>9.9426690297779796</v>
      </c>
      <c r="AI171" s="308">
        <f>((5*390/2)*AG171+(I171-5*390/2)*AH171)/I171</f>
        <v>12.704408035864923</v>
      </c>
      <c r="AJ171" s="315" t="s">
        <v>795</v>
      </c>
      <c r="AK171" s="315" t="s">
        <v>769</v>
      </c>
      <c r="AL171" s="315">
        <v>200</v>
      </c>
      <c r="AM171" s="315">
        <v>200</v>
      </c>
      <c r="AN171" s="315">
        <v>4.5799999999999999E-3</v>
      </c>
      <c r="AO171" s="315">
        <v>438</v>
      </c>
      <c r="AP171" s="316">
        <f t="shared" si="335"/>
        <v>2.00604</v>
      </c>
      <c r="AQ171" s="315">
        <v>610</v>
      </c>
      <c r="AR171" s="321" t="s">
        <v>724</v>
      </c>
      <c r="AS171" s="321">
        <v>200</v>
      </c>
      <c r="AT171" s="321" t="s">
        <v>413</v>
      </c>
      <c r="AU171" s="315">
        <v>0</v>
      </c>
      <c r="AV171" s="317">
        <v>200</v>
      </c>
      <c r="AW171" s="321">
        <f t="shared" si="336"/>
        <v>200</v>
      </c>
      <c r="AX171" s="315">
        <v>8.4999999999999995E-4</v>
      </c>
      <c r="AY171" s="315">
        <v>438</v>
      </c>
      <c r="AZ171" s="348">
        <f t="shared" si="328"/>
        <v>0.37229999999999996</v>
      </c>
      <c r="BA171" s="315">
        <v>1219</v>
      </c>
      <c r="BB171" s="315">
        <v>49.286000000000001</v>
      </c>
      <c r="BC171" s="319">
        <f t="shared" si="337"/>
        <v>9.6560831011688553E-2</v>
      </c>
      <c r="BD171" s="324">
        <f t="shared" si="269"/>
        <v>7.6005769603034196E-3</v>
      </c>
      <c r="BE171" s="319">
        <f t="shared" si="338"/>
        <v>0.18145737301739245</v>
      </c>
      <c r="BF171" s="321">
        <v>296</v>
      </c>
      <c r="BG171" s="321">
        <v>302</v>
      </c>
      <c r="BH171" s="317">
        <f t="shared" si="339"/>
        <v>299</v>
      </c>
      <c r="BI171" s="315">
        <f>IF(C171="Monotonic",0.814,1)</f>
        <v>1</v>
      </c>
      <c r="BJ171" s="315">
        <f t="shared" si="258"/>
        <v>1</v>
      </c>
      <c r="BK171" s="322">
        <f t="shared" si="259"/>
        <v>1</v>
      </c>
      <c r="BL171" s="321">
        <f t="shared" si="323"/>
        <v>299</v>
      </c>
      <c r="BM171" s="319">
        <f t="shared" si="203"/>
        <v>0.58579897886813448</v>
      </c>
      <c r="BN171" s="319">
        <f t="shared" si="343"/>
        <v>1.1008350146532555</v>
      </c>
      <c r="BO171" s="376"/>
      <c r="BP171" s="330">
        <f t="shared" si="272"/>
        <v>4.0127245834456131</v>
      </c>
      <c r="BQ171" s="330">
        <f t="shared" si="260"/>
        <v>0.37229999999999996</v>
      </c>
      <c r="BR171" s="330">
        <f t="shared" si="294"/>
        <v>0.51795730078839508</v>
      </c>
      <c r="BS171" s="330">
        <f t="shared" si="273"/>
        <v>0.69438664707148889</v>
      </c>
      <c r="BT171" s="330">
        <f t="shared" si="274"/>
        <v>9.6560831011688553E-2</v>
      </c>
      <c r="BU171" s="376"/>
      <c r="BV171" s="328">
        <f t="shared" si="261"/>
        <v>0.5</v>
      </c>
      <c r="BW171" s="328">
        <f t="shared" si="262"/>
        <v>0.88825541619156212</v>
      </c>
      <c r="BX171" s="373">
        <f t="shared" si="275"/>
        <v>0.63401892566610385</v>
      </c>
      <c r="BY171" s="311">
        <f t="shared" si="263"/>
        <v>167966.81796246936</v>
      </c>
      <c r="BZ171" s="311">
        <f t="shared" si="264"/>
        <v>113441.64068908941</v>
      </c>
      <c r="CA171" s="311">
        <f t="shared" si="276"/>
        <v>363856.20923868107</v>
      </c>
      <c r="CB171" s="307">
        <f t="shared" si="277"/>
        <v>281.40845865155876</v>
      </c>
      <c r="CC171" s="309">
        <f t="shared" si="278"/>
        <v>0.5513337382038086</v>
      </c>
      <c r="CD171" s="379">
        <f t="shared" si="265"/>
        <v>1.0625124825058054</v>
      </c>
    </row>
    <row r="172" spans="1:82" x14ac:dyDescent="0.25">
      <c r="A172" s="305">
        <v>164</v>
      </c>
      <c r="B172" s="298" t="s">
        <v>12</v>
      </c>
      <c r="C172" s="298">
        <v>1</v>
      </c>
      <c r="D172" s="298" t="s">
        <v>597</v>
      </c>
      <c r="E172" s="361" t="s">
        <v>668</v>
      </c>
      <c r="F172" s="298" t="s">
        <v>484</v>
      </c>
      <c r="G172" s="311">
        <v>1200</v>
      </c>
      <c r="H172" s="311">
        <f t="shared" si="295"/>
        <v>1200</v>
      </c>
      <c r="I172" s="311">
        <v>1590</v>
      </c>
      <c r="J172" s="306">
        <f>I172*G172</f>
        <v>1908000</v>
      </c>
      <c r="K172" s="311">
        <v>190</v>
      </c>
      <c r="L172" s="312">
        <v>1272</v>
      </c>
      <c r="M172" s="309">
        <f t="shared" si="297"/>
        <v>0.75471698113207553</v>
      </c>
      <c r="N172" s="309">
        <f t="shared" si="266"/>
        <v>0.75471698113207553</v>
      </c>
      <c r="O172" s="309">
        <f t="shared" si="256"/>
        <v>0.75471698113207553</v>
      </c>
      <c r="P172" s="327">
        <f t="shared" ref="P172:P203" si="344">(4*390/2*K172)+(I172-4*390/2)*(35)*2</f>
        <v>204900</v>
      </c>
      <c r="Q172" s="306">
        <f t="shared" si="257"/>
        <v>302100</v>
      </c>
      <c r="R172" s="309">
        <f t="shared" si="298"/>
        <v>0.67825223435948356</v>
      </c>
      <c r="S172" s="295">
        <v>1200</v>
      </c>
      <c r="T172" s="295">
        <v>1200</v>
      </c>
      <c r="U172" s="310">
        <v>18.399999999999999</v>
      </c>
      <c r="V172" s="310">
        <v>6.7</v>
      </c>
      <c r="W172" s="387">
        <f t="shared" si="267"/>
        <v>6.7</v>
      </c>
      <c r="X172" s="295">
        <v>21.8</v>
      </c>
      <c r="Y172" s="387">
        <f t="shared" si="268"/>
        <v>21.8</v>
      </c>
      <c r="Z172" s="423" t="s">
        <v>413</v>
      </c>
      <c r="AA172" s="325">
        <v>9.82</v>
      </c>
      <c r="AB172" s="325">
        <v>18.22</v>
      </c>
      <c r="AC172" s="295">
        <v>3</v>
      </c>
      <c r="AD172" s="325">
        <f t="shared" si="332"/>
        <v>3.1052631578947367</v>
      </c>
      <c r="AE172" s="295">
        <v>10</v>
      </c>
      <c r="AF172" s="313">
        <f t="shared" si="281"/>
        <v>0.88507743347731438</v>
      </c>
      <c r="AG172" s="313">
        <f t="shared" si="333"/>
        <v>8.6914603967472281</v>
      </c>
      <c r="AH172" s="313">
        <f t="shared" si="334"/>
        <v>16.126110837956666</v>
      </c>
      <c r="AI172" s="416">
        <f t="shared" ref="AI172:AI203" si="345">((4*390/2)*AG172+(I172-4*390/2)*AH172)/I172</f>
        <v>12.478923829061472</v>
      </c>
      <c r="AJ172" s="361" t="s">
        <v>413</v>
      </c>
      <c r="AK172" s="361" t="s">
        <v>413</v>
      </c>
      <c r="AL172" s="298">
        <v>0</v>
      </c>
      <c r="AM172" s="298">
        <v>0</v>
      </c>
      <c r="AN172" s="340">
        <v>0</v>
      </c>
      <c r="AO172" s="298">
        <v>0</v>
      </c>
      <c r="AP172" s="295">
        <f t="shared" si="335"/>
        <v>0</v>
      </c>
      <c r="AQ172" s="298">
        <v>0</v>
      </c>
      <c r="AR172" s="298" t="s">
        <v>413</v>
      </c>
      <c r="AS172" s="298">
        <v>0</v>
      </c>
      <c r="AT172" s="298" t="s">
        <v>413</v>
      </c>
      <c r="AU172" s="306">
        <f t="shared" ref="AU172:AU203" si="346">AX172*G172*K172</f>
        <v>0</v>
      </c>
      <c r="AV172" s="307">
        <v>0</v>
      </c>
      <c r="AW172" s="327">
        <f t="shared" si="336"/>
        <v>0</v>
      </c>
      <c r="AX172" s="306">
        <f t="shared" ref="AX172:AX203" si="347">IF(AV172=0,0,AV172/(BA172*K172))</f>
        <v>0</v>
      </c>
      <c r="AY172" s="298">
        <v>0</v>
      </c>
      <c r="AZ172" s="306">
        <f t="shared" si="328"/>
        <v>0</v>
      </c>
      <c r="BA172" s="267">
        <v>0</v>
      </c>
      <c r="BB172" s="298">
        <v>416</v>
      </c>
      <c r="BC172" s="309">
        <f t="shared" si="337"/>
        <v>1.377027474346243</v>
      </c>
      <c r="BD172" s="313">
        <f t="shared" si="269"/>
        <v>0.11034825544325867</v>
      </c>
      <c r="BE172" s="309">
        <f t="shared" si="338"/>
        <v>2.0302586627623231</v>
      </c>
      <c r="BF172" s="307" t="s">
        <v>413</v>
      </c>
      <c r="BG172" s="311">
        <v>297</v>
      </c>
      <c r="BH172" s="307">
        <f>BG172</f>
        <v>297</v>
      </c>
      <c r="BI172" s="373">
        <v>0.94430000000000003</v>
      </c>
      <c r="BJ172" s="370">
        <f t="shared" si="258"/>
        <v>0.81399999999999995</v>
      </c>
      <c r="BK172" s="368">
        <f t="shared" si="259"/>
        <v>1</v>
      </c>
      <c r="BL172" s="364">
        <f t="shared" ref="BL172:BL235" si="348">BH172*BI172*BJ172*BK172</f>
        <v>228.29207940000001</v>
      </c>
      <c r="BM172" s="371">
        <f t="shared" si="203"/>
        <v>0.75568381132075479</v>
      </c>
      <c r="BN172" s="371">
        <f t="shared" si="343"/>
        <v>1.114163393850659</v>
      </c>
      <c r="BO172" s="376"/>
      <c r="BP172" s="365">
        <f t="shared" si="272"/>
        <v>4.6806314368251689</v>
      </c>
      <c r="BQ172" s="365">
        <f t="shared" si="260"/>
        <v>0</v>
      </c>
      <c r="BR172" s="365">
        <f t="shared" si="294"/>
        <v>0</v>
      </c>
      <c r="BS172" s="365">
        <f t="shared" si="273"/>
        <v>0</v>
      </c>
      <c r="BT172" s="365">
        <f t="shared" si="274"/>
        <v>1.377027474346243</v>
      </c>
      <c r="BU172" s="376"/>
      <c r="BV172" s="328">
        <f t="shared" si="261"/>
        <v>0.5</v>
      </c>
      <c r="BW172" s="328">
        <f t="shared" si="262"/>
        <v>0.94339622641509435</v>
      </c>
      <c r="BX172" s="373">
        <f t="shared" si="275"/>
        <v>0.59720124847210421</v>
      </c>
      <c r="BY172" s="311">
        <f t="shared" si="263"/>
        <v>124165.79886536907</v>
      </c>
      <c r="BZ172" s="311">
        <f t="shared" si="264"/>
        <v>0</v>
      </c>
      <c r="CA172" s="311">
        <f t="shared" si="276"/>
        <v>170749.43481538218</v>
      </c>
      <c r="CB172" s="307">
        <f t="shared" si="277"/>
        <v>124.16579886536907</v>
      </c>
      <c r="CC172" s="309">
        <f t="shared" si="278"/>
        <v>0.41100893368212205</v>
      </c>
      <c r="CD172" s="379">
        <f t="shared" si="265"/>
        <v>1.8386067780833379</v>
      </c>
    </row>
    <row r="173" spans="1:82" x14ac:dyDescent="0.25">
      <c r="A173" s="305">
        <v>165</v>
      </c>
      <c r="B173" s="298" t="s">
        <v>12</v>
      </c>
      <c r="C173" s="298">
        <v>2</v>
      </c>
      <c r="D173" s="361" t="s">
        <v>597</v>
      </c>
      <c r="E173" s="361" t="s">
        <v>668</v>
      </c>
      <c r="F173" s="298" t="s">
        <v>484</v>
      </c>
      <c r="G173" s="311">
        <v>1200</v>
      </c>
      <c r="H173" s="311">
        <f t="shared" si="295"/>
        <v>1200</v>
      </c>
      <c r="I173" s="311">
        <v>1590</v>
      </c>
      <c r="J173" s="306">
        <f>I173*G173</f>
        <v>1908000</v>
      </c>
      <c r="K173" s="311">
        <v>190</v>
      </c>
      <c r="L173" s="312">
        <v>1272</v>
      </c>
      <c r="M173" s="309">
        <f t="shared" si="297"/>
        <v>0.75471698113207553</v>
      </c>
      <c r="N173" s="309">
        <f t="shared" si="266"/>
        <v>0.75471698113207553</v>
      </c>
      <c r="O173" s="309">
        <f t="shared" si="256"/>
        <v>0.75471698113207553</v>
      </c>
      <c r="P173" s="327">
        <f t="shared" si="344"/>
        <v>204900</v>
      </c>
      <c r="Q173" s="306">
        <f t="shared" si="257"/>
        <v>302100</v>
      </c>
      <c r="R173" s="309">
        <f t="shared" si="298"/>
        <v>0.67825223435948356</v>
      </c>
      <c r="S173" s="295">
        <v>1200</v>
      </c>
      <c r="T173" s="295">
        <v>1200</v>
      </c>
      <c r="U173" s="310">
        <v>18.399999999999999</v>
      </c>
      <c r="V173" s="310">
        <v>6.8</v>
      </c>
      <c r="W173" s="387">
        <f t="shared" si="267"/>
        <v>6.8</v>
      </c>
      <c r="X173" s="295">
        <v>25.7</v>
      </c>
      <c r="Y173" s="387">
        <f t="shared" si="268"/>
        <v>25.7</v>
      </c>
      <c r="Z173" s="423" t="s">
        <v>413</v>
      </c>
      <c r="AA173" s="325">
        <v>9.82</v>
      </c>
      <c r="AB173" s="325">
        <v>18.22</v>
      </c>
      <c r="AC173" s="295">
        <v>3</v>
      </c>
      <c r="AD173" s="325">
        <f t="shared" si="332"/>
        <v>3.1052631578947367</v>
      </c>
      <c r="AE173" s="295">
        <v>10</v>
      </c>
      <c r="AF173" s="313">
        <f t="shared" si="281"/>
        <v>0.88507743347731438</v>
      </c>
      <c r="AG173" s="313">
        <f t="shared" si="333"/>
        <v>8.6914603967472281</v>
      </c>
      <c r="AH173" s="313">
        <f t="shared" si="334"/>
        <v>16.126110837956666</v>
      </c>
      <c r="AI173" s="308">
        <f t="shared" si="345"/>
        <v>12.478923829061472</v>
      </c>
      <c r="AJ173" s="361" t="s">
        <v>413</v>
      </c>
      <c r="AK173" s="361" t="s">
        <v>413</v>
      </c>
      <c r="AL173" s="298">
        <v>0</v>
      </c>
      <c r="AM173" s="298">
        <v>0</v>
      </c>
      <c r="AN173" s="340">
        <v>0</v>
      </c>
      <c r="AO173" s="298">
        <v>0</v>
      </c>
      <c r="AP173" s="295">
        <f t="shared" si="335"/>
        <v>0</v>
      </c>
      <c r="AQ173" s="298">
        <v>0</v>
      </c>
      <c r="AR173" s="298" t="s">
        <v>413</v>
      </c>
      <c r="AS173" s="298">
        <v>0</v>
      </c>
      <c r="AT173" s="298" t="s">
        <v>413</v>
      </c>
      <c r="AU173" s="306">
        <f t="shared" si="346"/>
        <v>0</v>
      </c>
      <c r="AV173" s="307">
        <v>0</v>
      </c>
      <c r="AW173" s="327">
        <f t="shared" si="336"/>
        <v>0</v>
      </c>
      <c r="AX173" s="306">
        <f t="shared" si="347"/>
        <v>0</v>
      </c>
      <c r="AY173" s="298">
        <v>0</v>
      </c>
      <c r="AZ173" s="306">
        <f t="shared" si="328"/>
        <v>0</v>
      </c>
      <c r="BA173" s="267">
        <v>0</v>
      </c>
      <c r="BB173" s="298">
        <v>416</v>
      </c>
      <c r="BC173" s="309">
        <f t="shared" si="337"/>
        <v>1.377027474346243</v>
      </c>
      <c r="BD173" s="313">
        <f t="shared" si="269"/>
        <v>0.11034825544325867</v>
      </c>
      <c r="BE173" s="309">
        <f t="shared" si="338"/>
        <v>2.0302586627623231</v>
      </c>
      <c r="BF173" s="307" t="s">
        <v>413</v>
      </c>
      <c r="BG173" s="311">
        <v>278.10000000000002</v>
      </c>
      <c r="BH173" s="307">
        <f t="shared" ref="BH173:BH236" si="349">BG173</f>
        <v>278.10000000000002</v>
      </c>
      <c r="BI173" s="373">
        <v>0.94430000000000003</v>
      </c>
      <c r="BJ173" s="361">
        <f t="shared" si="258"/>
        <v>0.81399999999999995</v>
      </c>
      <c r="BK173" s="312">
        <f t="shared" si="259"/>
        <v>1</v>
      </c>
      <c r="BL173" s="311">
        <f t="shared" si="348"/>
        <v>213.76440162000003</v>
      </c>
      <c r="BM173" s="309">
        <f t="shared" si="203"/>
        <v>0.70759484150943408</v>
      </c>
      <c r="BN173" s="309">
        <f t="shared" si="343"/>
        <v>1.0432620869692535</v>
      </c>
      <c r="BO173" s="376"/>
      <c r="BP173" s="328">
        <f t="shared" si="272"/>
        <v>4.6806314368251689</v>
      </c>
      <c r="BQ173" s="328">
        <f t="shared" si="260"/>
        <v>0</v>
      </c>
      <c r="BR173" s="328">
        <f t="shared" si="294"/>
        <v>0</v>
      </c>
      <c r="BS173" s="328">
        <f t="shared" si="273"/>
        <v>0</v>
      </c>
      <c r="BT173" s="328">
        <f t="shared" si="274"/>
        <v>1.377027474346243</v>
      </c>
      <c r="BU173" s="376"/>
      <c r="BV173" s="328">
        <f t="shared" si="261"/>
        <v>0.5</v>
      </c>
      <c r="BW173" s="328">
        <f t="shared" si="262"/>
        <v>0.94339622641509435</v>
      </c>
      <c r="BX173" s="373">
        <f t="shared" si="275"/>
        <v>0.59720124847210421</v>
      </c>
      <c r="BY173" s="311">
        <f t="shared" si="263"/>
        <v>124165.79886536907</v>
      </c>
      <c r="BZ173" s="311">
        <f t="shared" si="264"/>
        <v>0</v>
      </c>
      <c r="CA173" s="311">
        <f t="shared" si="276"/>
        <v>170749.43481538218</v>
      </c>
      <c r="CB173" s="307">
        <f t="shared" si="277"/>
        <v>124.16579886536907</v>
      </c>
      <c r="CC173" s="309">
        <f t="shared" si="278"/>
        <v>0.41100893368212205</v>
      </c>
      <c r="CD173" s="379">
        <f t="shared" si="265"/>
        <v>1.7216045285689439</v>
      </c>
    </row>
    <row r="174" spans="1:82" x14ac:dyDescent="0.25">
      <c r="A174" s="305">
        <v>166</v>
      </c>
      <c r="B174" s="298" t="s">
        <v>12</v>
      </c>
      <c r="C174" s="298">
        <v>3</v>
      </c>
      <c r="D174" s="361" t="s">
        <v>597</v>
      </c>
      <c r="E174" s="361" t="s">
        <v>668</v>
      </c>
      <c r="F174" s="298" t="s">
        <v>484</v>
      </c>
      <c r="G174" s="311">
        <v>1200</v>
      </c>
      <c r="H174" s="311">
        <f t="shared" si="295"/>
        <v>1200</v>
      </c>
      <c r="I174" s="311">
        <v>1590</v>
      </c>
      <c r="J174" s="306">
        <f>I174*G174</f>
        <v>1908000</v>
      </c>
      <c r="K174" s="311">
        <v>190</v>
      </c>
      <c r="L174" s="312">
        <v>1272</v>
      </c>
      <c r="M174" s="309">
        <f t="shared" si="297"/>
        <v>0.75471698113207553</v>
      </c>
      <c r="N174" s="309">
        <f t="shared" si="266"/>
        <v>0.75471698113207553</v>
      </c>
      <c r="O174" s="309">
        <f t="shared" si="256"/>
        <v>0.75471698113207553</v>
      </c>
      <c r="P174" s="327">
        <f t="shared" si="344"/>
        <v>204900</v>
      </c>
      <c r="Q174" s="306">
        <f t="shared" si="257"/>
        <v>302100</v>
      </c>
      <c r="R174" s="309">
        <f t="shared" si="298"/>
        <v>0.67825223435948356</v>
      </c>
      <c r="S174" s="295">
        <v>1200</v>
      </c>
      <c r="T174" s="295">
        <v>1200</v>
      </c>
      <c r="U174" s="310">
        <v>18.399999999999999</v>
      </c>
      <c r="V174" s="310">
        <v>6.8</v>
      </c>
      <c r="W174" s="387">
        <f t="shared" si="267"/>
        <v>6.8</v>
      </c>
      <c r="X174" s="295">
        <v>25.7</v>
      </c>
      <c r="Y174" s="387">
        <f t="shared" si="268"/>
        <v>25.7</v>
      </c>
      <c r="Z174" s="423" t="s">
        <v>413</v>
      </c>
      <c r="AA174" s="325">
        <v>9.82</v>
      </c>
      <c r="AB174" s="325">
        <v>18.22</v>
      </c>
      <c r="AC174" s="295">
        <v>3</v>
      </c>
      <c r="AD174" s="325">
        <f t="shared" si="332"/>
        <v>3.1052631578947367</v>
      </c>
      <c r="AE174" s="295">
        <v>10</v>
      </c>
      <c r="AF174" s="313">
        <f t="shared" si="281"/>
        <v>0.88507743347731438</v>
      </c>
      <c r="AG174" s="313">
        <f t="shared" si="333"/>
        <v>8.6914603967472281</v>
      </c>
      <c r="AH174" s="313">
        <f t="shared" si="334"/>
        <v>16.126110837956666</v>
      </c>
      <c r="AI174" s="308">
        <f t="shared" si="345"/>
        <v>12.478923829061472</v>
      </c>
      <c r="AJ174" s="361" t="s">
        <v>413</v>
      </c>
      <c r="AK174" s="361" t="s">
        <v>413</v>
      </c>
      <c r="AL174" s="298">
        <v>0</v>
      </c>
      <c r="AM174" s="298">
        <v>0</v>
      </c>
      <c r="AN174" s="340">
        <v>0</v>
      </c>
      <c r="AO174" s="298">
        <v>0</v>
      </c>
      <c r="AP174" s="295">
        <f t="shared" si="335"/>
        <v>0</v>
      </c>
      <c r="AQ174" s="298">
        <v>0</v>
      </c>
      <c r="AR174" s="298" t="s">
        <v>413</v>
      </c>
      <c r="AS174" s="298">
        <v>0</v>
      </c>
      <c r="AT174" s="286" t="s">
        <v>413</v>
      </c>
      <c r="AU174" s="306">
        <f t="shared" si="346"/>
        <v>0</v>
      </c>
      <c r="AV174" s="307">
        <v>0</v>
      </c>
      <c r="AW174" s="327">
        <f t="shared" si="336"/>
        <v>0</v>
      </c>
      <c r="AX174" s="306">
        <f t="shared" si="347"/>
        <v>0</v>
      </c>
      <c r="AY174" s="298">
        <v>0</v>
      </c>
      <c r="AZ174" s="306">
        <f t="shared" si="328"/>
        <v>0</v>
      </c>
      <c r="BA174" s="267">
        <v>0</v>
      </c>
      <c r="BB174" s="298">
        <v>416</v>
      </c>
      <c r="BC174" s="309">
        <f t="shared" si="337"/>
        <v>1.377027474346243</v>
      </c>
      <c r="BD174" s="313">
        <f t="shared" si="269"/>
        <v>0.11034825544325867</v>
      </c>
      <c r="BE174" s="309">
        <f t="shared" si="338"/>
        <v>2.0302586627623231</v>
      </c>
      <c r="BF174" s="307" t="s">
        <v>413</v>
      </c>
      <c r="BG174" s="311">
        <v>275.89999999999998</v>
      </c>
      <c r="BH174" s="307">
        <f t="shared" si="349"/>
        <v>275.89999999999998</v>
      </c>
      <c r="BI174" s="373">
        <v>0.94430000000000003</v>
      </c>
      <c r="BJ174" s="361">
        <f t="shared" si="258"/>
        <v>0.81399999999999995</v>
      </c>
      <c r="BK174" s="312">
        <f t="shared" si="259"/>
        <v>1</v>
      </c>
      <c r="BL174" s="311">
        <f t="shared" si="348"/>
        <v>212.07334918000001</v>
      </c>
      <c r="BM174" s="309">
        <f t="shared" si="203"/>
        <v>0.70199718364779884</v>
      </c>
      <c r="BN174" s="309">
        <f t="shared" si="343"/>
        <v>1.0350090247925818</v>
      </c>
      <c r="BO174" s="376"/>
      <c r="BP174" s="328">
        <f t="shared" si="272"/>
        <v>4.6806314368251689</v>
      </c>
      <c r="BQ174" s="328">
        <f t="shared" si="260"/>
        <v>0</v>
      </c>
      <c r="BR174" s="328">
        <f t="shared" si="294"/>
        <v>0</v>
      </c>
      <c r="BS174" s="328">
        <f t="shared" si="273"/>
        <v>0</v>
      </c>
      <c r="BT174" s="328">
        <f t="shared" si="274"/>
        <v>1.377027474346243</v>
      </c>
      <c r="BU174" s="376"/>
      <c r="BV174" s="328">
        <f t="shared" si="261"/>
        <v>0.5</v>
      </c>
      <c r="BW174" s="328">
        <f t="shared" si="262"/>
        <v>0.94339622641509435</v>
      </c>
      <c r="BX174" s="373">
        <f t="shared" si="275"/>
        <v>0.59720124847210421</v>
      </c>
      <c r="BY174" s="311">
        <f t="shared" si="263"/>
        <v>124165.79886536907</v>
      </c>
      <c r="BZ174" s="311">
        <f t="shared" si="264"/>
        <v>0</v>
      </c>
      <c r="CA174" s="311">
        <f t="shared" si="276"/>
        <v>170749.43481538218</v>
      </c>
      <c r="CB174" s="307">
        <f t="shared" si="277"/>
        <v>124.16579886536907</v>
      </c>
      <c r="CC174" s="309">
        <f t="shared" si="278"/>
        <v>0.41100893368212205</v>
      </c>
      <c r="CD174" s="379">
        <f t="shared" si="265"/>
        <v>1.7079852191016598</v>
      </c>
    </row>
    <row r="175" spans="1:82" x14ac:dyDescent="0.25">
      <c r="A175" s="305">
        <v>167</v>
      </c>
      <c r="B175" s="298" t="s">
        <v>12</v>
      </c>
      <c r="C175" s="298">
        <v>4</v>
      </c>
      <c r="D175" s="361" t="s">
        <v>597</v>
      </c>
      <c r="E175" s="361" t="s">
        <v>668</v>
      </c>
      <c r="F175" s="298" t="s">
        <v>484</v>
      </c>
      <c r="G175" s="311">
        <v>1200</v>
      </c>
      <c r="H175" s="311">
        <f t="shared" si="295"/>
        <v>1200</v>
      </c>
      <c r="I175" s="311">
        <v>1590</v>
      </c>
      <c r="J175" s="306">
        <f t="shared" ref="J175:J206" si="350">I175*G175</f>
        <v>1908000</v>
      </c>
      <c r="K175" s="311">
        <v>190</v>
      </c>
      <c r="L175" s="312">
        <v>1272</v>
      </c>
      <c r="M175" s="309">
        <f t="shared" si="297"/>
        <v>0.75471698113207553</v>
      </c>
      <c r="N175" s="309">
        <f t="shared" si="266"/>
        <v>0.75471698113207553</v>
      </c>
      <c r="O175" s="309">
        <f t="shared" si="256"/>
        <v>0.75471698113207553</v>
      </c>
      <c r="P175" s="327">
        <f t="shared" si="344"/>
        <v>204900</v>
      </c>
      <c r="Q175" s="306">
        <f t="shared" si="257"/>
        <v>302100</v>
      </c>
      <c r="R175" s="309">
        <f t="shared" si="298"/>
        <v>0.67825223435948356</v>
      </c>
      <c r="S175" s="295">
        <v>1200</v>
      </c>
      <c r="T175" s="295">
        <v>1200</v>
      </c>
      <c r="U175" s="310">
        <v>18.399999999999999</v>
      </c>
      <c r="V175" s="310">
        <v>6.5</v>
      </c>
      <c r="W175" s="387">
        <f t="shared" si="267"/>
        <v>6.5</v>
      </c>
      <c r="X175" s="295">
        <v>21</v>
      </c>
      <c r="Y175" s="387">
        <f t="shared" si="268"/>
        <v>21</v>
      </c>
      <c r="Z175" s="423" t="s">
        <v>413</v>
      </c>
      <c r="AA175" s="325">
        <v>9.82</v>
      </c>
      <c r="AB175" s="325">
        <v>18.22</v>
      </c>
      <c r="AC175" s="295">
        <v>3</v>
      </c>
      <c r="AD175" s="325">
        <f t="shared" si="332"/>
        <v>3.1052631578947367</v>
      </c>
      <c r="AE175" s="295">
        <v>10</v>
      </c>
      <c r="AF175" s="313">
        <f t="shared" si="281"/>
        <v>0.88507743347731438</v>
      </c>
      <c r="AG175" s="313">
        <f t="shared" si="333"/>
        <v>8.6914603967472281</v>
      </c>
      <c r="AH175" s="313">
        <f t="shared" si="334"/>
        <v>16.126110837956666</v>
      </c>
      <c r="AI175" s="308">
        <f t="shared" si="345"/>
        <v>12.478923829061472</v>
      </c>
      <c r="AJ175" s="298" t="s">
        <v>413</v>
      </c>
      <c r="AK175" s="361" t="s">
        <v>413</v>
      </c>
      <c r="AL175" s="298">
        <v>0</v>
      </c>
      <c r="AM175" s="298">
        <v>0</v>
      </c>
      <c r="AN175" s="340">
        <v>0</v>
      </c>
      <c r="AO175" s="298">
        <v>0</v>
      </c>
      <c r="AP175" s="295">
        <f t="shared" ref="AP175:AP206" si="351">AN175*AO175</f>
        <v>0</v>
      </c>
      <c r="AQ175" s="298">
        <v>0</v>
      </c>
      <c r="AR175" s="361" t="s">
        <v>413</v>
      </c>
      <c r="AS175" s="298">
        <v>0</v>
      </c>
      <c r="AT175" s="298" t="s">
        <v>796</v>
      </c>
      <c r="AU175" s="306">
        <f t="shared" si="346"/>
        <v>128.99999999999997</v>
      </c>
      <c r="AV175" s="307">
        <v>21.5</v>
      </c>
      <c r="AW175" s="327">
        <f t="shared" si="336"/>
        <v>128.99999999999997</v>
      </c>
      <c r="AX175" s="306">
        <f t="shared" si="347"/>
        <v>5.6578947368421048E-4</v>
      </c>
      <c r="AY175" s="298">
        <v>530</v>
      </c>
      <c r="AZ175" s="306">
        <f t="shared" ref="AZ175:AZ206" si="352">AX175*AY175</f>
        <v>0.29986842105263156</v>
      </c>
      <c r="BA175" s="267">
        <v>200</v>
      </c>
      <c r="BB175" s="298">
        <v>416</v>
      </c>
      <c r="BC175" s="309">
        <f t="shared" si="337"/>
        <v>1.377027474346243</v>
      </c>
      <c r="BD175" s="313">
        <f t="shared" si="269"/>
        <v>0.11034825544325867</v>
      </c>
      <c r="BE175" s="309">
        <f t="shared" si="338"/>
        <v>2.0302586627623231</v>
      </c>
      <c r="BF175" s="307" t="s">
        <v>413</v>
      </c>
      <c r="BG175" s="311">
        <v>270.10000000000002</v>
      </c>
      <c r="BH175" s="307">
        <f t="shared" si="349"/>
        <v>270.10000000000002</v>
      </c>
      <c r="BI175" s="373">
        <v>0.94430000000000003</v>
      </c>
      <c r="BJ175" s="361">
        <f t="shared" si="258"/>
        <v>0.81399999999999995</v>
      </c>
      <c r="BK175" s="312">
        <f t="shared" si="259"/>
        <v>1</v>
      </c>
      <c r="BL175" s="311">
        <f t="shared" si="348"/>
        <v>207.61512002000001</v>
      </c>
      <c r="BM175" s="309">
        <f t="shared" si="203"/>
        <v>0.68723972201257855</v>
      </c>
      <c r="BN175" s="309">
        <f t="shared" si="343"/>
        <v>1.0132509517813568</v>
      </c>
      <c r="BO175" s="376"/>
      <c r="BP175" s="328">
        <f t="shared" si="272"/>
        <v>4.6806314368251689</v>
      </c>
      <c r="BQ175" s="328">
        <f t="shared" si="260"/>
        <v>0.29986842105263156</v>
      </c>
      <c r="BR175" s="328">
        <f t="shared" si="294"/>
        <v>0</v>
      </c>
      <c r="BS175" s="328">
        <f t="shared" si="273"/>
        <v>0.78722053957914506</v>
      </c>
      <c r="BT175" s="328">
        <f t="shared" si="274"/>
        <v>1.377027474346243</v>
      </c>
      <c r="BU175" s="376"/>
      <c r="BV175" s="328">
        <f t="shared" si="261"/>
        <v>0.5</v>
      </c>
      <c r="BW175" s="328">
        <f t="shared" si="262"/>
        <v>0.94339622641509435</v>
      </c>
      <c r="BX175" s="373">
        <f t="shared" si="275"/>
        <v>0.59720124847210421</v>
      </c>
      <c r="BY175" s="311">
        <f t="shared" si="263"/>
        <v>124165.79886536907</v>
      </c>
      <c r="BZ175" s="311">
        <f t="shared" si="264"/>
        <v>260899.91999999993</v>
      </c>
      <c r="CA175" s="311">
        <f t="shared" si="276"/>
        <v>170749.43481538218</v>
      </c>
      <c r="CB175" s="307">
        <f t="shared" si="277"/>
        <v>170.74943481538219</v>
      </c>
      <c r="CC175" s="309">
        <f t="shared" si="278"/>
        <v>0.5652083244468129</v>
      </c>
      <c r="CD175" s="379">
        <f t="shared" si="265"/>
        <v>1.2159051667988112</v>
      </c>
    </row>
    <row r="176" spans="1:82" x14ac:dyDescent="0.25">
      <c r="A176" s="305">
        <v>168</v>
      </c>
      <c r="B176" s="298" t="s">
        <v>12</v>
      </c>
      <c r="C176" s="298">
        <v>5</v>
      </c>
      <c r="D176" s="361" t="s">
        <v>597</v>
      </c>
      <c r="E176" s="361" t="s">
        <v>668</v>
      </c>
      <c r="F176" s="298" t="s">
        <v>484</v>
      </c>
      <c r="G176" s="311">
        <v>1200</v>
      </c>
      <c r="H176" s="311">
        <f t="shared" ref="H176:H207" si="353">IF(F176="Cantilever",G176,0.5*G176)</f>
        <v>1200</v>
      </c>
      <c r="I176" s="311">
        <v>1590</v>
      </c>
      <c r="J176" s="306">
        <f t="shared" si="350"/>
        <v>1908000</v>
      </c>
      <c r="K176" s="311">
        <v>190</v>
      </c>
      <c r="L176" s="312">
        <v>1272</v>
      </c>
      <c r="M176" s="309">
        <f t="shared" ref="M176:M207" si="354">G176/I176</f>
        <v>0.75471698113207553</v>
      </c>
      <c r="N176" s="309">
        <f t="shared" si="266"/>
        <v>0.75471698113207553</v>
      </c>
      <c r="O176" s="309">
        <f t="shared" si="256"/>
        <v>0.75471698113207553</v>
      </c>
      <c r="P176" s="327">
        <f t="shared" si="344"/>
        <v>204900</v>
      </c>
      <c r="Q176" s="306">
        <f t="shared" si="257"/>
        <v>302100</v>
      </c>
      <c r="R176" s="309">
        <f t="shared" ref="R176:R207" si="355">P176/Q176</f>
        <v>0.67825223435948356</v>
      </c>
      <c r="S176" s="295">
        <v>1200</v>
      </c>
      <c r="T176" s="295">
        <v>1200</v>
      </c>
      <c r="U176" s="310">
        <v>18.399999999999999</v>
      </c>
      <c r="V176" s="310">
        <v>4.3</v>
      </c>
      <c r="W176" s="387">
        <f t="shared" si="267"/>
        <v>4.3</v>
      </c>
      <c r="X176" s="295">
        <v>20</v>
      </c>
      <c r="Y176" s="387">
        <f t="shared" si="268"/>
        <v>20</v>
      </c>
      <c r="Z176" s="423" t="s">
        <v>413</v>
      </c>
      <c r="AA176" s="325">
        <v>9.82</v>
      </c>
      <c r="AB176" s="325">
        <v>18.22</v>
      </c>
      <c r="AC176" s="295">
        <v>3</v>
      </c>
      <c r="AD176" s="325">
        <f t="shared" si="332"/>
        <v>3.1052631578947367</v>
      </c>
      <c r="AE176" s="295">
        <v>10</v>
      </c>
      <c r="AF176" s="313">
        <f t="shared" si="281"/>
        <v>0.88507743347731438</v>
      </c>
      <c r="AG176" s="313">
        <f t="shared" si="333"/>
        <v>8.6914603967472281</v>
      </c>
      <c r="AH176" s="313">
        <f t="shared" si="334"/>
        <v>16.126110837956666</v>
      </c>
      <c r="AI176" s="308">
        <f t="shared" si="345"/>
        <v>12.478923829061472</v>
      </c>
      <c r="AJ176" s="298" t="s">
        <v>413</v>
      </c>
      <c r="AK176" s="361" t="s">
        <v>413</v>
      </c>
      <c r="AL176" s="298">
        <v>0</v>
      </c>
      <c r="AM176" s="298">
        <v>0</v>
      </c>
      <c r="AN176" s="340">
        <v>0</v>
      </c>
      <c r="AO176" s="298">
        <v>0</v>
      </c>
      <c r="AP176" s="295">
        <f t="shared" si="351"/>
        <v>0</v>
      </c>
      <c r="AQ176" s="298">
        <v>0</v>
      </c>
      <c r="AR176" s="361" t="s">
        <v>413</v>
      </c>
      <c r="AS176" s="298">
        <v>0</v>
      </c>
      <c r="AT176" s="361" t="s">
        <v>796</v>
      </c>
      <c r="AU176" s="306">
        <f t="shared" si="346"/>
        <v>128.99999999999997</v>
      </c>
      <c r="AV176" s="307">
        <v>21.5</v>
      </c>
      <c r="AW176" s="327">
        <f t="shared" si="336"/>
        <v>128.99999999999997</v>
      </c>
      <c r="AX176" s="306">
        <f t="shared" si="347"/>
        <v>5.6578947368421048E-4</v>
      </c>
      <c r="AY176" s="298">
        <v>530</v>
      </c>
      <c r="AZ176" s="306">
        <f t="shared" si="352"/>
        <v>0.29986842105263156</v>
      </c>
      <c r="BA176" s="267">
        <v>200</v>
      </c>
      <c r="BB176" s="298">
        <v>416</v>
      </c>
      <c r="BC176" s="309">
        <f t="shared" si="337"/>
        <v>1.377027474346243</v>
      </c>
      <c r="BD176" s="313">
        <f t="shared" si="269"/>
        <v>0.11034825544325867</v>
      </c>
      <c r="BE176" s="309">
        <f t="shared" si="338"/>
        <v>2.0302586627623231</v>
      </c>
      <c r="BF176" s="307" t="s">
        <v>413</v>
      </c>
      <c r="BG176" s="311">
        <v>261.10000000000002</v>
      </c>
      <c r="BH176" s="307">
        <f t="shared" si="349"/>
        <v>261.10000000000002</v>
      </c>
      <c r="BI176" s="373">
        <v>0.94430000000000003</v>
      </c>
      <c r="BJ176" s="361">
        <f t="shared" si="258"/>
        <v>0.81399999999999995</v>
      </c>
      <c r="BK176" s="312">
        <f t="shared" si="259"/>
        <v>1</v>
      </c>
      <c r="BL176" s="311">
        <f t="shared" si="348"/>
        <v>200.69717822000001</v>
      </c>
      <c r="BM176" s="309">
        <f t="shared" ref="BM176:BM239" si="356">BL176/(K176*I176)*1000</f>
        <v>0.66434021257861642</v>
      </c>
      <c r="BN176" s="309">
        <f t="shared" si="343"/>
        <v>0.9794884246949731</v>
      </c>
      <c r="BO176" s="376"/>
      <c r="BP176" s="328">
        <f t="shared" si="272"/>
        <v>4.6806314368251689</v>
      </c>
      <c r="BQ176" s="328">
        <f t="shared" si="260"/>
        <v>0.29986842105263156</v>
      </c>
      <c r="BR176" s="328">
        <f t="shared" si="294"/>
        <v>0</v>
      </c>
      <c r="BS176" s="328">
        <f t="shared" si="273"/>
        <v>0.78722053957914506</v>
      </c>
      <c r="BT176" s="328">
        <f t="shared" si="274"/>
        <v>1.377027474346243</v>
      </c>
      <c r="BU176" s="376"/>
      <c r="BV176" s="328">
        <f t="shared" si="261"/>
        <v>0.5</v>
      </c>
      <c r="BW176" s="328">
        <f t="shared" si="262"/>
        <v>0.94339622641509435</v>
      </c>
      <c r="BX176" s="373">
        <f t="shared" si="275"/>
        <v>0.59720124847210421</v>
      </c>
      <c r="BY176" s="311">
        <f t="shared" si="263"/>
        <v>124165.79886536907</v>
      </c>
      <c r="BZ176" s="311">
        <f t="shared" si="264"/>
        <v>260899.91999999993</v>
      </c>
      <c r="CA176" s="311">
        <f t="shared" si="276"/>
        <v>170749.43481538218</v>
      </c>
      <c r="CB176" s="307">
        <f t="shared" si="277"/>
        <v>170.74943481538219</v>
      </c>
      <c r="CC176" s="309">
        <f t="shared" si="278"/>
        <v>0.5652083244468129</v>
      </c>
      <c r="CD176" s="379">
        <f t="shared" si="265"/>
        <v>1.1753900001894468</v>
      </c>
    </row>
    <row r="177" spans="1:82" x14ac:dyDescent="0.25">
      <c r="A177" s="305">
        <v>169</v>
      </c>
      <c r="B177" s="298" t="s">
        <v>12</v>
      </c>
      <c r="C177" s="298">
        <v>6</v>
      </c>
      <c r="D177" s="361" t="s">
        <v>597</v>
      </c>
      <c r="E177" s="361" t="s">
        <v>668</v>
      </c>
      <c r="F177" s="298" t="s">
        <v>484</v>
      </c>
      <c r="G177" s="311">
        <v>1200</v>
      </c>
      <c r="H177" s="311">
        <f t="shared" si="353"/>
        <v>1200</v>
      </c>
      <c r="I177" s="311">
        <v>1590</v>
      </c>
      <c r="J177" s="306">
        <f t="shared" si="350"/>
        <v>1908000</v>
      </c>
      <c r="K177" s="311">
        <v>190</v>
      </c>
      <c r="L177" s="312">
        <v>1272</v>
      </c>
      <c r="M177" s="309">
        <f t="shared" si="354"/>
        <v>0.75471698113207553</v>
      </c>
      <c r="N177" s="309">
        <f t="shared" si="266"/>
        <v>0.75471698113207553</v>
      </c>
      <c r="O177" s="309">
        <f t="shared" si="256"/>
        <v>0.75471698113207553</v>
      </c>
      <c r="P177" s="327">
        <f t="shared" si="344"/>
        <v>204900</v>
      </c>
      <c r="Q177" s="306">
        <f t="shared" si="257"/>
        <v>302100</v>
      </c>
      <c r="R177" s="309">
        <f t="shared" si="355"/>
        <v>0.67825223435948356</v>
      </c>
      <c r="S177" s="295">
        <v>1200</v>
      </c>
      <c r="T177" s="295">
        <v>1200</v>
      </c>
      <c r="U177" s="310">
        <v>18.399999999999999</v>
      </c>
      <c r="V177" s="310">
        <v>4.3</v>
      </c>
      <c r="W177" s="387">
        <f t="shared" si="267"/>
        <v>4.3</v>
      </c>
      <c r="X177" s="295">
        <v>20</v>
      </c>
      <c r="Y177" s="387">
        <f t="shared" si="268"/>
        <v>20</v>
      </c>
      <c r="Z177" s="423" t="s">
        <v>413</v>
      </c>
      <c r="AA177" s="325">
        <v>9.82</v>
      </c>
      <c r="AB177" s="325">
        <v>18.22</v>
      </c>
      <c r="AC177" s="295">
        <v>3</v>
      </c>
      <c r="AD177" s="325">
        <f t="shared" si="332"/>
        <v>3.1052631578947367</v>
      </c>
      <c r="AE177" s="295">
        <v>10</v>
      </c>
      <c r="AF177" s="313">
        <f t="shared" si="281"/>
        <v>0.88507743347731438</v>
      </c>
      <c r="AG177" s="313">
        <f t="shared" si="333"/>
        <v>8.6914603967472281</v>
      </c>
      <c r="AH177" s="313">
        <f t="shared" si="334"/>
        <v>16.126110837956666</v>
      </c>
      <c r="AI177" s="308">
        <f t="shared" si="345"/>
        <v>12.478923829061472</v>
      </c>
      <c r="AJ177" s="298" t="s">
        <v>413</v>
      </c>
      <c r="AK177" s="361" t="s">
        <v>413</v>
      </c>
      <c r="AL177" s="298">
        <v>0</v>
      </c>
      <c r="AM177" s="298">
        <v>0</v>
      </c>
      <c r="AN177" s="340">
        <v>0</v>
      </c>
      <c r="AO177" s="298">
        <v>0</v>
      </c>
      <c r="AP177" s="295">
        <f t="shared" si="351"/>
        <v>0</v>
      </c>
      <c r="AQ177" s="298">
        <v>0</v>
      </c>
      <c r="AR177" s="361" t="s">
        <v>413</v>
      </c>
      <c r="AS177" s="298">
        <v>0</v>
      </c>
      <c r="AT177" s="361" t="s">
        <v>796</v>
      </c>
      <c r="AU177" s="306">
        <f t="shared" si="346"/>
        <v>128.99999999999997</v>
      </c>
      <c r="AV177" s="307">
        <v>21.5</v>
      </c>
      <c r="AW177" s="327">
        <f t="shared" si="336"/>
        <v>128.99999999999997</v>
      </c>
      <c r="AX177" s="306">
        <f t="shared" si="347"/>
        <v>5.6578947368421048E-4</v>
      </c>
      <c r="AY177" s="298">
        <v>530</v>
      </c>
      <c r="AZ177" s="306">
        <f t="shared" si="352"/>
        <v>0.29986842105263156</v>
      </c>
      <c r="BA177" s="267">
        <v>200</v>
      </c>
      <c r="BB177" s="298">
        <v>416</v>
      </c>
      <c r="BC177" s="309">
        <f t="shared" si="337"/>
        <v>1.377027474346243</v>
      </c>
      <c r="BD177" s="313">
        <f t="shared" si="269"/>
        <v>0.11034825544325867</v>
      </c>
      <c r="BE177" s="309">
        <f t="shared" si="338"/>
        <v>2.0302586627623231</v>
      </c>
      <c r="BF177" s="307" t="s">
        <v>413</v>
      </c>
      <c r="BG177" s="311">
        <v>272.2</v>
      </c>
      <c r="BH177" s="307">
        <f t="shared" si="349"/>
        <v>272.2</v>
      </c>
      <c r="BI177" s="373">
        <v>0.94430000000000003</v>
      </c>
      <c r="BJ177" s="361">
        <f t="shared" si="258"/>
        <v>0.81399999999999995</v>
      </c>
      <c r="BK177" s="312">
        <f t="shared" si="259"/>
        <v>1</v>
      </c>
      <c r="BL177" s="311">
        <f t="shared" si="348"/>
        <v>209.22930643999999</v>
      </c>
      <c r="BM177" s="309">
        <f t="shared" si="356"/>
        <v>0.6925829408805031</v>
      </c>
      <c r="BN177" s="309">
        <f t="shared" si="343"/>
        <v>1.0211288747681797</v>
      </c>
      <c r="BO177" s="376"/>
      <c r="BP177" s="328">
        <f t="shared" si="272"/>
        <v>4.6806314368251689</v>
      </c>
      <c r="BQ177" s="328">
        <f t="shared" si="260"/>
        <v>0.29986842105263156</v>
      </c>
      <c r="BR177" s="328">
        <f t="shared" si="294"/>
        <v>0</v>
      </c>
      <c r="BS177" s="328">
        <f t="shared" si="273"/>
        <v>0.78722053957914506</v>
      </c>
      <c r="BT177" s="328">
        <f t="shared" si="274"/>
        <v>1.377027474346243</v>
      </c>
      <c r="BU177" s="376"/>
      <c r="BV177" s="328">
        <f t="shared" si="261"/>
        <v>0.5</v>
      </c>
      <c r="BW177" s="328">
        <f t="shared" si="262"/>
        <v>0.94339622641509435</v>
      </c>
      <c r="BX177" s="373">
        <f t="shared" si="275"/>
        <v>0.59720124847210421</v>
      </c>
      <c r="BY177" s="311">
        <f t="shared" si="263"/>
        <v>124165.79886536907</v>
      </c>
      <c r="BZ177" s="311">
        <f t="shared" si="264"/>
        <v>260899.91999999993</v>
      </c>
      <c r="CA177" s="311">
        <f t="shared" si="276"/>
        <v>170749.43481538218</v>
      </c>
      <c r="CB177" s="307">
        <f t="shared" si="277"/>
        <v>170.74943481538219</v>
      </c>
      <c r="CC177" s="309">
        <f t="shared" si="278"/>
        <v>0.5652083244468129</v>
      </c>
      <c r="CD177" s="379">
        <f t="shared" si="265"/>
        <v>1.2253587056743294</v>
      </c>
    </row>
    <row r="178" spans="1:82" x14ac:dyDescent="0.25">
      <c r="A178" s="305">
        <v>170</v>
      </c>
      <c r="B178" s="298" t="s">
        <v>12</v>
      </c>
      <c r="C178" s="298">
        <v>7</v>
      </c>
      <c r="D178" s="361" t="s">
        <v>597</v>
      </c>
      <c r="E178" s="361" t="s">
        <v>668</v>
      </c>
      <c r="F178" s="298" t="s">
        <v>484</v>
      </c>
      <c r="G178" s="311">
        <v>1200</v>
      </c>
      <c r="H178" s="311">
        <f t="shared" si="353"/>
        <v>1200</v>
      </c>
      <c r="I178" s="311">
        <v>1590</v>
      </c>
      <c r="J178" s="306">
        <f t="shared" si="350"/>
        <v>1908000</v>
      </c>
      <c r="K178" s="311">
        <v>190</v>
      </c>
      <c r="L178" s="312">
        <v>1272</v>
      </c>
      <c r="M178" s="309">
        <f t="shared" si="354"/>
        <v>0.75471698113207553</v>
      </c>
      <c r="N178" s="309">
        <f t="shared" si="266"/>
        <v>0.75471698113207553</v>
      </c>
      <c r="O178" s="309">
        <f t="shared" si="256"/>
        <v>0.75471698113207553</v>
      </c>
      <c r="P178" s="327">
        <f t="shared" si="344"/>
        <v>204900</v>
      </c>
      <c r="Q178" s="306">
        <f t="shared" si="257"/>
        <v>302100</v>
      </c>
      <c r="R178" s="309">
        <f t="shared" si="355"/>
        <v>0.67825223435948356</v>
      </c>
      <c r="S178" s="295">
        <v>1200</v>
      </c>
      <c r="T178" s="295">
        <v>1200</v>
      </c>
      <c r="U178" s="310">
        <v>18.399999999999999</v>
      </c>
      <c r="V178" s="310">
        <v>6.5</v>
      </c>
      <c r="W178" s="387">
        <f t="shared" si="267"/>
        <v>6.5</v>
      </c>
      <c r="X178" s="295">
        <v>21</v>
      </c>
      <c r="Y178" s="387">
        <f t="shared" si="268"/>
        <v>21</v>
      </c>
      <c r="Z178" s="423" t="s">
        <v>413</v>
      </c>
      <c r="AA178" s="325">
        <v>9.82</v>
      </c>
      <c r="AB178" s="325">
        <v>18.22</v>
      </c>
      <c r="AC178" s="295">
        <v>3</v>
      </c>
      <c r="AD178" s="325">
        <f t="shared" si="332"/>
        <v>3.1052631578947367</v>
      </c>
      <c r="AE178" s="295">
        <v>10</v>
      </c>
      <c r="AF178" s="313">
        <f t="shared" si="281"/>
        <v>0.88507743347731438</v>
      </c>
      <c r="AG178" s="313">
        <f t="shared" si="333"/>
        <v>8.6914603967472281</v>
      </c>
      <c r="AH178" s="313">
        <f t="shared" si="334"/>
        <v>16.126110837956666</v>
      </c>
      <c r="AI178" s="308">
        <f t="shared" si="345"/>
        <v>12.478923829061472</v>
      </c>
      <c r="AJ178" s="298" t="s">
        <v>413</v>
      </c>
      <c r="AK178" s="361" t="s">
        <v>413</v>
      </c>
      <c r="AL178" s="298">
        <v>0</v>
      </c>
      <c r="AM178" s="298">
        <v>0</v>
      </c>
      <c r="AN178" s="340">
        <v>0</v>
      </c>
      <c r="AO178" s="298">
        <v>0</v>
      </c>
      <c r="AP178" s="295">
        <f t="shared" si="351"/>
        <v>0</v>
      </c>
      <c r="AQ178" s="298">
        <v>0</v>
      </c>
      <c r="AR178" s="361" t="s">
        <v>413</v>
      </c>
      <c r="AS178" s="298">
        <v>0</v>
      </c>
      <c r="AT178" s="361" t="s">
        <v>797</v>
      </c>
      <c r="AU178" s="306">
        <f t="shared" si="346"/>
        <v>226.20000000000005</v>
      </c>
      <c r="AV178" s="307">
        <v>37.700000000000003</v>
      </c>
      <c r="AW178" s="327">
        <f t="shared" si="336"/>
        <v>226.20000000000005</v>
      </c>
      <c r="AX178" s="306">
        <f t="shared" si="347"/>
        <v>9.9210526315789485E-4</v>
      </c>
      <c r="AY178" s="298">
        <v>560</v>
      </c>
      <c r="AZ178" s="306">
        <f t="shared" si="352"/>
        <v>0.55557894736842117</v>
      </c>
      <c r="BA178" s="267">
        <v>200</v>
      </c>
      <c r="BB178" s="298">
        <v>416</v>
      </c>
      <c r="BC178" s="309">
        <f t="shared" si="337"/>
        <v>1.377027474346243</v>
      </c>
      <c r="BD178" s="313">
        <f t="shared" si="269"/>
        <v>0.11034825544325867</v>
      </c>
      <c r="BE178" s="309">
        <f t="shared" si="338"/>
        <v>2.0302586627623231</v>
      </c>
      <c r="BF178" s="307" t="s">
        <v>413</v>
      </c>
      <c r="BG178" s="311">
        <v>257.39999999999998</v>
      </c>
      <c r="BH178" s="307">
        <f t="shared" si="349"/>
        <v>257.39999999999998</v>
      </c>
      <c r="BI178" s="373">
        <v>0.94430000000000003</v>
      </c>
      <c r="BJ178" s="361">
        <f t="shared" si="258"/>
        <v>0.81399999999999995</v>
      </c>
      <c r="BK178" s="312">
        <f t="shared" si="259"/>
        <v>1</v>
      </c>
      <c r="BL178" s="311">
        <f t="shared" si="348"/>
        <v>197.85313547999996</v>
      </c>
      <c r="BM178" s="309">
        <f t="shared" si="356"/>
        <v>0.65492596981132067</v>
      </c>
      <c r="BN178" s="309">
        <f t="shared" si="343"/>
        <v>0.96560827467057087</v>
      </c>
      <c r="BO178" s="376"/>
      <c r="BP178" s="328">
        <f t="shared" si="272"/>
        <v>4.6806314368251689</v>
      </c>
      <c r="BQ178" s="328">
        <f t="shared" si="260"/>
        <v>0.55557894736842117</v>
      </c>
      <c r="BR178" s="328">
        <f t="shared" si="294"/>
        <v>0</v>
      </c>
      <c r="BS178" s="328">
        <f t="shared" si="273"/>
        <v>1.0715290280576306</v>
      </c>
      <c r="BT178" s="328">
        <f t="shared" si="274"/>
        <v>1.377027474346243</v>
      </c>
      <c r="BU178" s="376"/>
      <c r="BV178" s="328">
        <f t="shared" si="261"/>
        <v>0.5</v>
      </c>
      <c r="BW178" s="328">
        <f t="shared" si="262"/>
        <v>0.94339622641509435</v>
      </c>
      <c r="BX178" s="373">
        <f t="shared" si="275"/>
        <v>0.59720124847210421</v>
      </c>
      <c r="BY178" s="311">
        <f t="shared" si="263"/>
        <v>124165.79886536907</v>
      </c>
      <c r="BZ178" s="311">
        <f t="shared" si="264"/>
        <v>483380.35200000013</v>
      </c>
      <c r="CA178" s="311">
        <f t="shared" si="276"/>
        <v>170749.43481538218</v>
      </c>
      <c r="CB178" s="307">
        <f t="shared" si="277"/>
        <v>170.74943481538219</v>
      </c>
      <c r="CC178" s="309">
        <f t="shared" si="278"/>
        <v>0.5652083244468129</v>
      </c>
      <c r="CD178" s="379">
        <f t="shared" si="265"/>
        <v>1.1587337650278191</v>
      </c>
    </row>
    <row r="179" spans="1:82" x14ac:dyDescent="0.25">
      <c r="A179" s="305">
        <v>171</v>
      </c>
      <c r="B179" s="298" t="s">
        <v>12</v>
      </c>
      <c r="C179" s="298">
        <v>8</v>
      </c>
      <c r="D179" s="361" t="s">
        <v>597</v>
      </c>
      <c r="E179" s="361" t="s">
        <v>668</v>
      </c>
      <c r="F179" s="298" t="s">
        <v>484</v>
      </c>
      <c r="G179" s="311">
        <v>1200</v>
      </c>
      <c r="H179" s="311">
        <f t="shared" si="353"/>
        <v>1200</v>
      </c>
      <c r="I179" s="311">
        <v>1590</v>
      </c>
      <c r="J179" s="306">
        <f t="shared" si="350"/>
        <v>1908000</v>
      </c>
      <c r="K179" s="311">
        <v>190</v>
      </c>
      <c r="L179" s="312">
        <v>1272</v>
      </c>
      <c r="M179" s="309">
        <f t="shared" si="354"/>
        <v>0.75471698113207553</v>
      </c>
      <c r="N179" s="309">
        <f t="shared" si="266"/>
        <v>0.75471698113207553</v>
      </c>
      <c r="O179" s="309">
        <f t="shared" si="256"/>
        <v>0.75471698113207553</v>
      </c>
      <c r="P179" s="327">
        <f t="shared" si="344"/>
        <v>204900</v>
      </c>
      <c r="Q179" s="306">
        <f t="shared" si="257"/>
        <v>302100</v>
      </c>
      <c r="R179" s="309">
        <f t="shared" si="355"/>
        <v>0.67825223435948356</v>
      </c>
      <c r="S179" s="295">
        <v>1200</v>
      </c>
      <c r="T179" s="295">
        <v>1200</v>
      </c>
      <c r="U179" s="310">
        <v>18.399999999999999</v>
      </c>
      <c r="V179" s="310">
        <v>6.5</v>
      </c>
      <c r="W179" s="387">
        <f t="shared" si="267"/>
        <v>6.5</v>
      </c>
      <c r="X179" s="295">
        <v>21</v>
      </c>
      <c r="Y179" s="387">
        <f t="shared" si="268"/>
        <v>21</v>
      </c>
      <c r="Z179" s="423" t="s">
        <v>413</v>
      </c>
      <c r="AA179" s="325">
        <v>9.82</v>
      </c>
      <c r="AB179" s="325">
        <v>18.22</v>
      </c>
      <c r="AC179" s="295">
        <v>3</v>
      </c>
      <c r="AD179" s="325">
        <f t="shared" si="332"/>
        <v>3.1052631578947367</v>
      </c>
      <c r="AE179" s="295">
        <v>10</v>
      </c>
      <c r="AF179" s="313">
        <f t="shared" si="281"/>
        <v>0.88507743347731438</v>
      </c>
      <c r="AG179" s="313">
        <f t="shared" si="333"/>
        <v>8.6914603967472281</v>
      </c>
      <c r="AH179" s="313">
        <f t="shared" si="334"/>
        <v>16.126110837956666</v>
      </c>
      <c r="AI179" s="308">
        <f t="shared" si="345"/>
        <v>12.478923829061472</v>
      </c>
      <c r="AJ179" s="298" t="s">
        <v>413</v>
      </c>
      <c r="AK179" s="361" t="s">
        <v>413</v>
      </c>
      <c r="AL179" s="298">
        <v>0</v>
      </c>
      <c r="AM179" s="298">
        <v>0</v>
      </c>
      <c r="AN179" s="340">
        <v>0</v>
      </c>
      <c r="AO179" s="298">
        <v>0</v>
      </c>
      <c r="AP179" s="295">
        <f t="shared" si="351"/>
        <v>0</v>
      </c>
      <c r="AQ179" s="298">
        <v>0</v>
      </c>
      <c r="AR179" s="361" t="s">
        <v>413</v>
      </c>
      <c r="AS179" s="298">
        <v>0</v>
      </c>
      <c r="AT179" s="361" t="s">
        <v>797</v>
      </c>
      <c r="AU179" s="306">
        <f t="shared" si="346"/>
        <v>226.20000000000005</v>
      </c>
      <c r="AV179" s="307">
        <v>37.700000000000003</v>
      </c>
      <c r="AW179" s="327">
        <f t="shared" si="336"/>
        <v>226.20000000000005</v>
      </c>
      <c r="AX179" s="306">
        <f t="shared" si="347"/>
        <v>9.9210526315789485E-4</v>
      </c>
      <c r="AY179" s="298">
        <v>560</v>
      </c>
      <c r="AZ179" s="306">
        <f t="shared" si="352"/>
        <v>0.55557894736842117</v>
      </c>
      <c r="BA179" s="267">
        <v>200</v>
      </c>
      <c r="BB179" s="298">
        <v>416</v>
      </c>
      <c r="BC179" s="309">
        <f t="shared" si="337"/>
        <v>1.377027474346243</v>
      </c>
      <c r="BD179" s="313">
        <f t="shared" si="269"/>
        <v>0.11034825544325867</v>
      </c>
      <c r="BE179" s="309">
        <f t="shared" si="338"/>
        <v>2.0302586627623231</v>
      </c>
      <c r="BF179" s="307" t="s">
        <v>413</v>
      </c>
      <c r="BG179" s="311">
        <v>265.89999999999998</v>
      </c>
      <c r="BH179" s="307">
        <f t="shared" si="349"/>
        <v>265.89999999999998</v>
      </c>
      <c r="BI179" s="373">
        <v>0.94430000000000003</v>
      </c>
      <c r="BJ179" s="361">
        <f t="shared" si="258"/>
        <v>0.81399999999999995</v>
      </c>
      <c r="BK179" s="312">
        <f t="shared" si="259"/>
        <v>1</v>
      </c>
      <c r="BL179" s="311">
        <f t="shared" si="348"/>
        <v>204.38674717999996</v>
      </c>
      <c r="BM179" s="309">
        <f t="shared" si="356"/>
        <v>0.67655328427672945</v>
      </c>
      <c r="BN179" s="309">
        <f t="shared" si="343"/>
        <v>0.99749510580771084</v>
      </c>
      <c r="BO179" s="376"/>
      <c r="BP179" s="328">
        <f t="shared" si="272"/>
        <v>4.6806314368251689</v>
      </c>
      <c r="BQ179" s="328">
        <f t="shared" si="260"/>
        <v>0.55557894736842117</v>
      </c>
      <c r="BR179" s="328">
        <f t="shared" si="294"/>
        <v>0</v>
      </c>
      <c r="BS179" s="328">
        <f t="shared" si="273"/>
        <v>1.0715290280576306</v>
      </c>
      <c r="BT179" s="328">
        <f t="shared" si="274"/>
        <v>1.377027474346243</v>
      </c>
      <c r="BU179" s="376"/>
      <c r="BV179" s="328">
        <f t="shared" si="261"/>
        <v>0.5</v>
      </c>
      <c r="BW179" s="328">
        <f t="shared" si="262"/>
        <v>0.94339622641509435</v>
      </c>
      <c r="BX179" s="373">
        <f t="shared" si="275"/>
        <v>0.59720124847210421</v>
      </c>
      <c r="BY179" s="311">
        <f t="shared" si="263"/>
        <v>124165.79886536907</v>
      </c>
      <c r="BZ179" s="311">
        <f t="shared" si="264"/>
        <v>483380.35200000013</v>
      </c>
      <c r="CA179" s="311">
        <f t="shared" si="276"/>
        <v>170749.43481538218</v>
      </c>
      <c r="CB179" s="307">
        <f t="shared" si="277"/>
        <v>170.74943481538219</v>
      </c>
      <c r="CC179" s="309">
        <f t="shared" si="278"/>
        <v>0.5652083244468129</v>
      </c>
      <c r="CD179" s="379">
        <f t="shared" si="265"/>
        <v>1.1969980890477743</v>
      </c>
    </row>
    <row r="180" spans="1:82" x14ac:dyDescent="0.25">
      <c r="A180" s="305">
        <v>172</v>
      </c>
      <c r="B180" s="298" t="s">
        <v>12</v>
      </c>
      <c r="C180" s="298">
        <v>9</v>
      </c>
      <c r="D180" s="361" t="s">
        <v>597</v>
      </c>
      <c r="E180" s="361" t="s">
        <v>668</v>
      </c>
      <c r="F180" s="298" t="s">
        <v>484</v>
      </c>
      <c r="G180" s="311">
        <v>1200</v>
      </c>
      <c r="H180" s="311">
        <f t="shared" si="353"/>
        <v>1200</v>
      </c>
      <c r="I180" s="311">
        <v>1590</v>
      </c>
      <c r="J180" s="306">
        <f t="shared" si="350"/>
        <v>1908000</v>
      </c>
      <c r="K180" s="311">
        <v>190</v>
      </c>
      <c r="L180" s="312">
        <v>1272</v>
      </c>
      <c r="M180" s="309">
        <f t="shared" si="354"/>
        <v>0.75471698113207553</v>
      </c>
      <c r="N180" s="309">
        <f t="shared" si="266"/>
        <v>0.75471698113207553</v>
      </c>
      <c r="O180" s="309">
        <f t="shared" si="256"/>
        <v>0.75471698113207553</v>
      </c>
      <c r="P180" s="327">
        <f t="shared" si="344"/>
        <v>204900</v>
      </c>
      <c r="Q180" s="306">
        <f t="shared" si="257"/>
        <v>302100</v>
      </c>
      <c r="R180" s="309">
        <f t="shared" si="355"/>
        <v>0.67825223435948356</v>
      </c>
      <c r="S180" s="295">
        <v>1200</v>
      </c>
      <c r="T180" s="295">
        <v>1200</v>
      </c>
      <c r="U180" s="310">
        <v>18.399999999999999</v>
      </c>
      <c r="V180" s="310">
        <v>4.3</v>
      </c>
      <c r="W180" s="387">
        <f t="shared" si="267"/>
        <v>4.3</v>
      </c>
      <c r="X180" s="295">
        <v>20</v>
      </c>
      <c r="Y180" s="387">
        <f t="shared" si="268"/>
        <v>20</v>
      </c>
      <c r="Z180" s="423" t="s">
        <v>413</v>
      </c>
      <c r="AA180" s="325">
        <v>9.82</v>
      </c>
      <c r="AB180" s="325">
        <v>18.22</v>
      </c>
      <c r="AC180" s="295">
        <v>3</v>
      </c>
      <c r="AD180" s="325">
        <f t="shared" si="332"/>
        <v>3.1052631578947367</v>
      </c>
      <c r="AE180" s="295">
        <v>10</v>
      </c>
      <c r="AF180" s="313">
        <f t="shared" si="281"/>
        <v>0.88507743347731438</v>
      </c>
      <c r="AG180" s="313">
        <f t="shared" si="333"/>
        <v>8.6914603967472281</v>
      </c>
      <c r="AH180" s="313">
        <f t="shared" si="334"/>
        <v>16.126110837956666</v>
      </c>
      <c r="AI180" s="308">
        <f t="shared" si="345"/>
        <v>12.478923829061472</v>
      </c>
      <c r="AJ180" s="298" t="s">
        <v>413</v>
      </c>
      <c r="AK180" s="361" t="s">
        <v>413</v>
      </c>
      <c r="AL180" s="298">
        <v>0</v>
      </c>
      <c r="AM180" s="298">
        <v>0</v>
      </c>
      <c r="AN180" s="340">
        <v>0</v>
      </c>
      <c r="AO180" s="298">
        <v>0</v>
      </c>
      <c r="AP180" s="295">
        <f t="shared" si="351"/>
        <v>0</v>
      </c>
      <c r="AQ180" s="298">
        <v>0</v>
      </c>
      <c r="AR180" s="361" t="s">
        <v>413</v>
      </c>
      <c r="AS180" s="298">
        <v>0</v>
      </c>
      <c r="AT180" s="361" t="s">
        <v>797</v>
      </c>
      <c r="AU180" s="306">
        <f t="shared" si="346"/>
        <v>226.20000000000005</v>
      </c>
      <c r="AV180" s="307">
        <v>37.700000000000003</v>
      </c>
      <c r="AW180" s="327">
        <f t="shared" si="336"/>
        <v>226.20000000000005</v>
      </c>
      <c r="AX180" s="306">
        <f t="shared" si="347"/>
        <v>9.9210526315789485E-4</v>
      </c>
      <c r="AY180" s="298">
        <v>560</v>
      </c>
      <c r="AZ180" s="306">
        <f t="shared" si="352"/>
        <v>0.55557894736842117</v>
      </c>
      <c r="BA180" s="267">
        <v>200</v>
      </c>
      <c r="BB180" s="298">
        <v>416</v>
      </c>
      <c r="BC180" s="309">
        <f t="shared" si="337"/>
        <v>1.377027474346243</v>
      </c>
      <c r="BD180" s="313">
        <f t="shared" si="269"/>
        <v>0.11034825544325867</v>
      </c>
      <c r="BE180" s="309">
        <f t="shared" si="338"/>
        <v>2.0302586627623231</v>
      </c>
      <c r="BF180" s="307" t="s">
        <v>413</v>
      </c>
      <c r="BG180" s="311">
        <v>259.39999999999998</v>
      </c>
      <c r="BH180" s="307">
        <f t="shared" si="349"/>
        <v>259.39999999999998</v>
      </c>
      <c r="BI180" s="373">
        <v>0.94430000000000003</v>
      </c>
      <c r="BJ180" s="361">
        <f t="shared" si="258"/>
        <v>0.81399999999999995</v>
      </c>
      <c r="BK180" s="312">
        <f t="shared" si="259"/>
        <v>1</v>
      </c>
      <c r="BL180" s="311">
        <f t="shared" si="348"/>
        <v>199.39045587999996</v>
      </c>
      <c r="BM180" s="309">
        <f t="shared" si="356"/>
        <v>0.66001474968553442</v>
      </c>
      <c r="BN180" s="309">
        <f t="shared" si="343"/>
        <v>0.97311105846754498</v>
      </c>
      <c r="BO180" s="376"/>
      <c r="BP180" s="328">
        <f t="shared" si="272"/>
        <v>4.6806314368251689</v>
      </c>
      <c r="BQ180" s="328">
        <f t="shared" si="260"/>
        <v>0.55557894736842117</v>
      </c>
      <c r="BR180" s="328">
        <f t="shared" si="294"/>
        <v>0</v>
      </c>
      <c r="BS180" s="328">
        <f t="shared" si="273"/>
        <v>1.0715290280576306</v>
      </c>
      <c r="BT180" s="328">
        <f t="shared" si="274"/>
        <v>1.377027474346243</v>
      </c>
      <c r="BU180" s="376"/>
      <c r="BV180" s="328">
        <f t="shared" si="261"/>
        <v>0.5</v>
      </c>
      <c r="BW180" s="328">
        <f t="shared" si="262"/>
        <v>0.94339622641509435</v>
      </c>
      <c r="BX180" s="373">
        <f t="shared" si="275"/>
        <v>0.59720124847210421</v>
      </c>
      <c r="BY180" s="311">
        <f t="shared" si="263"/>
        <v>124165.79886536907</v>
      </c>
      <c r="BZ180" s="311">
        <f t="shared" si="264"/>
        <v>483380.35200000013</v>
      </c>
      <c r="CA180" s="311">
        <f t="shared" si="276"/>
        <v>170749.43481538218</v>
      </c>
      <c r="CB180" s="307">
        <f t="shared" si="277"/>
        <v>170.74943481538219</v>
      </c>
      <c r="CC180" s="309">
        <f t="shared" si="278"/>
        <v>0.5652083244468129</v>
      </c>
      <c r="CD180" s="379">
        <f t="shared" si="265"/>
        <v>1.1677371353854555</v>
      </c>
    </row>
    <row r="181" spans="1:82" x14ac:dyDescent="0.25">
      <c r="A181" s="305">
        <v>173</v>
      </c>
      <c r="B181" s="298" t="s">
        <v>12</v>
      </c>
      <c r="C181" s="298">
        <v>10</v>
      </c>
      <c r="D181" s="361" t="s">
        <v>597</v>
      </c>
      <c r="E181" s="361" t="s">
        <v>668</v>
      </c>
      <c r="F181" s="298" t="s">
        <v>484</v>
      </c>
      <c r="G181" s="311">
        <v>1200</v>
      </c>
      <c r="H181" s="311">
        <f t="shared" si="353"/>
        <v>1200</v>
      </c>
      <c r="I181" s="311">
        <v>1590</v>
      </c>
      <c r="J181" s="306">
        <f t="shared" si="350"/>
        <v>1908000</v>
      </c>
      <c r="K181" s="311">
        <v>190</v>
      </c>
      <c r="L181" s="312">
        <v>1272</v>
      </c>
      <c r="M181" s="309">
        <f t="shared" si="354"/>
        <v>0.75471698113207553</v>
      </c>
      <c r="N181" s="309">
        <f t="shared" si="266"/>
        <v>0.75471698113207553</v>
      </c>
      <c r="O181" s="309">
        <f t="shared" si="256"/>
        <v>0.75471698113207553</v>
      </c>
      <c r="P181" s="327">
        <f t="shared" si="344"/>
        <v>204900</v>
      </c>
      <c r="Q181" s="306">
        <f t="shared" si="257"/>
        <v>302100</v>
      </c>
      <c r="R181" s="309">
        <f t="shared" si="355"/>
        <v>0.67825223435948356</v>
      </c>
      <c r="S181" s="295">
        <v>600</v>
      </c>
      <c r="T181" s="295">
        <v>1200</v>
      </c>
      <c r="U181" s="310">
        <v>18.399999999999999</v>
      </c>
      <c r="V181" s="310">
        <v>6.5</v>
      </c>
      <c r="W181" s="387">
        <f t="shared" si="267"/>
        <v>6.5</v>
      </c>
      <c r="X181" s="295">
        <v>23.7</v>
      </c>
      <c r="Y181" s="387">
        <f t="shared" si="268"/>
        <v>23.7</v>
      </c>
      <c r="Z181" s="423" t="s">
        <v>413</v>
      </c>
      <c r="AA181" s="325">
        <v>9.82</v>
      </c>
      <c r="AB181" s="325">
        <v>18.22</v>
      </c>
      <c r="AC181" s="295">
        <v>3</v>
      </c>
      <c r="AD181" s="325">
        <f t="shared" si="332"/>
        <v>3.1052631578947367</v>
      </c>
      <c r="AE181" s="295">
        <v>10</v>
      </c>
      <c r="AF181" s="313">
        <f t="shared" si="281"/>
        <v>0.88507743347731438</v>
      </c>
      <c r="AG181" s="313">
        <f t="shared" si="333"/>
        <v>8.6914603967472281</v>
      </c>
      <c r="AH181" s="313">
        <f t="shared" si="334"/>
        <v>16.126110837956666</v>
      </c>
      <c r="AI181" s="308">
        <f t="shared" si="345"/>
        <v>12.478923829061472</v>
      </c>
      <c r="AJ181" s="298" t="s">
        <v>799</v>
      </c>
      <c r="AK181" s="298" t="s">
        <v>798</v>
      </c>
      <c r="AL181" s="298">
        <v>200</v>
      </c>
      <c r="AM181" s="298">
        <f>4*AL181</f>
        <v>800</v>
      </c>
      <c r="AN181" s="306">
        <f t="shared" ref="AN181:AN186" si="357">AM181/K181/L181</f>
        <v>3.3101621979476992E-3</v>
      </c>
      <c r="AO181" s="298">
        <v>480</v>
      </c>
      <c r="AP181" s="306">
        <f t="shared" ref="AP181:AP186" si="358">AO181/O181/K181</f>
        <v>3.3473684210526318</v>
      </c>
      <c r="AQ181" s="298">
        <v>400</v>
      </c>
      <c r="AR181" s="298" t="s">
        <v>413</v>
      </c>
      <c r="AS181" s="298">
        <v>0</v>
      </c>
      <c r="AT181" s="298" t="s">
        <v>413</v>
      </c>
      <c r="AU181" s="306">
        <f t="shared" si="346"/>
        <v>0</v>
      </c>
      <c r="AV181" s="307">
        <v>0</v>
      </c>
      <c r="AW181" s="327">
        <f t="shared" si="336"/>
        <v>0</v>
      </c>
      <c r="AX181" s="306">
        <f t="shared" si="347"/>
        <v>0</v>
      </c>
      <c r="AY181" s="298">
        <v>0</v>
      </c>
      <c r="AZ181" s="306">
        <f t="shared" si="352"/>
        <v>0</v>
      </c>
      <c r="BA181" s="267">
        <v>0</v>
      </c>
      <c r="BB181" s="298">
        <v>416</v>
      </c>
      <c r="BC181" s="309">
        <f t="shared" si="337"/>
        <v>1.377027474346243</v>
      </c>
      <c r="BD181" s="313">
        <f t="shared" si="269"/>
        <v>0.11034825544325867</v>
      </c>
      <c r="BE181" s="309">
        <f t="shared" si="338"/>
        <v>2.0302586627623231</v>
      </c>
      <c r="BF181" s="307" t="s">
        <v>413</v>
      </c>
      <c r="BG181" s="311">
        <v>275.10000000000002</v>
      </c>
      <c r="BH181" s="307">
        <f t="shared" si="349"/>
        <v>275.10000000000002</v>
      </c>
      <c r="BI181" s="373">
        <v>0.94430000000000003</v>
      </c>
      <c r="BJ181" s="361">
        <f t="shared" si="258"/>
        <v>0.81399999999999995</v>
      </c>
      <c r="BK181" s="312">
        <f t="shared" si="259"/>
        <v>1</v>
      </c>
      <c r="BL181" s="311">
        <f t="shared" si="348"/>
        <v>211.45842102000003</v>
      </c>
      <c r="BM181" s="309">
        <f t="shared" si="356"/>
        <v>0.6999616716981133</v>
      </c>
      <c r="BN181" s="309">
        <f t="shared" si="343"/>
        <v>1.0320079112737923</v>
      </c>
      <c r="BO181" s="376"/>
      <c r="BP181" s="328">
        <f t="shared" si="272"/>
        <v>4.6806314368251689</v>
      </c>
      <c r="BQ181" s="328">
        <f t="shared" si="260"/>
        <v>0</v>
      </c>
      <c r="BR181" s="328">
        <f t="shared" si="294"/>
        <v>0.51244890293212997</v>
      </c>
      <c r="BS181" s="328">
        <f t="shared" si="273"/>
        <v>0</v>
      </c>
      <c r="BT181" s="328">
        <f t="shared" si="274"/>
        <v>1.377027474346243</v>
      </c>
      <c r="BU181" s="376"/>
      <c r="BV181" s="328">
        <f t="shared" si="261"/>
        <v>0.5</v>
      </c>
      <c r="BW181" s="328">
        <f t="shared" si="262"/>
        <v>0.94339622641509435</v>
      </c>
      <c r="BX181" s="373">
        <f t="shared" si="275"/>
        <v>0.59720124847210421</v>
      </c>
      <c r="BY181" s="311">
        <f t="shared" si="263"/>
        <v>124165.79886536907</v>
      </c>
      <c r="BZ181" s="311">
        <f t="shared" si="264"/>
        <v>0</v>
      </c>
      <c r="CA181" s="311">
        <f t="shared" si="276"/>
        <v>170749.43481538218</v>
      </c>
      <c r="CB181" s="307">
        <f t="shared" si="277"/>
        <v>124.16579886536907</v>
      </c>
      <c r="CC181" s="309">
        <f t="shared" si="278"/>
        <v>0.41100893368212205</v>
      </c>
      <c r="CD181" s="379">
        <f t="shared" si="265"/>
        <v>1.7030327429317385</v>
      </c>
    </row>
    <row r="182" spans="1:82" x14ac:dyDescent="0.25">
      <c r="A182" s="305">
        <v>174</v>
      </c>
      <c r="B182" s="298" t="s">
        <v>12</v>
      </c>
      <c r="C182" s="298">
        <v>11</v>
      </c>
      <c r="D182" s="361" t="s">
        <v>597</v>
      </c>
      <c r="E182" s="361" t="s">
        <v>668</v>
      </c>
      <c r="F182" s="298" t="s">
        <v>484</v>
      </c>
      <c r="G182" s="311">
        <v>1200</v>
      </c>
      <c r="H182" s="311">
        <f t="shared" si="353"/>
        <v>1200</v>
      </c>
      <c r="I182" s="311">
        <v>1590</v>
      </c>
      <c r="J182" s="306">
        <f t="shared" si="350"/>
        <v>1908000</v>
      </c>
      <c r="K182" s="311">
        <v>190</v>
      </c>
      <c r="L182" s="312">
        <v>1272</v>
      </c>
      <c r="M182" s="309">
        <f t="shared" si="354"/>
        <v>0.75471698113207553</v>
      </c>
      <c r="N182" s="309">
        <f t="shared" si="266"/>
        <v>0.75471698113207553</v>
      </c>
      <c r="O182" s="309">
        <f t="shared" si="256"/>
        <v>0.75471698113207553</v>
      </c>
      <c r="P182" s="327">
        <f t="shared" si="344"/>
        <v>204900</v>
      </c>
      <c r="Q182" s="306">
        <f t="shared" si="257"/>
        <v>302100</v>
      </c>
      <c r="R182" s="309">
        <f t="shared" si="355"/>
        <v>0.67825223435948356</v>
      </c>
      <c r="S182" s="295">
        <v>600</v>
      </c>
      <c r="T182" s="295">
        <v>1200</v>
      </c>
      <c r="U182" s="310">
        <v>18.399999999999999</v>
      </c>
      <c r="V182" s="310">
        <v>7.3</v>
      </c>
      <c r="W182" s="387">
        <f t="shared" si="267"/>
        <v>7.3</v>
      </c>
      <c r="X182" s="295">
        <v>25.1</v>
      </c>
      <c r="Y182" s="387">
        <f t="shared" si="268"/>
        <v>25.1</v>
      </c>
      <c r="Z182" s="423" t="s">
        <v>413</v>
      </c>
      <c r="AA182" s="325">
        <v>9.82</v>
      </c>
      <c r="AB182" s="325">
        <v>18.22</v>
      </c>
      <c r="AC182" s="295">
        <v>3</v>
      </c>
      <c r="AD182" s="325">
        <f t="shared" si="332"/>
        <v>3.1052631578947367</v>
      </c>
      <c r="AE182" s="295">
        <v>10</v>
      </c>
      <c r="AF182" s="313">
        <f t="shared" si="281"/>
        <v>0.88507743347731438</v>
      </c>
      <c r="AG182" s="313">
        <f t="shared" si="333"/>
        <v>8.6914603967472281</v>
      </c>
      <c r="AH182" s="313">
        <f t="shared" si="334"/>
        <v>16.126110837956666</v>
      </c>
      <c r="AI182" s="308">
        <f t="shared" si="345"/>
        <v>12.478923829061472</v>
      </c>
      <c r="AJ182" s="361" t="s">
        <v>799</v>
      </c>
      <c r="AK182" s="361" t="s">
        <v>798</v>
      </c>
      <c r="AL182" s="361">
        <v>200</v>
      </c>
      <c r="AM182" s="361">
        <f t="shared" ref="AM182:AM186" si="359">4*AL182</f>
        <v>800</v>
      </c>
      <c r="AN182" s="306">
        <f t="shared" si="357"/>
        <v>3.3101621979476992E-3</v>
      </c>
      <c r="AO182" s="361">
        <v>480</v>
      </c>
      <c r="AP182" s="306">
        <f t="shared" si="358"/>
        <v>3.3473684210526318</v>
      </c>
      <c r="AQ182" s="361">
        <v>400</v>
      </c>
      <c r="AR182" s="298" t="s">
        <v>413</v>
      </c>
      <c r="AS182" s="298">
        <v>0</v>
      </c>
      <c r="AT182" s="298" t="s">
        <v>413</v>
      </c>
      <c r="AU182" s="306">
        <f t="shared" si="346"/>
        <v>0</v>
      </c>
      <c r="AV182" s="307">
        <v>0</v>
      </c>
      <c r="AW182" s="327">
        <f t="shared" si="336"/>
        <v>0</v>
      </c>
      <c r="AX182" s="306">
        <f t="shared" si="347"/>
        <v>0</v>
      </c>
      <c r="AY182" s="298">
        <v>0</v>
      </c>
      <c r="AZ182" s="306">
        <f t="shared" si="352"/>
        <v>0</v>
      </c>
      <c r="BA182" s="267">
        <v>0</v>
      </c>
      <c r="BB182" s="298">
        <v>416</v>
      </c>
      <c r="BC182" s="309">
        <f t="shared" si="337"/>
        <v>1.377027474346243</v>
      </c>
      <c r="BD182" s="313">
        <f t="shared" si="269"/>
        <v>0.11034825544325867</v>
      </c>
      <c r="BE182" s="309">
        <f t="shared" si="338"/>
        <v>2.0302586627623231</v>
      </c>
      <c r="BF182" s="307" t="s">
        <v>413</v>
      </c>
      <c r="BG182" s="311">
        <v>281.5</v>
      </c>
      <c r="BH182" s="307">
        <f t="shared" si="349"/>
        <v>281.5</v>
      </c>
      <c r="BI182" s="373">
        <v>0.94430000000000003</v>
      </c>
      <c r="BJ182" s="361">
        <f t="shared" si="258"/>
        <v>0.81399999999999995</v>
      </c>
      <c r="BK182" s="312">
        <f t="shared" si="259"/>
        <v>1</v>
      </c>
      <c r="BL182" s="311">
        <f t="shared" si="348"/>
        <v>216.37784629999999</v>
      </c>
      <c r="BM182" s="309">
        <f t="shared" si="356"/>
        <v>0.71624576729559741</v>
      </c>
      <c r="BN182" s="309">
        <f t="shared" si="343"/>
        <v>1.0560168194241093</v>
      </c>
      <c r="BO182" s="376"/>
      <c r="BP182" s="328">
        <f t="shared" si="272"/>
        <v>4.6806314368251689</v>
      </c>
      <c r="BQ182" s="328">
        <f t="shared" si="260"/>
        <v>0</v>
      </c>
      <c r="BR182" s="328">
        <f t="shared" si="294"/>
        <v>0.5273673705210673</v>
      </c>
      <c r="BS182" s="328">
        <f t="shared" si="273"/>
        <v>0</v>
      </c>
      <c r="BT182" s="328">
        <f t="shared" si="274"/>
        <v>1.377027474346243</v>
      </c>
      <c r="BU182" s="376"/>
      <c r="BV182" s="328">
        <f t="shared" si="261"/>
        <v>0.5</v>
      </c>
      <c r="BW182" s="328">
        <f t="shared" si="262"/>
        <v>0.94339622641509435</v>
      </c>
      <c r="BX182" s="373">
        <f t="shared" si="275"/>
        <v>0.59720124847210421</v>
      </c>
      <c r="BY182" s="311">
        <f t="shared" si="263"/>
        <v>124165.79886536907</v>
      </c>
      <c r="BZ182" s="311">
        <f t="shared" si="264"/>
        <v>0</v>
      </c>
      <c r="CA182" s="311">
        <f t="shared" si="276"/>
        <v>170749.43481538218</v>
      </c>
      <c r="CB182" s="307">
        <f t="shared" si="277"/>
        <v>124.16579886536907</v>
      </c>
      <c r="CC182" s="309">
        <f t="shared" si="278"/>
        <v>0.41100893368212205</v>
      </c>
      <c r="CD182" s="379">
        <f t="shared" si="265"/>
        <v>1.7426525522911098</v>
      </c>
    </row>
    <row r="183" spans="1:82" x14ac:dyDescent="0.25">
      <c r="A183" s="305">
        <v>175</v>
      </c>
      <c r="B183" s="298" t="s">
        <v>12</v>
      </c>
      <c r="C183" s="298">
        <v>12</v>
      </c>
      <c r="D183" s="361" t="s">
        <v>597</v>
      </c>
      <c r="E183" s="361" t="s">
        <v>668</v>
      </c>
      <c r="F183" s="298" t="s">
        <v>484</v>
      </c>
      <c r="G183" s="311">
        <v>1200</v>
      </c>
      <c r="H183" s="311">
        <f t="shared" si="353"/>
        <v>1200</v>
      </c>
      <c r="I183" s="311">
        <v>1590</v>
      </c>
      <c r="J183" s="306">
        <f t="shared" si="350"/>
        <v>1908000</v>
      </c>
      <c r="K183" s="311">
        <v>190</v>
      </c>
      <c r="L183" s="312">
        <v>1272</v>
      </c>
      <c r="M183" s="309">
        <f t="shared" si="354"/>
        <v>0.75471698113207553</v>
      </c>
      <c r="N183" s="309">
        <f t="shared" si="266"/>
        <v>0.75471698113207553</v>
      </c>
      <c r="O183" s="309">
        <f t="shared" si="256"/>
        <v>0.75471698113207553</v>
      </c>
      <c r="P183" s="327">
        <f t="shared" si="344"/>
        <v>204900</v>
      </c>
      <c r="Q183" s="306">
        <f t="shared" si="257"/>
        <v>302100</v>
      </c>
      <c r="R183" s="309">
        <f t="shared" si="355"/>
        <v>0.67825223435948356</v>
      </c>
      <c r="S183" s="295">
        <v>600</v>
      </c>
      <c r="T183" s="295">
        <v>1200</v>
      </c>
      <c r="U183" s="310">
        <v>18.399999999999999</v>
      </c>
      <c r="V183" s="310">
        <v>7.5</v>
      </c>
      <c r="W183" s="387">
        <f t="shared" si="267"/>
        <v>7.5</v>
      </c>
      <c r="X183" s="295">
        <v>21.9</v>
      </c>
      <c r="Y183" s="387">
        <f t="shared" si="268"/>
        <v>21.9</v>
      </c>
      <c r="Z183" s="423" t="s">
        <v>413</v>
      </c>
      <c r="AA183" s="325">
        <v>9.82</v>
      </c>
      <c r="AB183" s="325">
        <v>18.22</v>
      </c>
      <c r="AC183" s="295">
        <v>3</v>
      </c>
      <c r="AD183" s="325">
        <f t="shared" si="332"/>
        <v>3.1052631578947367</v>
      </c>
      <c r="AE183" s="295">
        <v>10</v>
      </c>
      <c r="AF183" s="313">
        <f t="shared" si="281"/>
        <v>0.88507743347731438</v>
      </c>
      <c r="AG183" s="313">
        <f t="shared" si="333"/>
        <v>8.6914603967472281</v>
      </c>
      <c r="AH183" s="313">
        <f t="shared" si="334"/>
        <v>16.126110837956666</v>
      </c>
      <c r="AI183" s="308">
        <f t="shared" si="345"/>
        <v>12.478923829061472</v>
      </c>
      <c r="AJ183" s="361" t="s">
        <v>799</v>
      </c>
      <c r="AK183" s="361" t="s">
        <v>798</v>
      </c>
      <c r="AL183" s="361">
        <v>200</v>
      </c>
      <c r="AM183" s="361">
        <f t="shared" si="359"/>
        <v>800</v>
      </c>
      <c r="AN183" s="306">
        <f t="shared" si="357"/>
        <v>3.3101621979476992E-3</v>
      </c>
      <c r="AO183" s="361">
        <v>480</v>
      </c>
      <c r="AP183" s="306">
        <f t="shared" si="358"/>
        <v>3.3473684210526318</v>
      </c>
      <c r="AQ183" s="361">
        <v>400</v>
      </c>
      <c r="AR183" s="298" t="s">
        <v>413</v>
      </c>
      <c r="AS183" s="298">
        <v>0</v>
      </c>
      <c r="AT183" s="298" t="s">
        <v>413</v>
      </c>
      <c r="AU183" s="306">
        <f t="shared" si="346"/>
        <v>0</v>
      </c>
      <c r="AV183" s="307">
        <v>0</v>
      </c>
      <c r="AW183" s="327">
        <f t="shared" si="336"/>
        <v>0</v>
      </c>
      <c r="AX183" s="306">
        <f t="shared" si="347"/>
        <v>0</v>
      </c>
      <c r="AY183" s="298">
        <v>0</v>
      </c>
      <c r="AZ183" s="306">
        <f t="shared" si="352"/>
        <v>0</v>
      </c>
      <c r="BA183" s="267">
        <v>0</v>
      </c>
      <c r="BB183" s="298">
        <v>416</v>
      </c>
      <c r="BC183" s="309">
        <f t="shared" si="337"/>
        <v>1.377027474346243</v>
      </c>
      <c r="BD183" s="313">
        <f t="shared" si="269"/>
        <v>0.11034825544325867</v>
      </c>
      <c r="BE183" s="309">
        <f t="shared" si="338"/>
        <v>2.0302586627623231</v>
      </c>
      <c r="BF183" s="307" t="s">
        <v>413</v>
      </c>
      <c r="BG183" s="311">
        <v>278.39999999999998</v>
      </c>
      <c r="BH183" s="307">
        <f t="shared" si="349"/>
        <v>278.39999999999998</v>
      </c>
      <c r="BI183" s="373">
        <v>0.94430000000000003</v>
      </c>
      <c r="BJ183" s="361">
        <f t="shared" si="258"/>
        <v>0.81399999999999995</v>
      </c>
      <c r="BK183" s="312">
        <f t="shared" si="259"/>
        <v>1</v>
      </c>
      <c r="BL183" s="311">
        <f t="shared" si="348"/>
        <v>213.99499968000001</v>
      </c>
      <c r="BM183" s="309">
        <f t="shared" si="356"/>
        <v>0.70835815849056605</v>
      </c>
      <c r="BN183" s="309">
        <f t="shared" si="343"/>
        <v>1.0443875045387996</v>
      </c>
      <c r="BO183" s="376"/>
      <c r="BP183" s="328">
        <f t="shared" si="272"/>
        <v>4.6806314368251689</v>
      </c>
      <c r="BQ183" s="328">
        <f t="shared" si="260"/>
        <v>0</v>
      </c>
      <c r="BR183" s="328">
        <f t="shared" si="294"/>
        <v>0.49260458765463533</v>
      </c>
      <c r="BS183" s="328">
        <f t="shared" si="273"/>
        <v>0</v>
      </c>
      <c r="BT183" s="328">
        <f t="shared" si="274"/>
        <v>1.377027474346243</v>
      </c>
      <c r="BU183" s="376"/>
      <c r="BV183" s="328">
        <f t="shared" si="261"/>
        <v>0.5</v>
      </c>
      <c r="BW183" s="328">
        <f t="shared" si="262"/>
        <v>0.94339622641509435</v>
      </c>
      <c r="BX183" s="373">
        <f t="shared" si="275"/>
        <v>0.59720124847210421</v>
      </c>
      <c r="BY183" s="311">
        <f t="shared" si="263"/>
        <v>124165.79886536907</v>
      </c>
      <c r="BZ183" s="311">
        <f t="shared" si="264"/>
        <v>0</v>
      </c>
      <c r="CA183" s="311">
        <f t="shared" si="276"/>
        <v>170749.43481538218</v>
      </c>
      <c r="CB183" s="307">
        <f t="shared" si="277"/>
        <v>124.16579886536907</v>
      </c>
      <c r="CC183" s="309">
        <f t="shared" si="278"/>
        <v>0.41100893368212205</v>
      </c>
      <c r="CD183" s="379">
        <f t="shared" si="265"/>
        <v>1.7234617071326643</v>
      </c>
    </row>
    <row r="184" spans="1:82" x14ac:dyDescent="0.25">
      <c r="A184" s="305">
        <v>176</v>
      </c>
      <c r="B184" s="298" t="s">
        <v>12</v>
      </c>
      <c r="C184" s="298">
        <v>13</v>
      </c>
      <c r="D184" s="361" t="s">
        <v>597</v>
      </c>
      <c r="E184" s="361" t="s">
        <v>668</v>
      </c>
      <c r="F184" s="298" t="s">
        <v>484</v>
      </c>
      <c r="G184" s="311">
        <v>1200</v>
      </c>
      <c r="H184" s="311">
        <f t="shared" si="353"/>
        <v>1200</v>
      </c>
      <c r="I184" s="311">
        <v>1590</v>
      </c>
      <c r="J184" s="306">
        <f t="shared" si="350"/>
        <v>1908000</v>
      </c>
      <c r="K184" s="311">
        <v>190</v>
      </c>
      <c r="L184" s="312">
        <v>1272</v>
      </c>
      <c r="M184" s="309">
        <f t="shared" si="354"/>
        <v>0.75471698113207553</v>
      </c>
      <c r="N184" s="309">
        <f t="shared" si="266"/>
        <v>0.75471698113207553</v>
      </c>
      <c r="O184" s="309">
        <f t="shared" si="256"/>
        <v>0.75471698113207553</v>
      </c>
      <c r="P184" s="327">
        <f t="shared" si="344"/>
        <v>204900</v>
      </c>
      <c r="Q184" s="306">
        <f t="shared" si="257"/>
        <v>302100</v>
      </c>
      <c r="R184" s="309">
        <f t="shared" si="355"/>
        <v>0.67825223435948356</v>
      </c>
      <c r="S184" s="295">
        <v>600</v>
      </c>
      <c r="T184" s="295">
        <v>1200</v>
      </c>
      <c r="U184" s="310">
        <v>18.399999999999999</v>
      </c>
      <c r="V184" s="310">
        <v>6.5</v>
      </c>
      <c r="W184" s="387">
        <f t="shared" si="267"/>
        <v>6.5</v>
      </c>
      <c r="X184" s="295">
        <v>23.7</v>
      </c>
      <c r="Y184" s="387">
        <f t="shared" si="268"/>
        <v>23.7</v>
      </c>
      <c r="Z184" s="423" t="s">
        <v>413</v>
      </c>
      <c r="AA184" s="325">
        <v>9.82</v>
      </c>
      <c r="AB184" s="325">
        <v>18.22</v>
      </c>
      <c r="AC184" s="295">
        <v>3</v>
      </c>
      <c r="AD184" s="325">
        <f t="shared" si="332"/>
        <v>3.1052631578947367</v>
      </c>
      <c r="AE184" s="295">
        <v>10</v>
      </c>
      <c r="AF184" s="313">
        <f t="shared" si="281"/>
        <v>0.88507743347731438</v>
      </c>
      <c r="AG184" s="313">
        <f t="shared" si="333"/>
        <v>8.6914603967472281</v>
      </c>
      <c r="AH184" s="313">
        <f t="shared" si="334"/>
        <v>16.126110837956666</v>
      </c>
      <c r="AI184" s="308">
        <f t="shared" si="345"/>
        <v>12.478923829061472</v>
      </c>
      <c r="AJ184" s="361" t="s">
        <v>799</v>
      </c>
      <c r="AK184" s="361" t="s">
        <v>798</v>
      </c>
      <c r="AL184" s="361">
        <v>200</v>
      </c>
      <c r="AM184" s="361">
        <f t="shared" si="359"/>
        <v>800</v>
      </c>
      <c r="AN184" s="306">
        <f t="shared" si="357"/>
        <v>3.3101621979476992E-3</v>
      </c>
      <c r="AO184" s="361">
        <v>480</v>
      </c>
      <c r="AP184" s="306">
        <f t="shared" si="358"/>
        <v>3.3473684210526318</v>
      </c>
      <c r="AQ184" s="361">
        <v>400</v>
      </c>
      <c r="AR184" s="361" t="s">
        <v>413</v>
      </c>
      <c r="AS184" s="298">
        <v>0</v>
      </c>
      <c r="AT184" s="361" t="s">
        <v>797</v>
      </c>
      <c r="AU184" s="306">
        <f t="shared" si="346"/>
        <v>226.20000000000005</v>
      </c>
      <c r="AV184" s="307">
        <v>37.700000000000003</v>
      </c>
      <c r="AW184" s="327">
        <f t="shared" si="336"/>
        <v>226.20000000000005</v>
      </c>
      <c r="AX184" s="306">
        <f t="shared" si="347"/>
        <v>9.9210526315789485E-4</v>
      </c>
      <c r="AY184" s="298">
        <v>560</v>
      </c>
      <c r="AZ184" s="306">
        <f t="shared" si="352"/>
        <v>0.55557894736842117</v>
      </c>
      <c r="BA184" s="267">
        <v>200</v>
      </c>
      <c r="BB184" s="298">
        <v>416</v>
      </c>
      <c r="BC184" s="309">
        <f t="shared" si="337"/>
        <v>1.377027474346243</v>
      </c>
      <c r="BD184" s="313">
        <f t="shared" si="269"/>
        <v>0.11034825544325867</v>
      </c>
      <c r="BE184" s="309">
        <f t="shared" si="338"/>
        <v>2.0302586627623231</v>
      </c>
      <c r="BF184" s="369" t="s">
        <v>413</v>
      </c>
      <c r="BG184" s="311">
        <v>278.7</v>
      </c>
      <c r="BH184" s="307">
        <f t="shared" si="349"/>
        <v>278.7</v>
      </c>
      <c r="BI184" s="373">
        <v>0.94430000000000003</v>
      </c>
      <c r="BJ184" s="361">
        <f t="shared" si="258"/>
        <v>0.81399999999999995</v>
      </c>
      <c r="BK184" s="312">
        <f t="shared" si="259"/>
        <v>1</v>
      </c>
      <c r="BL184" s="311">
        <f t="shared" si="348"/>
        <v>214.22559773999996</v>
      </c>
      <c r="BM184" s="309">
        <f t="shared" si="356"/>
        <v>0.70912147547169802</v>
      </c>
      <c r="BN184" s="309">
        <f t="shared" si="343"/>
        <v>1.0455129221083455</v>
      </c>
      <c r="BO184" s="376"/>
      <c r="BP184" s="328">
        <f t="shared" si="272"/>
        <v>4.6806314368251689</v>
      </c>
      <c r="BQ184" s="328">
        <f t="shared" si="260"/>
        <v>0.55557894736842117</v>
      </c>
      <c r="BR184" s="328">
        <f t="shared" si="294"/>
        <v>0.51244890293212997</v>
      </c>
      <c r="BS184" s="328">
        <f t="shared" si="273"/>
        <v>1.0715290280576306</v>
      </c>
      <c r="BT184" s="328">
        <f t="shared" si="274"/>
        <v>1.377027474346243</v>
      </c>
      <c r="BU184" s="376"/>
      <c r="BV184" s="328">
        <f t="shared" si="261"/>
        <v>0.5</v>
      </c>
      <c r="BW184" s="328">
        <f t="shared" si="262"/>
        <v>0.94339622641509435</v>
      </c>
      <c r="BX184" s="373">
        <f t="shared" si="275"/>
        <v>0.59720124847210421</v>
      </c>
      <c r="BY184" s="311">
        <f t="shared" si="263"/>
        <v>124165.79886536907</v>
      </c>
      <c r="BZ184" s="311">
        <f t="shared" si="264"/>
        <v>483380.35200000013</v>
      </c>
      <c r="CA184" s="311">
        <f t="shared" si="276"/>
        <v>170749.43481538218</v>
      </c>
      <c r="CB184" s="307">
        <f t="shared" si="277"/>
        <v>170.74943481538219</v>
      </c>
      <c r="CC184" s="309">
        <f t="shared" si="278"/>
        <v>0.5652083244468129</v>
      </c>
      <c r="CD184" s="379">
        <f t="shared" si="265"/>
        <v>1.2546196593366479</v>
      </c>
    </row>
    <row r="185" spans="1:82" x14ac:dyDescent="0.25">
      <c r="A185" s="305">
        <v>177</v>
      </c>
      <c r="B185" s="298" t="s">
        <v>12</v>
      </c>
      <c r="C185" s="298">
        <v>14</v>
      </c>
      <c r="D185" s="361" t="s">
        <v>597</v>
      </c>
      <c r="E185" s="361" t="s">
        <v>668</v>
      </c>
      <c r="F185" s="298" t="s">
        <v>484</v>
      </c>
      <c r="G185" s="311">
        <v>1200</v>
      </c>
      <c r="H185" s="311">
        <f t="shared" si="353"/>
        <v>1200</v>
      </c>
      <c r="I185" s="311">
        <v>1590</v>
      </c>
      <c r="J185" s="306">
        <f t="shared" si="350"/>
        <v>1908000</v>
      </c>
      <c r="K185" s="311">
        <v>190</v>
      </c>
      <c r="L185" s="312">
        <v>1272</v>
      </c>
      <c r="M185" s="309">
        <f t="shared" si="354"/>
        <v>0.75471698113207553</v>
      </c>
      <c r="N185" s="309">
        <f t="shared" si="266"/>
        <v>0.75471698113207553</v>
      </c>
      <c r="O185" s="309">
        <f t="shared" si="256"/>
        <v>0.75471698113207553</v>
      </c>
      <c r="P185" s="327">
        <f t="shared" si="344"/>
        <v>204900</v>
      </c>
      <c r="Q185" s="306">
        <f t="shared" si="257"/>
        <v>302100</v>
      </c>
      <c r="R185" s="309">
        <f t="shared" si="355"/>
        <v>0.67825223435948356</v>
      </c>
      <c r="S185" s="295">
        <v>600</v>
      </c>
      <c r="T185" s="295">
        <v>1200</v>
      </c>
      <c r="U185" s="310">
        <v>18.399999999999999</v>
      </c>
      <c r="V185" s="310">
        <v>7.3</v>
      </c>
      <c r="W185" s="387">
        <f t="shared" si="267"/>
        <v>7.3</v>
      </c>
      <c r="X185" s="295">
        <v>25.1</v>
      </c>
      <c r="Y185" s="387">
        <f t="shared" si="268"/>
        <v>25.1</v>
      </c>
      <c r="Z185" s="423" t="s">
        <v>413</v>
      </c>
      <c r="AA185" s="325">
        <v>9.82</v>
      </c>
      <c r="AB185" s="325">
        <v>18.22</v>
      </c>
      <c r="AC185" s="295">
        <v>3</v>
      </c>
      <c r="AD185" s="325">
        <f t="shared" si="332"/>
        <v>3.1052631578947367</v>
      </c>
      <c r="AE185" s="295">
        <v>10</v>
      </c>
      <c r="AF185" s="313">
        <f t="shared" si="281"/>
        <v>0.88507743347731438</v>
      </c>
      <c r="AG185" s="313">
        <f t="shared" si="333"/>
        <v>8.6914603967472281</v>
      </c>
      <c r="AH185" s="313">
        <f t="shared" si="334"/>
        <v>16.126110837956666</v>
      </c>
      <c r="AI185" s="308">
        <f t="shared" si="345"/>
        <v>12.478923829061472</v>
      </c>
      <c r="AJ185" s="361" t="s">
        <v>799</v>
      </c>
      <c r="AK185" s="361" t="s">
        <v>798</v>
      </c>
      <c r="AL185" s="361">
        <v>200</v>
      </c>
      <c r="AM185" s="361">
        <f t="shared" si="359"/>
        <v>800</v>
      </c>
      <c r="AN185" s="306">
        <f t="shared" si="357"/>
        <v>3.3101621979476992E-3</v>
      </c>
      <c r="AO185" s="361">
        <v>480</v>
      </c>
      <c r="AP185" s="306">
        <f t="shared" si="358"/>
        <v>3.3473684210526318</v>
      </c>
      <c r="AQ185" s="361">
        <v>400</v>
      </c>
      <c r="AR185" s="361" t="s">
        <v>413</v>
      </c>
      <c r="AS185" s="298">
        <v>0</v>
      </c>
      <c r="AT185" s="361" t="s">
        <v>797</v>
      </c>
      <c r="AU185" s="306">
        <f t="shared" si="346"/>
        <v>226.20000000000005</v>
      </c>
      <c r="AV185" s="307">
        <v>37.700000000000003</v>
      </c>
      <c r="AW185" s="327">
        <f t="shared" si="336"/>
        <v>226.20000000000005</v>
      </c>
      <c r="AX185" s="306">
        <f t="shared" si="347"/>
        <v>9.9210526315789485E-4</v>
      </c>
      <c r="AY185" s="298">
        <v>560</v>
      </c>
      <c r="AZ185" s="306">
        <f t="shared" si="352"/>
        <v>0.55557894736842117</v>
      </c>
      <c r="BA185" s="267">
        <v>200</v>
      </c>
      <c r="BB185" s="298">
        <v>416</v>
      </c>
      <c r="BC185" s="309">
        <f t="shared" si="337"/>
        <v>1.377027474346243</v>
      </c>
      <c r="BD185" s="313">
        <f t="shared" si="269"/>
        <v>0.11034825544325867</v>
      </c>
      <c r="BE185" s="309">
        <f t="shared" si="338"/>
        <v>2.0302586627623231</v>
      </c>
      <c r="BF185" s="307" t="s">
        <v>413</v>
      </c>
      <c r="BG185" s="311">
        <v>287.60000000000002</v>
      </c>
      <c r="BH185" s="307">
        <f t="shared" si="349"/>
        <v>287.60000000000002</v>
      </c>
      <c r="BI185" s="373">
        <v>0.94430000000000003</v>
      </c>
      <c r="BJ185" s="361">
        <f t="shared" si="258"/>
        <v>0.81399999999999995</v>
      </c>
      <c r="BK185" s="312">
        <f t="shared" si="259"/>
        <v>1</v>
      </c>
      <c r="BL185" s="311">
        <f t="shared" si="348"/>
        <v>221.06667352000002</v>
      </c>
      <c r="BM185" s="309">
        <f t="shared" si="356"/>
        <v>0.73176654591194978</v>
      </c>
      <c r="BN185" s="309">
        <f t="shared" si="343"/>
        <v>1.0789003100048806</v>
      </c>
      <c r="BO185" s="376"/>
      <c r="BP185" s="328">
        <f t="shared" si="272"/>
        <v>4.6806314368251689</v>
      </c>
      <c r="BQ185" s="328">
        <f t="shared" si="260"/>
        <v>0.55557894736842117</v>
      </c>
      <c r="BR185" s="328">
        <f t="shared" si="294"/>
        <v>0.5273673705210673</v>
      </c>
      <c r="BS185" s="328">
        <f t="shared" si="273"/>
        <v>1.0715290280576306</v>
      </c>
      <c r="BT185" s="328">
        <f t="shared" si="274"/>
        <v>1.377027474346243</v>
      </c>
      <c r="BU185" s="376"/>
      <c r="BV185" s="328">
        <f t="shared" si="261"/>
        <v>0.5</v>
      </c>
      <c r="BW185" s="328">
        <f t="shared" si="262"/>
        <v>0.94339622641509435</v>
      </c>
      <c r="BX185" s="373">
        <f t="shared" si="275"/>
        <v>0.59720124847210421</v>
      </c>
      <c r="BY185" s="311">
        <f t="shared" si="263"/>
        <v>124165.79886536907</v>
      </c>
      <c r="BZ185" s="311">
        <f t="shared" si="264"/>
        <v>483380.35200000013</v>
      </c>
      <c r="CA185" s="311">
        <f t="shared" si="276"/>
        <v>170749.43481538218</v>
      </c>
      <c r="CB185" s="307">
        <f t="shared" si="277"/>
        <v>170.74943481538219</v>
      </c>
      <c r="CC185" s="309">
        <f t="shared" si="278"/>
        <v>0.5652083244468129</v>
      </c>
      <c r="CD185" s="379">
        <f t="shared" si="265"/>
        <v>1.2946846574281308</v>
      </c>
    </row>
    <row r="186" spans="1:82" x14ac:dyDescent="0.25">
      <c r="A186" s="305">
        <v>178</v>
      </c>
      <c r="B186" s="298" t="s">
        <v>12</v>
      </c>
      <c r="C186" s="298">
        <v>15</v>
      </c>
      <c r="D186" s="361" t="s">
        <v>597</v>
      </c>
      <c r="E186" s="361" t="s">
        <v>668</v>
      </c>
      <c r="F186" s="298" t="s">
        <v>484</v>
      </c>
      <c r="G186" s="311">
        <v>1200</v>
      </c>
      <c r="H186" s="311">
        <f t="shared" si="353"/>
        <v>1200</v>
      </c>
      <c r="I186" s="311">
        <v>1590</v>
      </c>
      <c r="J186" s="306">
        <f t="shared" si="350"/>
        <v>1908000</v>
      </c>
      <c r="K186" s="311">
        <v>190</v>
      </c>
      <c r="L186" s="312">
        <v>1272</v>
      </c>
      <c r="M186" s="309">
        <f t="shared" si="354"/>
        <v>0.75471698113207553</v>
      </c>
      <c r="N186" s="309">
        <f t="shared" si="266"/>
        <v>0.75471698113207553</v>
      </c>
      <c r="O186" s="309">
        <f t="shared" si="256"/>
        <v>0.75471698113207553</v>
      </c>
      <c r="P186" s="327">
        <f t="shared" si="344"/>
        <v>204900</v>
      </c>
      <c r="Q186" s="306">
        <f t="shared" si="257"/>
        <v>302100</v>
      </c>
      <c r="R186" s="309">
        <f t="shared" si="355"/>
        <v>0.67825223435948356</v>
      </c>
      <c r="S186" s="295">
        <v>600</v>
      </c>
      <c r="T186" s="295">
        <v>1200</v>
      </c>
      <c r="U186" s="310">
        <v>18.399999999999999</v>
      </c>
      <c r="V186" s="310">
        <v>7.5</v>
      </c>
      <c r="W186" s="387">
        <f t="shared" si="267"/>
        <v>7.5</v>
      </c>
      <c r="X186" s="295">
        <v>21.9</v>
      </c>
      <c r="Y186" s="387">
        <f t="shared" si="268"/>
        <v>21.9</v>
      </c>
      <c r="Z186" s="423" t="s">
        <v>413</v>
      </c>
      <c r="AA186" s="325">
        <v>9.82</v>
      </c>
      <c r="AB186" s="325">
        <v>18.22</v>
      </c>
      <c r="AC186" s="295">
        <v>3</v>
      </c>
      <c r="AD186" s="325">
        <f t="shared" si="332"/>
        <v>3.1052631578947367</v>
      </c>
      <c r="AE186" s="295">
        <v>10</v>
      </c>
      <c r="AF186" s="313">
        <f t="shared" si="281"/>
        <v>0.88507743347731438</v>
      </c>
      <c r="AG186" s="313">
        <f t="shared" si="333"/>
        <v>8.6914603967472281</v>
      </c>
      <c r="AH186" s="313">
        <f t="shared" si="334"/>
        <v>16.126110837956666</v>
      </c>
      <c r="AI186" s="308">
        <f t="shared" si="345"/>
        <v>12.478923829061472</v>
      </c>
      <c r="AJ186" s="361" t="s">
        <v>799</v>
      </c>
      <c r="AK186" s="361" t="s">
        <v>798</v>
      </c>
      <c r="AL186" s="361">
        <v>200</v>
      </c>
      <c r="AM186" s="361">
        <f t="shared" si="359"/>
        <v>800</v>
      </c>
      <c r="AN186" s="306">
        <f t="shared" si="357"/>
        <v>3.3101621979476992E-3</v>
      </c>
      <c r="AO186" s="361">
        <v>480</v>
      </c>
      <c r="AP186" s="306">
        <f t="shared" si="358"/>
        <v>3.3473684210526318</v>
      </c>
      <c r="AQ186" s="361">
        <v>400</v>
      </c>
      <c r="AR186" s="361" t="s">
        <v>413</v>
      </c>
      <c r="AS186" s="298">
        <v>0</v>
      </c>
      <c r="AT186" s="361" t="s">
        <v>797</v>
      </c>
      <c r="AU186" s="306">
        <f t="shared" si="346"/>
        <v>226.20000000000005</v>
      </c>
      <c r="AV186" s="307">
        <v>37.700000000000003</v>
      </c>
      <c r="AW186" s="327">
        <f t="shared" si="336"/>
        <v>226.20000000000005</v>
      </c>
      <c r="AX186" s="306">
        <f t="shared" si="347"/>
        <v>9.9210526315789485E-4</v>
      </c>
      <c r="AY186" s="298">
        <v>560</v>
      </c>
      <c r="AZ186" s="306">
        <f t="shared" si="352"/>
        <v>0.55557894736842117</v>
      </c>
      <c r="BA186" s="267">
        <v>200</v>
      </c>
      <c r="BB186" s="298">
        <v>416</v>
      </c>
      <c r="BC186" s="309">
        <f t="shared" si="337"/>
        <v>1.377027474346243</v>
      </c>
      <c r="BD186" s="313">
        <f t="shared" si="269"/>
        <v>0.11034825544325867</v>
      </c>
      <c r="BE186" s="309">
        <f t="shared" si="338"/>
        <v>2.0302586627623231</v>
      </c>
      <c r="BF186" s="307" t="s">
        <v>413</v>
      </c>
      <c r="BG186" s="311">
        <v>278.89999999999998</v>
      </c>
      <c r="BH186" s="307">
        <f t="shared" si="349"/>
        <v>278.89999999999998</v>
      </c>
      <c r="BI186" s="373">
        <v>0.94430000000000003</v>
      </c>
      <c r="BJ186" s="361">
        <f t="shared" si="258"/>
        <v>0.81399999999999995</v>
      </c>
      <c r="BK186" s="312">
        <f t="shared" si="259"/>
        <v>1</v>
      </c>
      <c r="BL186" s="311">
        <f t="shared" si="348"/>
        <v>214.37932978000001</v>
      </c>
      <c r="BM186" s="309">
        <f t="shared" si="356"/>
        <v>0.70963035345911951</v>
      </c>
      <c r="BN186" s="309">
        <f t="shared" si="343"/>
        <v>1.046263200488043</v>
      </c>
      <c r="BO186" s="376"/>
      <c r="BP186" s="328">
        <f t="shared" si="272"/>
        <v>4.6806314368251689</v>
      </c>
      <c r="BQ186" s="328">
        <f t="shared" si="260"/>
        <v>0.55557894736842117</v>
      </c>
      <c r="BR186" s="328">
        <f t="shared" si="294"/>
        <v>0.49260458765463533</v>
      </c>
      <c r="BS186" s="328">
        <f t="shared" si="273"/>
        <v>1.0715290280576306</v>
      </c>
      <c r="BT186" s="328">
        <f t="shared" si="274"/>
        <v>1.377027474346243</v>
      </c>
      <c r="BU186" s="376"/>
      <c r="BV186" s="328">
        <f t="shared" si="261"/>
        <v>0.5</v>
      </c>
      <c r="BW186" s="328">
        <f t="shared" si="262"/>
        <v>0.94339622641509435</v>
      </c>
      <c r="BX186" s="373">
        <f t="shared" si="275"/>
        <v>0.59720124847210421</v>
      </c>
      <c r="BY186" s="311">
        <f t="shared" si="263"/>
        <v>124165.79886536907</v>
      </c>
      <c r="BZ186" s="311">
        <f t="shared" si="264"/>
        <v>483380.35200000013</v>
      </c>
      <c r="CA186" s="311">
        <f t="shared" si="276"/>
        <v>170749.43481538218</v>
      </c>
      <c r="CB186" s="307">
        <f t="shared" si="277"/>
        <v>170.74943481538219</v>
      </c>
      <c r="CC186" s="309">
        <f t="shared" si="278"/>
        <v>0.5652083244468129</v>
      </c>
      <c r="CD186" s="379">
        <f t="shared" si="265"/>
        <v>1.2555199963724117</v>
      </c>
    </row>
    <row r="187" spans="1:82" x14ac:dyDescent="0.25">
      <c r="A187" s="305">
        <v>179</v>
      </c>
      <c r="B187" s="298" t="s">
        <v>12</v>
      </c>
      <c r="C187" s="298">
        <v>16</v>
      </c>
      <c r="D187" s="361" t="s">
        <v>597</v>
      </c>
      <c r="E187" s="361" t="s">
        <v>668</v>
      </c>
      <c r="F187" s="298" t="s">
        <v>484</v>
      </c>
      <c r="G187" s="311">
        <v>1200</v>
      </c>
      <c r="H187" s="311">
        <f t="shared" si="353"/>
        <v>1200</v>
      </c>
      <c r="I187" s="311">
        <v>1590</v>
      </c>
      <c r="J187" s="306">
        <f t="shared" si="350"/>
        <v>1908000</v>
      </c>
      <c r="K187" s="311">
        <v>190</v>
      </c>
      <c r="L187" s="312">
        <v>1272</v>
      </c>
      <c r="M187" s="309">
        <f t="shared" si="354"/>
        <v>0.75471698113207553</v>
      </c>
      <c r="N187" s="309">
        <f t="shared" si="266"/>
        <v>0.75471698113207553</v>
      </c>
      <c r="O187" s="309">
        <f t="shared" si="256"/>
        <v>0.75471698113207553</v>
      </c>
      <c r="P187" s="327">
        <f t="shared" si="344"/>
        <v>204900</v>
      </c>
      <c r="Q187" s="306">
        <f t="shared" si="257"/>
        <v>302100</v>
      </c>
      <c r="R187" s="309">
        <f t="shared" si="355"/>
        <v>0.67825223435948356</v>
      </c>
      <c r="S187" s="295">
        <v>1200</v>
      </c>
      <c r="T187" s="295">
        <v>1200</v>
      </c>
      <c r="U187" s="310">
        <v>18.399999999999999</v>
      </c>
      <c r="V187" s="310">
        <v>6.5</v>
      </c>
      <c r="W187" s="387">
        <f t="shared" si="267"/>
        <v>6.5</v>
      </c>
      <c r="X187" s="295">
        <v>23.7</v>
      </c>
      <c r="Y187" s="387">
        <f t="shared" si="268"/>
        <v>23.7</v>
      </c>
      <c r="Z187" s="423" t="s">
        <v>413</v>
      </c>
      <c r="AA187" s="325">
        <v>9.82</v>
      </c>
      <c r="AB187" s="325">
        <v>18.22</v>
      </c>
      <c r="AC187" s="295">
        <v>3</v>
      </c>
      <c r="AD187" s="325">
        <f t="shared" si="332"/>
        <v>3.1052631578947367</v>
      </c>
      <c r="AE187" s="295">
        <v>10</v>
      </c>
      <c r="AF187" s="313">
        <f t="shared" si="281"/>
        <v>0.88507743347731438</v>
      </c>
      <c r="AG187" s="313">
        <f t="shared" si="333"/>
        <v>8.6914603967472281</v>
      </c>
      <c r="AH187" s="313">
        <f t="shared" si="334"/>
        <v>16.126110837956666</v>
      </c>
      <c r="AI187" s="308">
        <f t="shared" si="345"/>
        <v>12.478923829061472</v>
      </c>
      <c r="AJ187" s="298" t="s">
        <v>413</v>
      </c>
      <c r="AK187" s="298"/>
      <c r="AL187" s="298">
        <v>0</v>
      </c>
      <c r="AM187" s="298">
        <v>0</v>
      </c>
      <c r="AN187" s="340">
        <v>0</v>
      </c>
      <c r="AO187" s="298">
        <v>0</v>
      </c>
      <c r="AP187" s="295">
        <f t="shared" si="351"/>
        <v>0</v>
      </c>
      <c r="AQ187" s="298">
        <v>0</v>
      </c>
      <c r="AR187" s="361" t="s">
        <v>413</v>
      </c>
      <c r="AS187" s="298">
        <v>0</v>
      </c>
      <c r="AT187" s="361" t="s">
        <v>413</v>
      </c>
      <c r="AU187" s="306">
        <f t="shared" si="346"/>
        <v>0</v>
      </c>
      <c r="AV187" s="307">
        <v>0</v>
      </c>
      <c r="AW187" s="327">
        <f t="shared" si="336"/>
        <v>0</v>
      </c>
      <c r="AX187" s="306">
        <f t="shared" si="347"/>
        <v>0</v>
      </c>
      <c r="AY187" s="298">
        <v>0</v>
      </c>
      <c r="AZ187" s="306">
        <f t="shared" si="352"/>
        <v>0</v>
      </c>
      <c r="BA187" s="267">
        <v>0</v>
      </c>
      <c r="BB187" s="298">
        <v>236</v>
      </c>
      <c r="BC187" s="309">
        <f t="shared" si="337"/>
        <v>0.78119827871565706</v>
      </c>
      <c r="BD187" s="313">
        <f t="shared" si="269"/>
        <v>6.2601414145694825E-2</v>
      </c>
      <c r="BE187" s="309">
        <f t="shared" si="338"/>
        <v>1.1517813567593949</v>
      </c>
      <c r="BF187" s="307" t="s">
        <v>413</v>
      </c>
      <c r="BG187" s="311">
        <v>149.5</v>
      </c>
      <c r="BH187" s="307">
        <f t="shared" si="349"/>
        <v>149.5</v>
      </c>
      <c r="BI187" s="373">
        <v>0.94430000000000003</v>
      </c>
      <c r="BJ187" s="361">
        <f t="shared" si="258"/>
        <v>0.81399999999999995</v>
      </c>
      <c r="BK187" s="312">
        <f t="shared" si="259"/>
        <v>1</v>
      </c>
      <c r="BL187" s="311">
        <f t="shared" si="348"/>
        <v>114.9146999</v>
      </c>
      <c r="BM187" s="309">
        <f t="shared" si="356"/>
        <v>0.38038629559748427</v>
      </c>
      <c r="BN187" s="309">
        <f t="shared" si="343"/>
        <v>0.56083308882381655</v>
      </c>
      <c r="BO187" s="376"/>
      <c r="BP187" s="328">
        <f t="shared" si="272"/>
        <v>4.6806314368251689</v>
      </c>
      <c r="BQ187" s="328">
        <f t="shared" si="260"/>
        <v>0</v>
      </c>
      <c r="BR187" s="328">
        <f t="shared" si="294"/>
        <v>0</v>
      </c>
      <c r="BS187" s="328">
        <f t="shared" si="273"/>
        <v>0</v>
      </c>
      <c r="BT187" s="328">
        <f t="shared" si="274"/>
        <v>0.78119827871565706</v>
      </c>
      <c r="BU187" s="376"/>
      <c r="BV187" s="328">
        <f t="shared" si="261"/>
        <v>0.5</v>
      </c>
      <c r="BW187" s="328">
        <f t="shared" si="262"/>
        <v>0.94339622641509435</v>
      </c>
      <c r="BX187" s="373">
        <f t="shared" si="275"/>
        <v>0.59720124847210421</v>
      </c>
      <c r="BY187" s="311">
        <f t="shared" si="263"/>
        <v>101665.79886536907</v>
      </c>
      <c r="BZ187" s="311">
        <f t="shared" si="264"/>
        <v>0</v>
      </c>
      <c r="CA187" s="311">
        <f t="shared" si="276"/>
        <v>170749.43481538218</v>
      </c>
      <c r="CB187" s="307">
        <f t="shared" si="277"/>
        <v>101.66579886536907</v>
      </c>
      <c r="CC187" s="309">
        <f t="shared" si="278"/>
        <v>0.33653028422829878</v>
      </c>
      <c r="CD187" s="379">
        <f t="shared" si="265"/>
        <v>1.1303181717204209</v>
      </c>
    </row>
    <row r="188" spans="1:82" x14ac:dyDescent="0.25">
      <c r="A188" s="305">
        <v>180</v>
      </c>
      <c r="B188" s="298" t="s">
        <v>12</v>
      </c>
      <c r="C188" s="298">
        <v>17</v>
      </c>
      <c r="D188" s="361" t="s">
        <v>597</v>
      </c>
      <c r="E188" s="361" t="s">
        <v>668</v>
      </c>
      <c r="F188" s="298" t="s">
        <v>484</v>
      </c>
      <c r="G188" s="311">
        <v>1200</v>
      </c>
      <c r="H188" s="311">
        <f t="shared" si="353"/>
        <v>1200</v>
      </c>
      <c r="I188" s="311">
        <v>1590</v>
      </c>
      <c r="J188" s="306">
        <f t="shared" si="350"/>
        <v>1908000</v>
      </c>
      <c r="K188" s="311">
        <v>190</v>
      </c>
      <c r="L188" s="312">
        <v>1272</v>
      </c>
      <c r="M188" s="309">
        <f t="shared" si="354"/>
        <v>0.75471698113207553</v>
      </c>
      <c r="N188" s="309">
        <f t="shared" si="266"/>
        <v>0.75471698113207553</v>
      </c>
      <c r="O188" s="309">
        <f t="shared" si="256"/>
        <v>0.75471698113207553</v>
      </c>
      <c r="P188" s="327">
        <f t="shared" si="344"/>
        <v>204900</v>
      </c>
      <c r="Q188" s="306">
        <f t="shared" si="257"/>
        <v>302100</v>
      </c>
      <c r="R188" s="309">
        <f t="shared" si="355"/>
        <v>0.67825223435948356</v>
      </c>
      <c r="S188" s="295">
        <v>1200</v>
      </c>
      <c r="T188" s="295">
        <v>1200</v>
      </c>
      <c r="U188" s="310">
        <v>18.399999999999999</v>
      </c>
      <c r="V188" s="310">
        <v>7.3</v>
      </c>
      <c r="W188" s="387">
        <f t="shared" si="267"/>
        <v>7.3</v>
      </c>
      <c r="X188" s="295">
        <v>25.1</v>
      </c>
      <c r="Y188" s="387">
        <f t="shared" si="268"/>
        <v>25.1</v>
      </c>
      <c r="Z188" s="423" t="s">
        <v>413</v>
      </c>
      <c r="AA188" s="325">
        <v>9.82</v>
      </c>
      <c r="AB188" s="325">
        <v>18.22</v>
      </c>
      <c r="AC188" s="295">
        <v>3</v>
      </c>
      <c r="AD188" s="325">
        <f t="shared" si="332"/>
        <v>3.1052631578947367</v>
      </c>
      <c r="AE188" s="295">
        <v>10</v>
      </c>
      <c r="AF188" s="313">
        <f t="shared" si="281"/>
        <v>0.88507743347731438</v>
      </c>
      <c r="AG188" s="313">
        <f t="shared" si="333"/>
        <v>8.6914603967472281</v>
      </c>
      <c r="AH188" s="313">
        <f t="shared" si="334"/>
        <v>16.126110837956666</v>
      </c>
      <c r="AI188" s="308">
        <f t="shared" si="345"/>
        <v>12.478923829061472</v>
      </c>
      <c r="AJ188" s="298" t="s">
        <v>413</v>
      </c>
      <c r="AK188" s="298"/>
      <c r="AL188" s="298">
        <v>0</v>
      </c>
      <c r="AM188" s="298">
        <v>0</v>
      </c>
      <c r="AN188" s="340">
        <v>0</v>
      </c>
      <c r="AO188" s="298">
        <v>0</v>
      </c>
      <c r="AP188" s="295">
        <f t="shared" si="351"/>
        <v>0</v>
      </c>
      <c r="AQ188" s="298">
        <v>0</v>
      </c>
      <c r="AR188" s="361" t="s">
        <v>413</v>
      </c>
      <c r="AS188" s="298">
        <v>0</v>
      </c>
      <c r="AT188" s="361" t="s">
        <v>413</v>
      </c>
      <c r="AU188" s="306">
        <f t="shared" si="346"/>
        <v>0</v>
      </c>
      <c r="AV188" s="307">
        <v>0</v>
      </c>
      <c r="AW188" s="327">
        <f t="shared" si="336"/>
        <v>0</v>
      </c>
      <c r="AX188" s="306">
        <f t="shared" si="347"/>
        <v>0</v>
      </c>
      <c r="AY188" s="298">
        <v>0</v>
      </c>
      <c r="AZ188" s="306">
        <f t="shared" si="352"/>
        <v>0</v>
      </c>
      <c r="BA188" s="267">
        <v>0</v>
      </c>
      <c r="BB188" s="298">
        <v>236</v>
      </c>
      <c r="BC188" s="309">
        <f t="shared" si="337"/>
        <v>0.78119827871565706</v>
      </c>
      <c r="BD188" s="313">
        <f t="shared" si="269"/>
        <v>6.2601414145694825E-2</v>
      </c>
      <c r="BE188" s="309">
        <f t="shared" si="338"/>
        <v>1.1517813567593949</v>
      </c>
      <c r="BF188" s="307" t="s">
        <v>413</v>
      </c>
      <c r="BG188" s="311">
        <v>146.9</v>
      </c>
      <c r="BH188" s="307">
        <f t="shared" si="349"/>
        <v>146.9</v>
      </c>
      <c r="BI188" s="373">
        <v>0.94430000000000003</v>
      </c>
      <c r="BJ188" s="361">
        <f t="shared" si="258"/>
        <v>0.81399999999999995</v>
      </c>
      <c r="BK188" s="312">
        <f t="shared" si="259"/>
        <v>1</v>
      </c>
      <c r="BL188" s="311">
        <f t="shared" si="348"/>
        <v>112.91618337999999</v>
      </c>
      <c r="BM188" s="309">
        <f t="shared" si="356"/>
        <v>0.37377088176100626</v>
      </c>
      <c r="BN188" s="309">
        <f t="shared" si="343"/>
        <v>0.55107946988775014</v>
      </c>
      <c r="BO188" s="376"/>
      <c r="BP188" s="328">
        <f t="shared" si="272"/>
        <v>4.6806314368251689</v>
      </c>
      <c r="BQ188" s="328">
        <f t="shared" si="260"/>
        <v>0</v>
      </c>
      <c r="BR188" s="328">
        <f t="shared" si="294"/>
        <v>0</v>
      </c>
      <c r="BS188" s="328">
        <f t="shared" si="273"/>
        <v>0</v>
      </c>
      <c r="BT188" s="328">
        <f t="shared" si="274"/>
        <v>0.78119827871565706</v>
      </c>
      <c r="BU188" s="376"/>
      <c r="BV188" s="328">
        <f t="shared" si="261"/>
        <v>0.5</v>
      </c>
      <c r="BW188" s="328">
        <f t="shared" si="262"/>
        <v>0.94339622641509435</v>
      </c>
      <c r="BX188" s="373">
        <f t="shared" si="275"/>
        <v>0.59720124847210421</v>
      </c>
      <c r="BY188" s="311">
        <f t="shared" si="263"/>
        <v>101665.79886536907</v>
      </c>
      <c r="BZ188" s="311">
        <f t="shared" si="264"/>
        <v>0</v>
      </c>
      <c r="CA188" s="311">
        <f t="shared" si="276"/>
        <v>170749.43481538218</v>
      </c>
      <c r="CB188" s="307">
        <f t="shared" si="277"/>
        <v>101.66579886536907</v>
      </c>
      <c r="CC188" s="309">
        <f t="shared" si="278"/>
        <v>0.33653028422829878</v>
      </c>
      <c r="CD188" s="379">
        <f t="shared" si="265"/>
        <v>1.1106604643861526</v>
      </c>
    </row>
    <row r="189" spans="1:82" x14ac:dyDescent="0.25">
      <c r="A189" s="305">
        <v>181</v>
      </c>
      <c r="B189" s="298" t="s">
        <v>12</v>
      </c>
      <c r="C189" s="298">
        <v>18</v>
      </c>
      <c r="D189" s="361" t="s">
        <v>597</v>
      </c>
      <c r="E189" s="361" t="s">
        <v>668</v>
      </c>
      <c r="F189" s="298" t="s">
        <v>484</v>
      </c>
      <c r="G189" s="311">
        <v>1200</v>
      </c>
      <c r="H189" s="311">
        <f t="shared" si="353"/>
        <v>1200</v>
      </c>
      <c r="I189" s="311">
        <v>1590</v>
      </c>
      <c r="J189" s="306">
        <f t="shared" si="350"/>
        <v>1908000</v>
      </c>
      <c r="K189" s="311">
        <v>190</v>
      </c>
      <c r="L189" s="312">
        <v>1272</v>
      </c>
      <c r="M189" s="309">
        <f t="shared" si="354"/>
        <v>0.75471698113207553</v>
      </c>
      <c r="N189" s="309">
        <f t="shared" si="266"/>
        <v>0.75471698113207553</v>
      </c>
      <c r="O189" s="309">
        <f t="shared" si="256"/>
        <v>0.75471698113207553</v>
      </c>
      <c r="P189" s="327">
        <f t="shared" si="344"/>
        <v>204900</v>
      </c>
      <c r="Q189" s="306">
        <f t="shared" si="257"/>
        <v>302100</v>
      </c>
      <c r="R189" s="309">
        <f t="shared" si="355"/>
        <v>0.67825223435948356</v>
      </c>
      <c r="S189" s="295">
        <v>1200</v>
      </c>
      <c r="T189" s="295">
        <v>1200</v>
      </c>
      <c r="U189" s="310">
        <v>18.399999999999999</v>
      </c>
      <c r="V189" s="310">
        <v>7.5</v>
      </c>
      <c r="W189" s="387">
        <f t="shared" si="267"/>
        <v>7.5</v>
      </c>
      <c r="X189" s="295">
        <v>21.9</v>
      </c>
      <c r="Y189" s="387">
        <f t="shared" si="268"/>
        <v>21.9</v>
      </c>
      <c r="Z189" s="423" t="s">
        <v>413</v>
      </c>
      <c r="AA189" s="325">
        <v>9.82</v>
      </c>
      <c r="AB189" s="325">
        <v>18.22</v>
      </c>
      <c r="AC189" s="295">
        <v>3</v>
      </c>
      <c r="AD189" s="325">
        <f t="shared" si="332"/>
        <v>3.1052631578947367</v>
      </c>
      <c r="AE189" s="295">
        <v>10</v>
      </c>
      <c r="AF189" s="313">
        <f t="shared" si="281"/>
        <v>0.88507743347731438</v>
      </c>
      <c r="AG189" s="313">
        <f t="shared" si="333"/>
        <v>8.6914603967472281</v>
      </c>
      <c r="AH189" s="313">
        <f t="shared" si="334"/>
        <v>16.126110837956666</v>
      </c>
      <c r="AI189" s="308">
        <f t="shared" si="345"/>
        <v>12.478923829061472</v>
      </c>
      <c r="AJ189" s="298" t="s">
        <v>413</v>
      </c>
      <c r="AK189" s="298"/>
      <c r="AL189" s="298">
        <v>0</v>
      </c>
      <c r="AM189" s="298">
        <v>0</v>
      </c>
      <c r="AN189" s="340">
        <v>0</v>
      </c>
      <c r="AO189" s="298">
        <v>0</v>
      </c>
      <c r="AP189" s="295">
        <f t="shared" si="351"/>
        <v>0</v>
      </c>
      <c r="AQ189" s="298">
        <v>0</v>
      </c>
      <c r="AR189" s="361" t="s">
        <v>413</v>
      </c>
      <c r="AS189" s="298">
        <v>0</v>
      </c>
      <c r="AT189" s="361" t="s">
        <v>413</v>
      </c>
      <c r="AU189" s="306">
        <f t="shared" si="346"/>
        <v>0</v>
      </c>
      <c r="AV189" s="307">
        <v>0</v>
      </c>
      <c r="AW189" s="327">
        <f t="shared" si="336"/>
        <v>0</v>
      </c>
      <c r="AX189" s="306">
        <f t="shared" si="347"/>
        <v>0</v>
      </c>
      <c r="AY189" s="298">
        <v>0</v>
      </c>
      <c r="AZ189" s="306">
        <f t="shared" si="352"/>
        <v>0</v>
      </c>
      <c r="BA189" s="267">
        <v>0</v>
      </c>
      <c r="BB189" s="298">
        <v>236</v>
      </c>
      <c r="BC189" s="309">
        <f t="shared" si="337"/>
        <v>0.78119827871565706</v>
      </c>
      <c r="BD189" s="313">
        <f t="shared" si="269"/>
        <v>6.2601414145694825E-2</v>
      </c>
      <c r="BE189" s="309">
        <f t="shared" si="338"/>
        <v>1.1517813567593949</v>
      </c>
      <c r="BF189" s="307" t="s">
        <v>413</v>
      </c>
      <c r="BG189" s="311">
        <v>157.19999999999999</v>
      </c>
      <c r="BH189" s="307">
        <f t="shared" si="349"/>
        <v>157.19999999999999</v>
      </c>
      <c r="BI189" s="373">
        <v>0.94430000000000003</v>
      </c>
      <c r="BJ189" s="361">
        <f t="shared" si="258"/>
        <v>0.81399999999999995</v>
      </c>
      <c r="BK189" s="312">
        <f t="shared" si="259"/>
        <v>1</v>
      </c>
      <c r="BL189" s="311">
        <f t="shared" si="348"/>
        <v>120.83338343999999</v>
      </c>
      <c r="BM189" s="309">
        <f t="shared" si="356"/>
        <v>0.3999780981132075</v>
      </c>
      <c r="BN189" s="309">
        <f t="shared" si="343"/>
        <v>0.5897188064421669</v>
      </c>
      <c r="BO189" s="376"/>
      <c r="BP189" s="328">
        <f t="shared" si="272"/>
        <v>4.6806314368251689</v>
      </c>
      <c r="BQ189" s="328">
        <f t="shared" si="260"/>
        <v>0</v>
      </c>
      <c r="BR189" s="328">
        <f t="shared" si="294"/>
        <v>0</v>
      </c>
      <c r="BS189" s="328">
        <f t="shared" si="273"/>
        <v>0</v>
      </c>
      <c r="BT189" s="328">
        <f t="shared" si="274"/>
        <v>0.78119827871565706</v>
      </c>
      <c r="BU189" s="376"/>
      <c r="BV189" s="328">
        <f t="shared" si="261"/>
        <v>0.5</v>
      </c>
      <c r="BW189" s="328">
        <f t="shared" si="262"/>
        <v>0.94339622641509435</v>
      </c>
      <c r="BX189" s="373">
        <f t="shared" si="275"/>
        <v>0.59720124847210421</v>
      </c>
      <c r="BY189" s="311">
        <f t="shared" si="263"/>
        <v>101665.79886536907</v>
      </c>
      <c r="BZ189" s="311">
        <f t="shared" si="264"/>
        <v>0</v>
      </c>
      <c r="CA189" s="311">
        <f t="shared" si="276"/>
        <v>170749.43481538218</v>
      </c>
      <c r="CB189" s="307">
        <f t="shared" si="277"/>
        <v>101.66579886536907</v>
      </c>
      <c r="CC189" s="309">
        <f t="shared" si="278"/>
        <v>0.33653028422829878</v>
      </c>
      <c r="CD189" s="379">
        <f t="shared" si="265"/>
        <v>1.1885352280565227</v>
      </c>
    </row>
    <row r="190" spans="1:82" x14ac:dyDescent="0.25">
      <c r="A190" s="305">
        <v>182</v>
      </c>
      <c r="B190" s="298" t="s">
        <v>12</v>
      </c>
      <c r="C190" s="298">
        <v>19</v>
      </c>
      <c r="D190" s="361" t="s">
        <v>597</v>
      </c>
      <c r="E190" s="361" t="s">
        <v>668</v>
      </c>
      <c r="F190" s="298" t="s">
        <v>484</v>
      </c>
      <c r="G190" s="311">
        <v>1200</v>
      </c>
      <c r="H190" s="311">
        <f t="shared" si="353"/>
        <v>1200</v>
      </c>
      <c r="I190" s="311">
        <v>1590</v>
      </c>
      <c r="J190" s="306">
        <f t="shared" si="350"/>
        <v>1908000</v>
      </c>
      <c r="K190" s="311">
        <v>190</v>
      </c>
      <c r="L190" s="312">
        <v>1272</v>
      </c>
      <c r="M190" s="309">
        <f t="shared" si="354"/>
        <v>0.75471698113207553</v>
      </c>
      <c r="N190" s="309">
        <f t="shared" si="266"/>
        <v>0.75471698113207553</v>
      </c>
      <c r="O190" s="309">
        <f t="shared" si="256"/>
        <v>0.75471698113207553</v>
      </c>
      <c r="P190" s="327">
        <f t="shared" si="344"/>
        <v>204900</v>
      </c>
      <c r="Q190" s="306">
        <f t="shared" si="257"/>
        <v>302100</v>
      </c>
      <c r="R190" s="309">
        <f t="shared" si="355"/>
        <v>0.67825223435948356</v>
      </c>
      <c r="S190" s="295">
        <v>1200</v>
      </c>
      <c r="T190" s="295">
        <v>1200</v>
      </c>
      <c r="U190" s="310">
        <v>18.399999999999999</v>
      </c>
      <c r="V190" s="310">
        <v>4.5999999999999996</v>
      </c>
      <c r="W190" s="387">
        <f t="shared" si="267"/>
        <v>4.5999999999999996</v>
      </c>
      <c r="X190" s="295">
        <v>24.7</v>
      </c>
      <c r="Y190" s="387">
        <f t="shared" si="268"/>
        <v>24.7</v>
      </c>
      <c r="Z190" s="423" t="s">
        <v>413</v>
      </c>
      <c r="AA190" s="325">
        <v>9.82</v>
      </c>
      <c r="AB190" s="325">
        <v>18.22</v>
      </c>
      <c r="AC190" s="295">
        <v>3</v>
      </c>
      <c r="AD190" s="325">
        <f t="shared" si="332"/>
        <v>3.1052631578947367</v>
      </c>
      <c r="AE190" s="295">
        <v>10</v>
      </c>
      <c r="AF190" s="313">
        <f t="shared" si="281"/>
        <v>0.88507743347731438</v>
      </c>
      <c r="AG190" s="313">
        <f t="shared" si="333"/>
        <v>8.6914603967472281</v>
      </c>
      <c r="AH190" s="313">
        <f t="shared" si="334"/>
        <v>16.126110837956666</v>
      </c>
      <c r="AI190" s="308">
        <f t="shared" si="345"/>
        <v>12.478923829061472</v>
      </c>
      <c r="AJ190" s="361" t="s">
        <v>413</v>
      </c>
      <c r="AK190" s="361" t="s">
        <v>413</v>
      </c>
      <c r="AL190" s="298">
        <v>0</v>
      </c>
      <c r="AM190" s="298">
        <v>0</v>
      </c>
      <c r="AN190" s="340">
        <v>0</v>
      </c>
      <c r="AO190" s="298">
        <v>0</v>
      </c>
      <c r="AP190" s="295">
        <f t="shared" si="351"/>
        <v>0</v>
      </c>
      <c r="AQ190" s="298">
        <v>0</v>
      </c>
      <c r="AR190" s="361" t="s">
        <v>413</v>
      </c>
      <c r="AS190" s="361">
        <v>0</v>
      </c>
      <c r="AT190" s="361" t="s">
        <v>413</v>
      </c>
      <c r="AU190" s="306">
        <f t="shared" si="346"/>
        <v>0</v>
      </c>
      <c r="AV190" s="307">
        <v>0</v>
      </c>
      <c r="AW190" s="327">
        <f t="shared" si="336"/>
        <v>0</v>
      </c>
      <c r="AX190" s="306">
        <f t="shared" si="347"/>
        <v>0</v>
      </c>
      <c r="AY190" s="298">
        <v>0</v>
      </c>
      <c r="AZ190" s="306">
        <f t="shared" si="352"/>
        <v>0</v>
      </c>
      <c r="BA190" s="267">
        <v>0</v>
      </c>
      <c r="BB190" s="298">
        <v>628</v>
      </c>
      <c r="BC190" s="309">
        <f t="shared" si="337"/>
        <v>2.0787818603111554</v>
      </c>
      <c r="BD190" s="313">
        <f t="shared" si="269"/>
        <v>0.16658342408261168</v>
      </c>
      <c r="BE190" s="309">
        <f t="shared" si="338"/>
        <v>3.0649097120546607</v>
      </c>
      <c r="BF190" s="307" t="s">
        <v>413</v>
      </c>
      <c r="BG190" s="311">
        <v>384.4</v>
      </c>
      <c r="BH190" s="307">
        <f t="shared" si="349"/>
        <v>384.4</v>
      </c>
      <c r="BI190" s="373">
        <v>0.94430000000000003</v>
      </c>
      <c r="BJ190" s="361">
        <f t="shared" si="258"/>
        <v>0.81399999999999995</v>
      </c>
      <c r="BK190" s="312">
        <f t="shared" si="259"/>
        <v>1</v>
      </c>
      <c r="BL190" s="311">
        <f t="shared" si="348"/>
        <v>295.47298087999997</v>
      </c>
      <c r="BM190" s="309">
        <f t="shared" si="356"/>
        <v>0.97806349182389929</v>
      </c>
      <c r="BN190" s="309">
        <f t="shared" si="343"/>
        <v>1.4420350457784283</v>
      </c>
      <c r="BO190" s="376"/>
      <c r="BP190" s="328">
        <f t="shared" si="272"/>
        <v>4.6806314368251689</v>
      </c>
      <c r="BQ190" s="328">
        <f t="shared" si="260"/>
        <v>0</v>
      </c>
      <c r="BR190" s="328">
        <f t="shared" si="294"/>
        <v>0</v>
      </c>
      <c r="BS190" s="328">
        <f t="shared" si="273"/>
        <v>0</v>
      </c>
      <c r="BT190" s="328">
        <f t="shared" si="274"/>
        <v>2.0787818603111554</v>
      </c>
      <c r="BU190" s="376"/>
      <c r="BV190" s="328">
        <f t="shared" si="261"/>
        <v>0.5</v>
      </c>
      <c r="BW190" s="328">
        <f t="shared" si="262"/>
        <v>0.94339622641509435</v>
      </c>
      <c r="BX190" s="373">
        <f t="shared" si="275"/>
        <v>0.59720124847210421</v>
      </c>
      <c r="BY190" s="311">
        <f t="shared" si="263"/>
        <v>150665.79886536906</v>
      </c>
      <c r="BZ190" s="311">
        <f t="shared" si="264"/>
        <v>0</v>
      </c>
      <c r="CA190" s="311">
        <f t="shared" si="276"/>
        <v>170749.43481538218</v>
      </c>
      <c r="CB190" s="307">
        <f t="shared" si="277"/>
        <v>150.66579886536906</v>
      </c>
      <c r="CC190" s="309">
        <f t="shared" si="278"/>
        <v>0.49872823192773608</v>
      </c>
      <c r="CD190" s="379">
        <f t="shared" si="265"/>
        <v>1.9611151509177391</v>
      </c>
    </row>
    <row r="191" spans="1:82" x14ac:dyDescent="0.25">
      <c r="A191" s="305">
        <v>183</v>
      </c>
      <c r="B191" s="298" t="s">
        <v>12</v>
      </c>
      <c r="C191" s="298">
        <v>20</v>
      </c>
      <c r="D191" s="361" t="s">
        <v>597</v>
      </c>
      <c r="E191" s="361" t="s">
        <v>668</v>
      </c>
      <c r="F191" s="298" t="s">
        <v>484</v>
      </c>
      <c r="G191" s="311">
        <v>1200</v>
      </c>
      <c r="H191" s="311">
        <f t="shared" si="353"/>
        <v>1200</v>
      </c>
      <c r="I191" s="311">
        <v>1590</v>
      </c>
      <c r="J191" s="306">
        <f t="shared" si="350"/>
        <v>1908000</v>
      </c>
      <c r="K191" s="311">
        <v>190</v>
      </c>
      <c r="L191" s="312">
        <v>1272</v>
      </c>
      <c r="M191" s="309">
        <f t="shared" si="354"/>
        <v>0.75471698113207553</v>
      </c>
      <c r="N191" s="309">
        <f t="shared" si="266"/>
        <v>0.75471698113207553</v>
      </c>
      <c r="O191" s="309">
        <f t="shared" si="256"/>
        <v>0.75471698113207553</v>
      </c>
      <c r="P191" s="327">
        <f t="shared" si="344"/>
        <v>204900</v>
      </c>
      <c r="Q191" s="306">
        <f t="shared" si="257"/>
        <v>302100</v>
      </c>
      <c r="R191" s="309">
        <f t="shared" si="355"/>
        <v>0.67825223435948356</v>
      </c>
      <c r="S191" s="295">
        <v>1200</v>
      </c>
      <c r="T191" s="295">
        <v>1200</v>
      </c>
      <c r="U191" s="310">
        <v>18.399999999999999</v>
      </c>
      <c r="V191" s="310">
        <v>4.5999999999999996</v>
      </c>
      <c r="W191" s="387">
        <f t="shared" si="267"/>
        <v>4.5999999999999996</v>
      </c>
      <c r="X191" s="295">
        <v>24.7</v>
      </c>
      <c r="Y191" s="387">
        <f t="shared" si="268"/>
        <v>24.7</v>
      </c>
      <c r="Z191" s="423" t="s">
        <v>413</v>
      </c>
      <c r="AA191" s="325">
        <v>9.82</v>
      </c>
      <c r="AB191" s="325">
        <v>18.22</v>
      </c>
      <c r="AC191" s="295">
        <v>3</v>
      </c>
      <c r="AD191" s="325">
        <f t="shared" si="332"/>
        <v>3.1052631578947367</v>
      </c>
      <c r="AE191" s="295">
        <v>10</v>
      </c>
      <c r="AF191" s="313">
        <f t="shared" si="281"/>
        <v>0.88507743347731438</v>
      </c>
      <c r="AG191" s="313">
        <f t="shared" si="333"/>
        <v>8.6914603967472281</v>
      </c>
      <c r="AH191" s="313">
        <f t="shared" si="334"/>
        <v>16.126110837956666</v>
      </c>
      <c r="AI191" s="308">
        <f t="shared" si="345"/>
        <v>12.478923829061472</v>
      </c>
      <c r="AJ191" s="361" t="s">
        <v>413</v>
      </c>
      <c r="AK191" s="361" t="s">
        <v>413</v>
      </c>
      <c r="AL191" s="298">
        <v>0</v>
      </c>
      <c r="AM191" s="298">
        <v>0</v>
      </c>
      <c r="AN191" s="340">
        <v>0</v>
      </c>
      <c r="AO191" s="298">
        <v>0</v>
      </c>
      <c r="AP191" s="295">
        <f t="shared" si="351"/>
        <v>0</v>
      </c>
      <c r="AQ191" s="298">
        <v>0</v>
      </c>
      <c r="AR191" s="361" t="s">
        <v>413</v>
      </c>
      <c r="AS191" s="361">
        <v>0</v>
      </c>
      <c r="AT191" s="361" t="s">
        <v>413</v>
      </c>
      <c r="AU191" s="306">
        <f t="shared" si="346"/>
        <v>0</v>
      </c>
      <c r="AV191" s="307">
        <v>0</v>
      </c>
      <c r="AW191" s="327">
        <f t="shared" si="336"/>
        <v>0</v>
      </c>
      <c r="AX191" s="306">
        <f t="shared" si="347"/>
        <v>0</v>
      </c>
      <c r="AY191" s="298">
        <v>0</v>
      </c>
      <c r="AZ191" s="306">
        <f t="shared" si="352"/>
        <v>0</v>
      </c>
      <c r="BA191" s="267">
        <v>0</v>
      </c>
      <c r="BB191" s="298">
        <v>628</v>
      </c>
      <c r="BC191" s="309">
        <f t="shared" si="337"/>
        <v>2.0787818603111554</v>
      </c>
      <c r="BD191" s="313">
        <f t="shared" si="269"/>
        <v>0.16658342408261168</v>
      </c>
      <c r="BE191" s="309">
        <f t="shared" si="338"/>
        <v>3.0649097120546607</v>
      </c>
      <c r="BF191" s="307" t="s">
        <v>413</v>
      </c>
      <c r="BG191" s="311">
        <v>346.6</v>
      </c>
      <c r="BH191" s="307">
        <f t="shared" si="349"/>
        <v>346.6</v>
      </c>
      <c r="BI191" s="373">
        <v>0.94430000000000003</v>
      </c>
      <c r="BJ191" s="361">
        <f t="shared" si="258"/>
        <v>0.81399999999999995</v>
      </c>
      <c r="BK191" s="312">
        <f t="shared" si="259"/>
        <v>1</v>
      </c>
      <c r="BL191" s="311">
        <f t="shared" si="348"/>
        <v>266.41762532000001</v>
      </c>
      <c r="BM191" s="309">
        <f t="shared" si="356"/>
        <v>0.88188555220125797</v>
      </c>
      <c r="BN191" s="309">
        <f t="shared" si="343"/>
        <v>1.3002324320156173</v>
      </c>
      <c r="BO191" s="376"/>
      <c r="BP191" s="328">
        <f t="shared" si="272"/>
        <v>4.6806314368251689</v>
      </c>
      <c r="BQ191" s="328">
        <f t="shared" si="260"/>
        <v>0</v>
      </c>
      <c r="BR191" s="328">
        <f t="shared" si="294"/>
        <v>0</v>
      </c>
      <c r="BS191" s="328">
        <f t="shared" si="273"/>
        <v>0</v>
      </c>
      <c r="BT191" s="328">
        <f t="shared" si="274"/>
        <v>2.0787818603111554</v>
      </c>
      <c r="BU191" s="376"/>
      <c r="BV191" s="328">
        <f t="shared" si="261"/>
        <v>0.5</v>
      </c>
      <c r="BW191" s="328">
        <f t="shared" si="262"/>
        <v>0.94339622641509435</v>
      </c>
      <c r="BX191" s="373">
        <f t="shared" si="275"/>
        <v>0.59720124847210421</v>
      </c>
      <c r="BY191" s="311">
        <f t="shared" si="263"/>
        <v>150665.79886536906</v>
      </c>
      <c r="BZ191" s="311">
        <f t="shared" si="264"/>
        <v>0</v>
      </c>
      <c r="CA191" s="311">
        <f t="shared" si="276"/>
        <v>170749.43481538218</v>
      </c>
      <c r="CB191" s="307">
        <f t="shared" si="277"/>
        <v>150.66579886536906</v>
      </c>
      <c r="CC191" s="309">
        <f t="shared" si="278"/>
        <v>0.49872823192773608</v>
      </c>
      <c r="CD191" s="379">
        <f t="shared" si="265"/>
        <v>1.7682687599065778</v>
      </c>
    </row>
    <row r="192" spans="1:82" x14ac:dyDescent="0.25">
      <c r="A192" s="305">
        <v>184</v>
      </c>
      <c r="B192" s="298" t="s">
        <v>12</v>
      </c>
      <c r="C192" s="298">
        <v>21</v>
      </c>
      <c r="D192" s="361" t="s">
        <v>597</v>
      </c>
      <c r="E192" s="361" t="s">
        <v>668</v>
      </c>
      <c r="F192" s="298" t="s">
        <v>484</v>
      </c>
      <c r="G192" s="311">
        <v>1200</v>
      </c>
      <c r="H192" s="311">
        <f t="shared" si="353"/>
        <v>1200</v>
      </c>
      <c r="I192" s="311">
        <v>1590</v>
      </c>
      <c r="J192" s="306">
        <f t="shared" si="350"/>
        <v>1908000</v>
      </c>
      <c r="K192" s="311">
        <v>190</v>
      </c>
      <c r="L192" s="312">
        <v>1272</v>
      </c>
      <c r="M192" s="309">
        <f t="shared" si="354"/>
        <v>0.75471698113207553</v>
      </c>
      <c r="N192" s="309">
        <f t="shared" si="266"/>
        <v>0.75471698113207553</v>
      </c>
      <c r="O192" s="309">
        <f t="shared" si="256"/>
        <v>0.75471698113207553</v>
      </c>
      <c r="P192" s="327">
        <f t="shared" si="344"/>
        <v>204900</v>
      </c>
      <c r="Q192" s="306">
        <f t="shared" si="257"/>
        <v>302100</v>
      </c>
      <c r="R192" s="309">
        <f t="shared" si="355"/>
        <v>0.67825223435948356</v>
      </c>
      <c r="S192" s="295">
        <v>1200</v>
      </c>
      <c r="T192" s="295">
        <v>1200</v>
      </c>
      <c r="U192" s="310">
        <v>18.399999999999999</v>
      </c>
      <c r="V192" s="310">
        <v>10.1</v>
      </c>
      <c r="W192" s="387">
        <f t="shared" si="267"/>
        <v>10.1</v>
      </c>
      <c r="X192" s="295">
        <v>22.9</v>
      </c>
      <c r="Y192" s="387">
        <f t="shared" si="268"/>
        <v>22.9</v>
      </c>
      <c r="Z192" s="423" t="s">
        <v>413</v>
      </c>
      <c r="AA192" s="325">
        <v>9.82</v>
      </c>
      <c r="AB192" s="325">
        <v>18.22</v>
      </c>
      <c r="AC192" s="295">
        <v>3</v>
      </c>
      <c r="AD192" s="325">
        <f t="shared" si="332"/>
        <v>3.1052631578947367</v>
      </c>
      <c r="AE192" s="295">
        <v>10</v>
      </c>
      <c r="AF192" s="313">
        <f t="shared" si="281"/>
        <v>0.88507743347731438</v>
      </c>
      <c r="AG192" s="313">
        <f t="shared" si="333"/>
        <v>8.6914603967472281</v>
      </c>
      <c r="AH192" s="313">
        <f t="shared" si="334"/>
        <v>16.126110837956666</v>
      </c>
      <c r="AI192" s="308">
        <f t="shared" si="345"/>
        <v>12.478923829061472</v>
      </c>
      <c r="AJ192" s="361" t="s">
        <v>413</v>
      </c>
      <c r="AK192" s="361" t="s">
        <v>413</v>
      </c>
      <c r="AL192" s="298">
        <v>0</v>
      </c>
      <c r="AM192" s="298">
        <v>0</v>
      </c>
      <c r="AN192" s="340">
        <v>0</v>
      </c>
      <c r="AO192" s="298">
        <v>0</v>
      </c>
      <c r="AP192" s="295">
        <f t="shared" si="351"/>
        <v>0</v>
      </c>
      <c r="AQ192" s="298">
        <v>0</v>
      </c>
      <c r="AR192" s="361" t="s">
        <v>413</v>
      </c>
      <c r="AS192" s="361">
        <v>0</v>
      </c>
      <c r="AT192" s="286" t="s">
        <v>413</v>
      </c>
      <c r="AU192" s="306">
        <f t="shared" si="346"/>
        <v>0</v>
      </c>
      <c r="AV192" s="307">
        <v>0</v>
      </c>
      <c r="AW192" s="327">
        <f t="shared" si="336"/>
        <v>0</v>
      </c>
      <c r="AX192" s="306">
        <f t="shared" si="347"/>
        <v>0</v>
      </c>
      <c r="AY192" s="298">
        <v>0</v>
      </c>
      <c r="AZ192" s="306">
        <f t="shared" si="352"/>
        <v>0</v>
      </c>
      <c r="BA192" s="267">
        <v>0</v>
      </c>
      <c r="BB192" s="298">
        <v>628</v>
      </c>
      <c r="BC192" s="309">
        <f t="shared" si="337"/>
        <v>2.0787818603111554</v>
      </c>
      <c r="BD192" s="313">
        <f t="shared" si="269"/>
        <v>0.16658342408261168</v>
      </c>
      <c r="BE192" s="309">
        <f t="shared" si="338"/>
        <v>3.0649097120546607</v>
      </c>
      <c r="BF192" s="307" t="s">
        <v>413</v>
      </c>
      <c r="BG192" s="311">
        <v>419.6</v>
      </c>
      <c r="BH192" s="307">
        <f t="shared" si="349"/>
        <v>419.6</v>
      </c>
      <c r="BI192" s="373">
        <v>0.94430000000000003</v>
      </c>
      <c r="BJ192" s="361">
        <f t="shared" si="258"/>
        <v>0.81399999999999995</v>
      </c>
      <c r="BK192" s="312">
        <f t="shared" si="259"/>
        <v>1</v>
      </c>
      <c r="BL192" s="311">
        <f t="shared" si="348"/>
        <v>322.52981992000002</v>
      </c>
      <c r="BM192" s="309">
        <f t="shared" si="356"/>
        <v>1.0676260176100631</v>
      </c>
      <c r="BN192" s="309">
        <f t="shared" si="343"/>
        <v>1.5740840406051735</v>
      </c>
      <c r="BO192" s="376"/>
      <c r="BP192" s="328">
        <f t="shared" si="272"/>
        <v>4.6806314368251689</v>
      </c>
      <c r="BQ192" s="328">
        <f t="shared" si="260"/>
        <v>0</v>
      </c>
      <c r="BR192" s="328">
        <f t="shared" si="294"/>
        <v>0</v>
      </c>
      <c r="BS192" s="328">
        <f t="shared" si="273"/>
        <v>0</v>
      </c>
      <c r="BT192" s="328">
        <f t="shared" si="274"/>
        <v>2.0787818603111554</v>
      </c>
      <c r="BU192" s="376"/>
      <c r="BV192" s="328">
        <f t="shared" si="261"/>
        <v>0.5</v>
      </c>
      <c r="BW192" s="328">
        <f t="shared" si="262"/>
        <v>0.94339622641509435</v>
      </c>
      <c r="BX192" s="373">
        <f t="shared" si="275"/>
        <v>0.59720124847210421</v>
      </c>
      <c r="BY192" s="311">
        <f t="shared" si="263"/>
        <v>150665.79886536906</v>
      </c>
      <c r="BZ192" s="311">
        <f t="shared" si="264"/>
        <v>0</v>
      </c>
      <c r="CA192" s="311">
        <f t="shared" si="276"/>
        <v>170749.43481538218</v>
      </c>
      <c r="CB192" s="307">
        <f t="shared" si="277"/>
        <v>150.66579886536906</v>
      </c>
      <c r="CC192" s="309">
        <f t="shared" si="278"/>
        <v>0.49872823192773608</v>
      </c>
      <c r="CD192" s="379">
        <f t="shared" si="265"/>
        <v>2.140696975351414</v>
      </c>
    </row>
    <row r="193" spans="1:82" x14ac:dyDescent="0.25">
      <c r="A193" s="305">
        <v>185</v>
      </c>
      <c r="B193" s="298" t="s">
        <v>12</v>
      </c>
      <c r="C193" s="298">
        <v>22</v>
      </c>
      <c r="D193" s="361" t="s">
        <v>597</v>
      </c>
      <c r="E193" s="361" t="s">
        <v>668</v>
      </c>
      <c r="F193" s="298" t="s">
        <v>484</v>
      </c>
      <c r="G193" s="311">
        <v>1200</v>
      </c>
      <c r="H193" s="311">
        <f t="shared" si="353"/>
        <v>1200</v>
      </c>
      <c r="I193" s="311">
        <v>1590</v>
      </c>
      <c r="J193" s="306">
        <f t="shared" si="350"/>
        <v>1908000</v>
      </c>
      <c r="K193" s="311">
        <v>190</v>
      </c>
      <c r="L193" s="312">
        <v>1272</v>
      </c>
      <c r="M193" s="309">
        <f t="shared" si="354"/>
        <v>0.75471698113207553</v>
      </c>
      <c r="N193" s="309">
        <f t="shared" si="266"/>
        <v>0.75471698113207553</v>
      </c>
      <c r="O193" s="309">
        <f t="shared" si="256"/>
        <v>0.75471698113207553</v>
      </c>
      <c r="P193" s="327">
        <f t="shared" si="344"/>
        <v>204900</v>
      </c>
      <c r="Q193" s="306">
        <f t="shared" si="257"/>
        <v>302100</v>
      </c>
      <c r="R193" s="309">
        <f t="shared" si="355"/>
        <v>0.67825223435948356</v>
      </c>
      <c r="S193" s="295">
        <v>1200</v>
      </c>
      <c r="T193" s="295">
        <v>1200</v>
      </c>
      <c r="U193" s="310">
        <v>18.399999999999999</v>
      </c>
      <c r="V193" s="310">
        <v>7.8</v>
      </c>
      <c r="W193" s="387">
        <f t="shared" si="267"/>
        <v>7.8</v>
      </c>
      <c r="X193" s="295">
        <v>23.2</v>
      </c>
      <c r="Y193" s="387">
        <f t="shared" si="268"/>
        <v>23.2</v>
      </c>
      <c r="Z193" s="423" t="s">
        <v>413</v>
      </c>
      <c r="AA193" s="325">
        <v>9.82</v>
      </c>
      <c r="AB193" s="325">
        <v>18.22</v>
      </c>
      <c r="AC193" s="295">
        <v>3</v>
      </c>
      <c r="AD193" s="325">
        <f t="shared" si="332"/>
        <v>3.1052631578947367</v>
      </c>
      <c r="AE193" s="295">
        <v>10</v>
      </c>
      <c r="AF193" s="313">
        <f t="shared" si="281"/>
        <v>0.88507743347731438</v>
      </c>
      <c r="AG193" s="313">
        <f t="shared" si="333"/>
        <v>8.6914603967472281</v>
      </c>
      <c r="AH193" s="313">
        <f t="shared" si="334"/>
        <v>16.126110837956666</v>
      </c>
      <c r="AI193" s="308">
        <f t="shared" si="345"/>
        <v>12.478923829061472</v>
      </c>
      <c r="AJ193" s="361" t="s">
        <v>413</v>
      </c>
      <c r="AK193" s="361" t="s">
        <v>413</v>
      </c>
      <c r="AL193" s="298">
        <v>0</v>
      </c>
      <c r="AM193" s="298">
        <v>0</v>
      </c>
      <c r="AN193" s="340">
        <v>0</v>
      </c>
      <c r="AO193" s="298">
        <v>0</v>
      </c>
      <c r="AP193" s="295">
        <f t="shared" si="351"/>
        <v>0</v>
      </c>
      <c r="AQ193" s="298">
        <v>0</v>
      </c>
      <c r="AR193" s="361" t="s">
        <v>413</v>
      </c>
      <c r="AS193" s="361">
        <v>0</v>
      </c>
      <c r="AT193" s="361" t="s">
        <v>796</v>
      </c>
      <c r="AU193" s="306">
        <f t="shared" si="346"/>
        <v>128.99999999999997</v>
      </c>
      <c r="AV193" s="307">
        <v>21.5</v>
      </c>
      <c r="AW193" s="327">
        <f t="shared" si="336"/>
        <v>128.99999999999997</v>
      </c>
      <c r="AX193" s="306">
        <f t="shared" si="347"/>
        <v>5.6578947368421048E-4</v>
      </c>
      <c r="AY193" s="298">
        <v>530</v>
      </c>
      <c r="AZ193" s="306">
        <f t="shared" si="352"/>
        <v>0.29986842105263156</v>
      </c>
      <c r="BA193" s="267">
        <v>200</v>
      </c>
      <c r="BB193" s="298">
        <v>628</v>
      </c>
      <c r="BC193" s="309">
        <f t="shared" si="337"/>
        <v>2.0787818603111554</v>
      </c>
      <c r="BD193" s="313">
        <f t="shared" si="269"/>
        <v>0.16658342408261168</v>
      </c>
      <c r="BE193" s="309">
        <f t="shared" si="338"/>
        <v>3.0649097120546607</v>
      </c>
      <c r="BF193" s="307" t="s">
        <v>413</v>
      </c>
      <c r="BG193" s="311">
        <v>347.9</v>
      </c>
      <c r="BH193" s="307">
        <f t="shared" si="349"/>
        <v>347.9</v>
      </c>
      <c r="BI193" s="373">
        <v>0.94430000000000003</v>
      </c>
      <c r="BJ193" s="361">
        <f t="shared" si="258"/>
        <v>0.81399999999999995</v>
      </c>
      <c r="BK193" s="312">
        <f t="shared" si="259"/>
        <v>1</v>
      </c>
      <c r="BL193" s="311">
        <f t="shared" si="348"/>
        <v>267.41688357999999</v>
      </c>
      <c r="BM193" s="309">
        <f t="shared" si="356"/>
        <v>0.88519325911949687</v>
      </c>
      <c r="BN193" s="309">
        <f t="shared" si="343"/>
        <v>1.3051092414836507</v>
      </c>
      <c r="BO193" s="376"/>
      <c r="BP193" s="328">
        <f t="shared" si="272"/>
        <v>4.6806314368251689</v>
      </c>
      <c r="BQ193" s="328">
        <f t="shared" si="260"/>
        <v>0.29986842105263156</v>
      </c>
      <c r="BR193" s="328">
        <f t="shared" si="294"/>
        <v>0</v>
      </c>
      <c r="BS193" s="328">
        <f t="shared" si="273"/>
        <v>0.78722053957914506</v>
      </c>
      <c r="BT193" s="328">
        <f t="shared" si="274"/>
        <v>2.0787818603111554</v>
      </c>
      <c r="BU193" s="376"/>
      <c r="BV193" s="328">
        <f t="shared" si="261"/>
        <v>0.5</v>
      </c>
      <c r="BW193" s="328">
        <f t="shared" si="262"/>
        <v>0.94339622641509435</v>
      </c>
      <c r="BX193" s="373">
        <f t="shared" si="275"/>
        <v>0.59720124847210421</v>
      </c>
      <c r="BY193" s="311">
        <f t="shared" si="263"/>
        <v>150665.79886536906</v>
      </c>
      <c r="BZ193" s="311">
        <f t="shared" si="264"/>
        <v>260899.91999999993</v>
      </c>
      <c r="CA193" s="311">
        <f t="shared" si="276"/>
        <v>170749.43481538218</v>
      </c>
      <c r="CB193" s="307">
        <f t="shared" si="277"/>
        <v>170.74943481538219</v>
      </c>
      <c r="CC193" s="309">
        <f t="shared" si="278"/>
        <v>0.5652083244468129</v>
      </c>
      <c r="CD193" s="379">
        <f t="shared" si="265"/>
        <v>1.5661362737108715</v>
      </c>
    </row>
    <row r="194" spans="1:82" x14ac:dyDescent="0.25">
      <c r="A194" s="305">
        <v>186</v>
      </c>
      <c r="B194" s="298" t="s">
        <v>12</v>
      </c>
      <c r="C194" s="298">
        <v>23</v>
      </c>
      <c r="D194" s="361" t="s">
        <v>597</v>
      </c>
      <c r="E194" s="361" t="s">
        <v>668</v>
      </c>
      <c r="F194" s="298" t="s">
        <v>484</v>
      </c>
      <c r="G194" s="311">
        <v>1200</v>
      </c>
      <c r="H194" s="311">
        <f t="shared" si="353"/>
        <v>1200</v>
      </c>
      <c r="I194" s="311">
        <v>1590</v>
      </c>
      <c r="J194" s="306">
        <f t="shared" si="350"/>
        <v>1908000</v>
      </c>
      <c r="K194" s="311">
        <v>190</v>
      </c>
      <c r="L194" s="312">
        <v>1272</v>
      </c>
      <c r="M194" s="309">
        <f t="shared" si="354"/>
        <v>0.75471698113207553</v>
      </c>
      <c r="N194" s="309">
        <f t="shared" si="266"/>
        <v>0.75471698113207553</v>
      </c>
      <c r="O194" s="309">
        <f t="shared" si="256"/>
        <v>0.75471698113207553</v>
      </c>
      <c r="P194" s="327">
        <f t="shared" si="344"/>
        <v>204900</v>
      </c>
      <c r="Q194" s="306">
        <f t="shared" si="257"/>
        <v>302100</v>
      </c>
      <c r="R194" s="309">
        <f t="shared" si="355"/>
        <v>0.67825223435948356</v>
      </c>
      <c r="S194" s="295">
        <v>1200</v>
      </c>
      <c r="T194" s="295">
        <v>1200</v>
      </c>
      <c r="U194" s="310">
        <v>18.399999999999999</v>
      </c>
      <c r="V194" s="310">
        <v>7.8</v>
      </c>
      <c r="W194" s="387">
        <f t="shared" si="267"/>
        <v>7.8</v>
      </c>
      <c r="X194" s="295">
        <v>23.2</v>
      </c>
      <c r="Y194" s="387">
        <f t="shared" si="268"/>
        <v>23.2</v>
      </c>
      <c r="Z194" s="423" t="s">
        <v>413</v>
      </c>
      <c r="AA194" s="325">
        <v>9.82</v>
      </c>
      <c r="AB194" s="325">
        <v>18.22</v>
      </c>
      <c r="AC194" s="295">
        <v>3</v>
      </c>
      <c r="AD194" s="325">
        <f t="shared" si="332"/>
        <v>3.1052631578947367</v>
      </c>
      <c r="AE194" s="295">
        <v>10</v>
      </c>
      <c r="AF194" s="313">
        <f t="shared" si="281"/>
        <v>0.88507743347731438</v>
      </c>
      <c r="AG194" s="313">
        <f t="shared" si="333"/>
        <v>8.6914603967472281</v>
      </c>
      <c r="AH194" s="313">
        <f t="shared" si="334"/>
        <v>16.126110837956666</v>
      </c>
      <c r="AI194" s="308">
        <f t="shared" si="345"/>
        <v>12.478923829061472</v>
      </c>
      <c r="AJ194" s="361" t="s">
        <v>413</v>
      </c>
      <c r="AK194" s="361" t="s">
        <v>413</v>
      </c>
      <c r="AL194" s="298">
        <v>0</v>
      </c>
      <c r="AM194" s="298">
        <v>0</v>
      </c>
      <c r="AN194" s="340">
        <v>0</v>
      </c>
      <c r="AO194" s="298">
        <v>0</v>
      </c>
      <c r="AP194" s="295">
        <f t="shared" si="351"/>
        <v>0</v>
      </c>
      <c r="AQ194" s="298">
        <v>0</v>
      </c>
      <c r="AR194" s="361" t="s">
        <v>413</v>
      </c>
      <c r="AS194" s="361">
        <v>0</v>
      </c>
      <c r="AT194" s="361" t="s">
        <v>796</v>
      </c>
      <c r="AU194" s="306">
        <f t="shared" si="346"/>
        <v>128.99999999999997</v>
      </c>
      <c r="AV194" s="307">
        <v>21.5</v>
      </c>
      <c r="AW194" s="327">
        <f t="shared" si="336"/>
        <v>128.99999999999997</v>
      </c>
      <c r="AX194" s="306">
        <f t="shared" si="347"/>
        <v>5.6578947368421048E-4</v>
      </c>
      <c r="AY194" s="298">
        <v>530</v>
      </c>
      <c r="AZ194" s="306">
        <f t="shared" si="352"/>
        <v>0.29986842105263156</v>
      </c>
      <c r="BA194" s="267">
        <v>200</v>
      </c>
      <c r="BB194" s="298">
        <v>628</v>
      </c>
      <c r="BC194" s="309">
        <f t="shared" si="337"/>
        <v>2.0787818603111554</v>
      </c>
      <c r="BD194" s="313">
        <f t="shared" si="269"/>
        <v>0.16658342408261168</v>
      </c>
      <c r="BE194" s="309">
        <f t="shared" si="338"/>
        <v>3.0649097120546607</v>
      </c>
      <c r="BF194" s="307" t="s">
        <v>413</v>
      </c>
      <c r="BG194" s="311">
        <v>337.1</v>
      </c>
      <c r="BH194" s="307">
        <f t="shared" si="349"/>
        <v>337.1</v>
      </c>
      <c r="BI194" s="373">
        <v>0.94430000000000003</v>
      </c>
      <c r="BJ194" s="361">
        <f t="shared" si="258"/>
        <v>0.81399999999999995</v>
      </c>
      <c r="BK194" s="312">
        <f t="shared" si="259"/>
        <v>1</v>
      </c>
      <c r="BL194" s="311">
        <f t="shared" si="348"/>
        <v>259.11535341999996</v>
      </c>
      <c r="BM194" s="309">
        <f t="shared" si="356"/>
        <v>0.85771384779874194</v>
      </c>
      <c r="BN194" s="309">
        <f t="shared" si="343"/>
        <v>1.26459420897999</v>
      </c>
      <c r="BO194" s="376"/>
      <c r="BP194" s="328">
        <f t="shared" si="272"/>
        <v>4.6806314368251689</v>
      </c>
      <c r="BQ194" s="328">
        <f t="shared" si="260"/>
        <v>0.29986842105263156</v>
      </c>
      <c r="BR194" s="328">
        <f t="shared" si="294"/>
        <v>0</v>
      </c>
      <c r="BS194" s="328">
        <f t="shared" si="273"/>
        <v>0.78722053957914506</v>
      </c>
      <c r="BT194" s="328">
        <f t="shared" si="274"/>
        <v>2.0787818603111554</v>
      </c>
      <c r="BU194" s="376"/>
      <c r="BV194" s="328">
        <f t="shared" si="261"/>
        <v>0.5</v>
      </c>
      <c r="BW194" s="328">
        <f t="shared" si="262"/>
        <v>0.94339622641509435</v>
      </c>
      <c r="BX194" s="373">
        <f t="shared" si="275"/>
        <v>0.59720124847210421</v>
      </c>
      <c r="BY194" s="311">
        <f t="shared" si="263"/>
        <v>150665.79886536906</v>
      </c>
      <c r="BZ194" s="311">
        <f t="shared" si="264"/>
        <v>260899.91999999993</v>
      </c>
      <c r="CA194" s="311">
        <f t="shared" si="276"/>
        <v>170749.43481538218</v>
      </c>
      <c r="CB194" s="307">
        <f t="shared" si="277"/>
        <v>170.74943481538219</v>
      </c>
      <c r="CC194" s="309">
        <f t="shared" si="278"/>
        <v>0.5652083244468129</v>
      </c>
      <c r="CD194" s="379">
        <f t="shared" si="265"/>
        <v>1.5175180737796341</v>
      </c>
    </row>
    <row r="195" spans="1:82" x14ac:dyDescent="0.25">
      <c r="A195" s="305">
        <v>187</v>
      </c>
      <c r="B195" s="298" t="s">
        <v>12</v>
      </c>
      <c r="C195" s="298">
        <v>24</v>
      </c>
      <c r="D195" s="361" t="s">
        <v>597</v>
      </c>
      <c r="E195" s="361" t="s">
        <v>668</v>
      </c>
      <c r="F195" s="298" t="s">
        <v>484</v>
      </c>
      <c r="G195" s="311">
        <v>1200</v>
      </c>
      <c r="H195" s="311">
        <f t="shared" si="353"/>
        <v>1200</v>
      </c>
      <c r="I195" s="311">
        <v>1590</v>
      </c>
      <c r="J195" s="306">
        <f t="shared" si="350"/>
        <v>1908000</v>
      </c>
      <c r="K195" s="311">
        <v>190</v>
      </c>
      <c r="L195" s="312">
        <v>1272</v>
      </c>
      <c r="M195" s="309">
        <f t="shared" si="354"/>
        <v>0.75471698113207553</v>
      </c>
      <c r="N195" s="309">
        <f t="shared" si="266"/>
        <v>0.75471698113207553</v>
      </c>
      <c r="O195" s="309">
        <f t="shared" si="256"/>
        <v>0.75471698113207553</v>
      </c>
      <c r="P195" s="327">
        <f t="shared" si="344"/>
        <v>204900</v>
      </c>
      <c r="Q195" s="306">
        <f t="shared" si="257"/>
        <v>302100</v>
      </c>
      <c r="R195" s="309">
        <f t="shared" si="355"/>
        <v>0.67825223435948356</v>
      </c>
      <c r="S195" s="295">
        <v>1200</v>
      </c>
      <c r="T195" s="295">
        <v>1200</v>
      </c>
      <c r="U195" s="310">
        <v>18.399999999999999</v>
      </c>
      <c r="V195" s="310">
        <v>10.1</v>
      </c>
      <c r="W195" s="387">
        <f t="shared" si="267"/>
        <v>10.1</v>
      </c>
      <c r="X195" s="295">
        <v>22.9</v>
      </c>
      <c r="Y195" s="387">
        <f t="shared" si="268"/>
        <v>22.9</v>
      </c>
      <c r="Z195" s="423" t="s">
        <v>413</v>
      </c>
      <c r="AA195" s="325">
        <v>9.82</v>
      </c>
      <c r="AB195" s="325">
        <v>18.22</v>
      </c>
      <c r="AC195" s="295">
        <v>3</v>
      </c>
      <c r="AD195" s="325">
        <f t="shared" si="332"/>
        <v>3.1052631578947367</v>
      </c>
      <c r="AE195" s="295">
        <v>10</v>
      </c>
      <c r="AF195" s="313">
        <f t="shared" si="281"/>
        <v>0.88507743347731438</v>
      </c>
      <c r="AG195" s="313">
        <f t="shared" si="333"/>
        <v>8.6914603967472281</v>
      </c>
      <c r="AH195" s="313">
        <f t="shared" si="334"/>
        <v>16.126110837956666</v>
      </c>
      <c r="AI195" s="308">
        <f t="shared" si="345"/>
        <v>12.478923829061472</v>
      </c>
      <c r="AJ195" s="361" t="s">
        <v>413</v>
      </c>
      <c r="AK195" s="361" t="s">
        <v>413</v>
      </c>
      <c r="AL195" s="298">
        <v>0</v>
      </c>
      <c r="AM195" s="298">
        <v>0</v>
      </c>
      <c r="AN195" s="340">
        <v>0</v>
      </c>
      <c r="AO195" s="298">
        <v>0</v>
      </c>
      <c r="AP195" s="295">
        <f t="shared" si="351"/>
        <v>0</v>
      </c>
      <c r="AQ195" s="298">
        <v>0</v>
      </c>
      <c r="AR195" s="361" t="s">
        <v>413</v>
      </c>
      <c r="AS195" s="361">
        <v>0</v>
      </c>
      <c r="AT195" s="361" t="s">
        <v>796</v>
      </c>
      <c r="AU195" s="306">
        <f t="shared" si="346"/>
        <v>128.99999999999997</v>
      </c>
      <c r="AV195" s="307">
        <v>21.5</v>
      </c>
      <c r="AW195" s="327">
        <f t="shared" si="336"/>
        <v>128.99999999999997</v>
      </c>
      <c r="AX195" s="306">
        <f t="shared" si="347"/>
        <v>5.6578947368421048E-4</v>
      </c>
      <c r="AY195" s="298">
        <v>530</v>
      </c>
      <c r="AZ195" s="306">
        <f t="shared" si="352"/>
        <v>0.29986842105263156</v>
      </c>
      <c r="BA195" s="267">
        <v>200</v>
      </c>
      <c r="BB195" s="298">
        <v>628</v>
      </c>
      <c r="BC195" s="309">
        <f t="shared" si="337"/>
        <v>2.0787818603111554</v>
      </c>
      <c r="BD195" s="313">
        <f t="shared" si="269"/>
        <v>0.16658342408261168</v>
      </c>
      <c r="BE195" s="309">
        <f t="shared" si="338"/>
        <v>3.0649097120546607</v>
      </c>
      <c r="BF195" s="307" t="s">
        <v>413</v>
      </c>
      <c r="BG195" s="311">
        <v>390.1</v>
      </c>
      <c r="BH195" s="307">
        <f t="shared" si="349"/>
        <v>390.1</v>
      </c>
      <c r="BI195" s="373">
        <v>0.94430000000000003</v>
      </c>
      <c r="BJ195" s="361">
        <f t="shared" si="258"/>
        <v>0.81399999999999995</v>
      </c>
      <c r="BK195" s="312">
        <f t="shared" si="259"/>
        <v>1</v>
      </c>
      <c r="BL195" s="311">
        <f t="shared" si="348"/>
        <v>299.85434401999998</v>
      </c>
      <c r="BM195" s="309">
        <f t="shared" si="356"/>
        <v>0.99256651446540867</v>
      </c>
      <c r="BN195" s="309">
        <f t="shared" si="343"/>
        <v>1.4634179795998048</v>
      </c>
      <c r="BO195" s="376"/>
      <c r="BP195" s="328">
        <f t="shared" si="272"/>
        <v>4.6806314368251689</v>
      </c>
      <c r="BQ195" s="328">
        <f t="shared" si="260"/>
        <v>0.29986842105263156</v>
      </c>
      <c r="BR195" s="328">
        <f t="shared" si="294"/>
        <v>0</v>
      </c>
      <c r="BS195" s="328">
        <f t="shared" si="273"/>
        <v>0.78722053957914506</v>
      </c>
      <c r="BT195" s="328">
        <f t="shared" si="274"/>
        <v>2.0787818603111554</v>
      </c>
      <c r="BU195" s="376"/>
      <c r="BV195" s="328">
        <f t="shared" si="261"/>
        <v>0.5</v>
      </c>
      <c r="BW195" s="328">
        <f t="shared" si="262"/>
        <v>0.94339622641509435</v>
      </c>
      <c r="BX195" s="373">
        <f t="shared" si="275"/>
        <v>0.59720124847210421</v>
      </c>
      <c r="BY195" s="311">
        <f t="shared" si="263"/>
        <v>150665.79886536906</v>
      </c>
      <c r="BZ195" s="311">
        <f t="shared" si="264"/>
        <v>260899.91999999993</v>
      </c>
      <c r="CA195" s="311">
        <f t="shared" si="276"/>
        <v>170749.43481538218</v>
      </c>
      <c r="CB195" s="307">
        <f t="shared" si="277"/>
        <v>170.74943481538219</v>
      </c>
      <c r="CC195" s="309">
        <f t="shared" si="278"/>
        <v>0.5652083244468129</v>
      </c>
      <c r="CD195" s="379">
        <f t="shared" si="265"/>
        <v>1.7561073882570017</v>
      </c>
    </row>
    <row r="196" spans="1:82" x14ac:dyDescent="0.25">
      <c r="A196" s="305">
        <v>188</v>
      </c>
      <c r="B196" s="298" t="s">
        <v>12</v>
      </c>
      <c r="C196" s="298">
        <v>25</v>
      </c>
      <c r="D196" s="361" t="s">
        <v>597</v>
      </c>
      <c r="E196" s="361" t="s">
        <v>668</v>
      </c>
      <c r="F196" s="298" t="s">
        <v>484</v>
      </c>
      <c r="G196" s="311">
        <v>1200</v>
      </c>
      <c r="H196" s="311">
        <f t="shared" si="353"/>
        <v>1200</v>
      </c>
      <c r="I196" s="311">
        <v>1590</v>
      </c>
      <c r="J196" s="306">
        <f t="shared" si="350"/>
        <v>1908000</v>
      </c>
      <c r="K196" s="311">
        <v>190</v>
      </c>
      <c r="L196" s="312">
        <v>1272</v>
      </c>
      <c r="M196" s="309">
        <f t="shared" si="354"/>
        <v>0.75471698113207553</v>
      </c>
      <c r="N196" s="309">
        <f t="shared" si="266"/>
        <v>0.75471698113207553</v>
      </c>
      <c r="O196" s="309">
        <f t="shared" si="256"/>
        <v>0.75471698113207553</v>
      </c>
      <c r="P196" s="327">
        <f t="shared" si="344"/>
        <v>204900</v>
      </c>
      <c r="Q196" s="306">
        <f t="shared" si="257"/>
        <v>302100</v>
      </c>
      <c r="R196" s="309">
        <f t="shared" si="355"/>
        <v>0.67825223435948356</v>
      </c>
      <c r="S196" s="295">
        <v>1200</v>
      </c>
      <c r="T196" s="295">
        <v>1200</v>
      </c>
      <c r="U196" s="310">
        <v>18.399999999999999</v>
      </c>
      <c r="V196" s="310">
        <v>7.8</v>
      </c>
      <c r="W196" s="387">
        <f t="shared" si="267"/>
        <v>7.8</v>
      </c>
      <c r="X196" s="295">
        <v>23.2</v>
      </c>
      <c r="Y196" s="387">
        <f t="shared" si="268"/>
        <v>23.2</v>
      </c>
      <c r="Z196" s="423" t="s">
        <v>413</v>
      </c>
      <c r="AA196" s="325">
        <v>9.82</v>
      </c>
      <c r="AB196" s="325">
        <v>18.22</v>
      </c>
      <c r="AC196" s="295">
        <v>3</v>
      </c>
      <c r="AD196" s="325">
        <f t="shared" si="332"/>
        <v>3.1052631578947367</v>
      </c>
      <c r="AE196" s="295">
        <v>10</v>
      </c>
      <c r="AF196" s="313">
        <f t="shared" si="281"/>
        <v>0.88507743347731438</v>
      </c>
      <c r="AG196" s="313">
        <f t="shared" si="333"/>
        <v>8.6914603967472281</v>
      </c>
      <c r="AH196" s="313">
        <f t="shared" si="334"/>
        <v>16.126110837956666</v>
      </c>
      <c r="AI196" s="308">
        <f t="shared" si="345"/>
        <v>12.478923829061472</v>
      </c>
      <c r="AJ196" s="361" t="s">
        <v>413</v>
      </c>
      <c r="AK196" s="361" t="s">
        <v>413</v>
      </c>
      <c r="AL196" s="298">
        <v>0</v>
      </c>
      <c r="AM196" s="298">
        <v>0</v>
      </c>
      <c r="AN196" s="340">
        <v>0</v>
      </c>
      <c r="AO196" s="298">
        <v>0</v>
      </c>
      <c r="AP196" s="295">
        <f t="shared" si="351"/>
        <v>0</v>
      </c>
      <c r="AQ196" s="298">
        <v>0</v>
      </c>
      <c r="AR196" s="361" t="s">
        <v>413</v>
      </c>
      <c r="AS196" s="361">
        <v>0</v>
      </c>
      <c r="AT196" s="361" t="s">
        <v>797</v>
      </c>
      <c r="AU196" s="306">
        <f t="shared" si="346"/>
        <v>226.20000000000005</v>
      </c>
      <c r="AV196" s="307">
        <v>37.700000000000003</v>
      </c>
      <c r="AW196" s="327">
        <f t="shared" si="336"/>
        <v>226.20000000000005</v>
      </c>
      <c r="AX196" s="306">
        <f t="shared" si="347"/>
        <v>9.9210526315789485E-4</v>
      </c>
      <c r="AY196" s="298">
        <v>560</v>
      </c>
      <c r="AZ196" s="306">
        <f t="shared" si="352"/>
        <v>0.55557894736842117</v>
      </c>
      <c r="BA196" s="267">
        <v>200</v>
      </c>
      <c r="BB196" s="298">
        <v>628</v>
      </c>
      <c r="BC196" s="309">
        <f t="shared" si="337"/>
        <v>2.0787818603111554</v>
      </c>
      <c r="BD196" s="313">
        <f t="shared" si="269"/>
        <v>0.16658342408261168</v>
      </c>
      <c r="BE196" s="309">
        <f t="shared" si="338"/>
        <v>3.0649097120546607</v>
      </c>
      <c r="BF196" s="307" t="s">
        <v>413</v>
      </c>
      <c r="BG196" s="311">
        <v>384.2</v>
      </c>
      <c r="BH196" s="307">
        <f t="shared" si="349"/>
        <v>384.2</v>
      </c>
      <c r="BI196" s="373">
        <v>0.94430000000000003</v>
      </c>
      <c r="BJ196" s="361">
        <f t="shared" si="258"/>
        <v>0.81399999999999995</v>
      </c>
      <c r="BK196" s="312">
        <f t="shared" si="259"/>
        <v>1</v>
      </c>
      <c r="BL196" s="311">
        <f t="shared" si="348"/>
        <v>295.31924883999994</v>
      </c>
      <c r="BM196" s="309">
        <f t="shared" si="356"/>
        <v>0.97755461383647779</v>
      </c>
      <c r="BN196" s="309">
        <f t="shared" si="343"/>
        <v>1.4412847673987308</v>
      </c>
      <c r="BO196" s="376"/>
      <c r="BP196" s="328">
        <f t="shared" si="272"/>
        <v>4.6806314368251689</v>
      </c>
      <c r="BQ196" s="328">
        <f t="shared" si="260"/>
        <v>0.55557894736842117</v>
      </c>
      <c r="BR196" s="328">
        <f t="shared" si="294"/>
        <v>0</v>
      </c>
      <c r="BS196" s="328">
        <f t="shared" si="273"/>
        <v>1.0715290280576306</v>
      </c>
      <c r="BT196" s="328">
        <f t="shared" si="274"/>
        <v>2.0787818603111554</v>
      </c>
      <c r="BU196" s="376"/>
      <c r="BV196" s="328">
        <f t="shared" si="261"/>
        <v>0.5</v>
      </c>
      <c r="BW196" s="328">
        <f t="shared" si="262"/>
        <v>0.94339622641509435</v>
      </c>
      <c r="BX196" s="373">
        <f t="shared" si="275"/>
        <v>0.59720124847210421</v>
      </c>
      <c r="BY196" s="311">
        <f t="shared" si="263"/>
        <v>150665.79886536906</v>
      </c>
      <c r="BZ196" s="311">
        <f t="shared" si="264"/>
        <v>483380.35200000013</v>
      </c>
      <c r="CA196" s="311">
        <f t="shared" si="276"/>
        <v>170749.43481538218</v>
      </c>
      <c r="CB196" s="307">
        <f t="shared" si="277"/>
        <v>170.74943481538219</v>
      </c>
      <c r="CC196" s="309">
        <f t="shared" si="278"/>
        <v>0.5652083244468129</v>
      </c>
      <c r="CD196" s="379">
        <f t="shared" si="265"/>
        <v>1.7295474457019737</v>
      </c>
    </row>
    <row r="197" spans="1:82" x14ac:dyDescent="0.25">
      <c r="A197" s="305">
        <v>189</v>
      </c>
      <c r="B197" s="298" t="s">
        <v>12</v>
      </c>
      <c r="C197" s="298">
        <v>26</v>
      </c>
      <c r="D197" s="361" t="s">
        <v>597</v>
      </c>
      <c r="E197" s="361" t="s">
        <v>668</v>
      </c>
      <c r="F197" s="298" t="s">
        <v>484</v>
      </c>
      <c r="G197" s="311">
        <v>1200</v>
      </c>
      <c r="H197" s="311">
        <f t="shared" si="353"/>
        <v>1200</v>
      </c>
      <c r="I197" s="311">
        <v>1590</v>
      </c>
      <c r="J197" s="306">
        <f t="shared" si="350"/>
        <v>1908000</v>
      </c>
      <c r="K197" s="311">
        <v>190</v>
      </c>
      <c r="L197" s="312">
        <v>1272</v>
      </c>
      <c r="M197" s="309">
        <f t="shared" si="354"/>
        <v>0.75471698113207553</v>
      </c>
      <c r="N197" s="309">
        <f t="shared" si="266"/>
        <v>0.75471698113207553</v>
      </c>
      <c r="O197" s="309">
        <f t="shared" si="256"/>
        <v>0.75471698113207553</v>
      </c>
      <c r="P197" s="327">
        <f t="shared" si="344"/>
        <v>204900</v>
      </c>
      <c r="Q197" s="306">
        <f t="shared" si="257"/>
        <v>302100</v>
      </c>
      <c r="R197" s="309">
        <f t="shared" si="355"/>
        <v>0.67825223435948356</v>
      </c>
      <c r="S197" s="295">
        <v>1200</v>
      </c>
      <c r="T197" s="295">
        <v>1200</v>
      </c>
      <c r="U197" s="310">
        <v>18.399999999999999</v>
      </c>
      <c r="V197" s="310">
        <v>4.5999999999999996</v>
      </c>
      <c r="W197" s="387">
        <f t="shared" si="267"/>
        <v>4.5999999999999996</v>
      </c>
      <c r="X197" s="295">
        <v>24.7</v>
      </c>
      <c r="Y197" s="387">
        <f t="shared" si="268"/>
        <v>24.7</v>
      </c>
      <c r="Z197" s="423" t="s">
        <v>413</v>
      </c>
      <c r="AA197" s="325">
        <v>9.82</v>
      </c>
      <c r="AB197" s="325">
        <v>18.22</v>
      </c>
      <c r="AC197" s="295">
        <v>3</v>
      </c>
      <c r="AD197" s="325">
        <f t="shared" si="332"/>
        <v>3.1052631578947367</v>
      </c>
      <c r="AE197" s="295">
        <v>10</v>
      </c>
      <c r="AF197" s="313">
        <f t="shared" si="281"/>
        <v>0.88507743347731438</v>
      </c>
      <c r="AG197" s="313">
        <f t="shared" si="333"/>
        <v>8.6914603967472281</v>
      </c>
      <c r="AH197" s="313">
        <f t="shared" si="334"/>
        <v>16.126110837956666</v>
      </c>
      <c r="AI197" s="308">
        <f t="shared" si="345"/>
        <v>12.478923829061472</v>
      </c>
      <c r="AJ197" s="361" t="s">
        <v>413</v>
      </c>
      <c r="AK197" s="361" t="s">
        <v>413</v>
      </c>
      <c r="AL197" s="298">
        <v>0</v>
      </c>
      <c r="AM197" s="298">
        <v>0</v>
      </c>
      <c r="AN197" s="340">
        <v>0</v>
      </c>
      <c r="AO197" s="298">
        <v>0</v>
      </c>
      <c r="AP197" s="295">
        <f t="shared" si="351"/>
        <v>0</v>
      </c>
      <c r="AQ197" s="298">
        <v>0</v>
      </c>
      <c r="AR197" s="361" t="s">
        <v>413</v>
      </c>
      <c r="AS197" s="361">
        <v>0</v>
      </c>
      <c r="AT197" s="361" t="s">
        <v>797</v>
      </c>
      <c r="AU197" s="306">
        <f t="shared" si="346"/>
        <v>226.20000000000005</v>
      </c>
      <c r="AV197" s="307">
        <v>37.700000000000003</v>
      </c>
      <c r="AW197" s="327">
        <f t="shared" si="336"/>
        <v>226.20000000000005</v>
      </c>
      <c r="AX197" s="306">
        <f t="shared" si="347"/>
        <v>9.9210526315789485E-4</v>
      </c>
      <c r="AY197" s="298">
        <v>560</v>
      </c>
      <c r="AZ197" s="306">
        <f t="shared" si="352"/>
        <v>0.55557894736842117</v>
      </c>
      <c r="BA197" s="267">
        <v>200</v>
      </c>
      <c r="BB197" s="298">
        <v>628</v>
      </c>
      <c r="BC197" s="309">
        <f t="shared" si="337"/>
        <v>2.0787818603111554</v>
      </c>
      <c r="BD197" s="313">
        <f t="shared" si="269"/>
        <v>0.16658342408261168</v>
      </c>
      <c r="BE197" s="309">
        <f t="shared" si="338"/>
        <v>3.0649097120546607</v>
      </c>
      <c r="BF197" s="307" t="s">
        <v>413</v>
      </c>
      <c r="BG197" s="311">
        <v>362.3</v>
      </c>
      <c r="BH197" s="307">
        <f t="shared" si="349"/>
        <v>362.3</v>
      </c>
      <c r="BI197" s="373">
        <v>0.94430000000000003</v>
      </c>
      <c r="BJ197" s="361">
        <f t="shared" si="258"/>
        <v>0.81399999999999995</v>
      </c>
      <c r="BK197" s="312">
        <f t="shared" si="259"/>
        <v>1</v>
      </c>
      <c r="BL197" s="311">
        <f t="shared" si="348"/>
        <v>278.48559045999997</v>
      </c>
      <c r="BM197" s="309">
        <f t="shared" si="356"/>
        <v>0.92183247421383641</v>
      </c>
      <c r="BN197" s="309">
        <f t="shared" si="343"/>
        <v>1.3591292848218641</v>
      </c>
      <c r="BO197" s="376"/>
      <c r="BP197" s="328">
        <f t="shared" si="272"/>
        <v>4.6806314368251689</v>
      </c>
      <c r="BQ197" s="328">
        <f t="shared" si="260"/>
        <v>0.55557894736842117</v>
      </c>
      <c r="BR197" s="328">
        <f t="shared" si="294"/>
        <v>0</v>
      </c>
      <c r="BS197" s="328">
        <f t="shared" si="273"/>
        <v>1.0715290280576306</v>
      </c>
      <c r="BT197" s="328">
        <f t="shared" si="274"/>
        <v>2.0787818603111554</v>
      </c>
      <c r="BU197" s="376"/>
      <c r="BV197" s="328">
        <f t="shared" si="261"/>
        <v>0.5</v>
      </c>
      <c r="BW197" s="328">
        <f t="shared" si="262"/>
        <v>0.94339622641509435</v>
      </c>
      <c r="BX197" s="373">
        <f t="shared" si="275"/>
        <v>0.59720124847210421</v>
      </c>
      <c r="BY197" s="311">
        <f t="shared" si="263"/>
        <v>150665.79886536906</v>
      </c>
      <c r="BZ197" s="311">
        <f t="shared" si="264"/>
        <v>483380.35200000013</v>
      </c>
      <c r="CA197" s="311">
        <f t="shared" si="276"/>
        <v>170749.43481538218</v>
      </c>
      <c r="CB197" s="307">
        <f t="shared" si="277"/>
        <v>170.74943481538219</v>
      </c>
      <c r="CC197" s="309">
        <f t="shared" si="278"/>
        <v>0.5652083244468129</v>
      </c>
      <c r="CD197" s="379">
        <f t="shared" si="265"/>
        <v>1.6309605402858542</v>
      </c>
    </row>
    <row r="198" spans="1:82" x14ac:dyDescent="0.25">
      <c r="A198" s="305">
        <v>190</v>
      </c>
      <c r="B198" s="298" t="s">
        <v>12</v>
      </c>
      <c r="C198" s="298">
        <v>27</v>
      </c>
      <c r="D198" s="361" t="s">
        <v>597</v>
      </c>
      <c r="E198" s="361" t="s">
        <v>668</v>
      </c>
      <c r="F198" s="298" t="s">
        <v>484</v>
      </c>
      <c r="G198" s="311">
        <v>1200</v>
      </c>
      <c r="H198" s="311">
        <f t="shared" si="353"/>
        <v>1200</v>
      </c>
      <c r="I198" s="311">
        <v>1590</v>
      </c>
      <c r="J198" s="306">
        <f t="shared" si="350"/>
        <v>1908000</v>
      </c>
      <c r="K198" s="311">
        <v>190</v>
      </c>
      <c r="L198" s="312">
        <v>1272</v>
      </c>
      <c r="M198" s="309">
        <f t="shared" si="354"/>
        <v>0.75471698113207553</v>
      </c>
      <c r="N198" s="309">
        <f t="shared" si="266"/>
        <v>0.75471698113207553</v>
      </c>
      <c r="O198" s="309">
        <f t="shared" si="256"/>
        <v>0.75471698113207553</v>
      </c>
      <c r="P198" s="327">
        <f t="shared" si="344"/>
        <v>204900</v>
      </c>
      <c r="Q198" s="306">
        <f t="shared" si="257"/>
        <v>302100</v>
      </c>
      <c r="R198" s="309">
        <f t="shared" si="355"/>
        <v>0.67825223435948356</v>
      </c>
      <c r="S198" s="295">
        <v>1200</v>
      </c>
      <c r="T198" s="295">
        <v>1200</v>
      </c>
      <c r="U198" s="310">
        <v>18.399999999999999</v>
      </c>
      <c r="V198" s="310">
        <v>10.1</v>
      </c>
      <c r="W198" s="387">
        <f t="shared" si="267"/>
        <v>10.1</v>
      </c>
      <c r="X198" s="295">
        <v>22.9</v>
      </c>
      <c r="Y198" s="387">
        <f t="shared" si="268"/>
        <v>22.9</v>
      </c>
      <c r="Z198" s="423" t="s">
        <v>413</v>
      </c>
      <c r="AA198" s="325">
        <v>9.82</v>
      </c>
      <c r="AB198" s="325">
        <v>18.22</v>
      </c>
      <c r="AC198" s="295">
        <v>3</v>
      </c>
      <c r="AD198" s="325">
        <f t="shared" si="332"/>
        <v>3.1052631578947367</v>
      </c>
      <c r="AE198" s="295">
        <v>10</v>
      </c>
      <c r="AF198" s="313">
        <f t="shared" si="281"/>
        <v>0.88507743347731438</v>
      </c>
      <c r="AG198" s="313">
        <f t="shared" si="333"/>
        <v>8.6914603967472281</v>
      </c>
      <c r="AH198" s="313">
        <f t="shared" si="334"/>
        <v>16.126110837956666</v>
      </c>
      <c r="AI198" s="308">
        <f t="shared" si="345"/>
        <v>12.478923829061472</v>
      </c>
      <c r="AJ198" s="361" t="s">
        <v>413</v>
      </c>
      <c r="AK198" s="361" t="s">
        <v>413</v>
      </c>
      <c r="AL198" s="298">
        <v>0</v>
      </c>
      <c r="AM198" s="298">
        <v>0</v>
      </c>
      <c r="AN198" s="340">
        <v>0</v>
      </c>
      <c r="AO198" s="298">
        <v>0</v>
      </c>
      <c r="AP198" s="295">
        <f t="shared" si="351"/>
        <v>0</v>
      </c>
      <c r="AQ198" s="298">
        <v>0</v>
      </c>
      <c r="AR198" s="361" t="s">
        <v>413</v>
      </c>
      <c r="AS198" s="361">
        <v>0</v>
      </c>
      <c r="AT198" s="361" t="s">
        <v>797</v>
      </c>
      <c r="AU198" s="306">
        <f t="shared" si="346"/>
        <v>226.20000000000005</v>
      </c>
      <c r="AV198" s="307">
        <v>37.700000000000003</v>
      </c>
      <c r="AW198" s="327">
        <f t="shared" si="336"/>
        <v>226.20000000000005</v>
      </c>
      <c r="AX198" s="306">
        <f t="shared" si="347"/>
        <v>9.9210526315789485E-4</v>
      </c>
      <c r="AY198" s="298">
        <v>560</v>
      </c>
      <c r="AZ198" s="306">
        <f t="shared" si="352"/>
        <v>0.55557894736842117</v>
      </c>
      <c r="BA198" s="267">
        <v>200</v>
      </c>
      <c r="BB198" s="298">
        <v>628</v>
      </c>
      <c r="BC198" s="309">
        <f t="shared" si="337"/>
        <v>2.0787818603111554</v>
      </c>
      <c r="BD198" s="313">
        <f t="shared" si="269"/>
        <v>0.16658342408261168</v>
      </c>
      <c r="BE198" s="309">
        <f t="shared" si="338"/>
        <v>3.0649097120546607</v>
      </c>
      <c r="BF198" s="307" t="s">
        <v>413</v>
      </c>
      <c r="BG198" s="311">
        <v>325</v>
      </c>
      <c r="BH198" s="307">
        <f t="shared" si="349"/>
        <v>325</v>
      </c>
      <c r="BI198" s="373">
        <v>0.94430000000000003</v>
      </c>
      <c r="BJ198" s="361">
        <f t="shared" si="258"/>
        <v>0.81399999999999995</v>
      </c>
      <c r="BK198" s="312">
        <f t="shared" si="259"/>
        <v>1</v>
      </c>
      <c r="BL198" s="311">
        <f t="shared" si="348"/>
        <v>249.81456500000002</v>
      </c>
      <c r="BM198" s="309">
        <f t="shared" si="356"/>
        <v>0.82692672955974855</v>
      </c>
      <c r="BN198" s="309">
        <f t="shared" si="343"/>
        <v>1.2192023670082968</v>
      </c>
      <c r="BO198" s="376"/>
      <c r="BP198" s="328">
        <f t="shared" si="272"/>
        <v>4.6806314368251689</v>
      </c>
      <c r="BQ198" s="328">
        <f t="shared" si="260"/>
        <v>0.55557894736842117</v>
      </c>
      <c r="BR198" s="328">
        <f t="shared" si="294"/>
        <v>0</v>
      </c>
      <c r="BS198" s="328">
        <f t="shared" si="273"/>
        <v>1.0715290280576306</v>
      </c>
      <c r="BT198" s="328">
        <f t="shared" si="274"/>
        <v>2.0787818603111554</v>
      </c>
      <c r="BU198" s="376"/>
      <c r="BV198" s="328">
        <f t="shared" si="261"/>
        <v>0.5</v>
      </c>
      <c r="BW198" s="328">
        <f t="shared" si="262"/>
        <v>0.94339622641509435</v>
      </c>
      <c r="BX198" s="373">
        <f t="shared" si="275"/>
        <v>0.59720124847210421</v>
      </c>
      <c r="BY198" s="311">
        <f t="shared" si="263"/>
        <v>150665.79886536906</v>
      </c>
      <c r="BZ198" s="311">
        <f t="shared" si="264"/>
        <v>483380.35200000013</v>
      </c>
      <c r="CA198" s="311">
        <f t="shared" si="276"/>
        <v>170749.43481538218</v>
      </c>
      <c r="CB198" s="307">
        <f t="shared" si="277"/>
        <v>170.74943481538219</v>
      </c>
      <c r="CC198" s="309">
        <f t="shared" si="278"/>
        <v>0.5652083244468129</v>
      </c>
      <c r="CD198" s="379">
        <f t="shared" si="265"/>
        <v>1.4630476831159334</v>
      </c>
    </row>
    <row r="199" spans="1:82" x14ac:dyDescent="0.25">
      <c r="A199" s="305">
        <v>191</v>
      </c>
      <c r="B199" s="298" t="s">
        <v>12</v>
      </c>
      <c r="C199" s="298">
        <v>28</v>
      </c>
      <c r="D199" s="361" t="s">
        <v>597</v>
      </c>
      <c r="E199" s="361" t="s">
        <v>668</v>
      </c>
      <c r="F199" s="298" t="s">
        <v>484</v>
      </c>
      <c r="G199" s="311">
        <v>1200</v>
      </c>
      <c r="H199" s="311">
        <f t="shared" si="353"/>
        <v>1200</v>
      </c>
      <c r="I199" s="311">
        <v>1590</v>
      </c>
      <c r="J199" s="306">
        <f t="shared" si="350"/>
        <v>1908000</v>
      </c>
      <c r="K199" s="311">
        <v>190</v>
      </c>
      <c r="L199" s="312">
        <v>1272</v>
      </c>
      <c r="M199" s="309">
        <f t="shared" si="354"/>
        <v>0.75471698113207553</v>
      </c>
      <c r="N199" s="309">
        <f t="shared" si="266"/>
        <v>0.75471698113207553</v>
      </c>
      <c r="O199" s="309">
        <f t="shared" si="256"/>
        <v>0.75471698113207553</v>
      </c>
      <c r="P199" s="327">
        <f t="shared" si="344"/>
        <v>204900</v>
      </c>
      <c r="Q199" s="306">
        <f t="shared" si="257"/>
        <v>302100</v>
      </c>
      <c r="R199" s="309">
        <f t="shared" si="355"/>
        <v>0.67825223435948356</v>
      </c>
      <c r="S199" s="295">
        <v>600</v>
      </c>
      <c r="T199" s="295">
        <v>1200</v>
      </c>
      <c r="U199" s="310">
        <v>18.399999999999999</v>
      </c>
      <c r="V199" s="310">
        <v>7.2</v>
      </c>
      <c r="W199" s="387">
        <f t="shared" si="267"/>
        <v>7.2</v>
      </c>
      <c r="X199" s="295">
        <v>26.3</v>
      </c>
      <c r="Y199" s="387">
        <f t="shared" si="268"/>
        <v>26.3</v>
      </c>
      <c r="Z199" s="423" t="s">
        <v>413</v>
      </c>
      <c r="AA199" s="325">
        <v>9.82</v>
      </c>
      <c r="AB199" s="325">
        <v>18.22</v>
      </c>
      <c r="AC199" s="295">
        <v>3</v>
      </c>
      <c r="AD199" s="325">
        <f t="shared" ref="AD199:AD230" si="360">(190+10+190+10+190)/K199</f>
        <v>3.1052631578947367</v>
      </c>
      <c r="AE199" s="295">
        <v>10</v>
      </c>
      <c r="AF199" s="313">
        <f t="shared" si="281"/>
        <v>0.88507743347731438</v>
      </c>
      <c r="AG199" s="313">
        <f t="shared" si="333"/>
        <v>8.6914603967472281</v>
      </c>
      <c r="AH199" s="313">
        <f t="shared" si="334"/>
        <v>16.126110837956666</v>
      </c>
      <c r="AI199" s="308">
        <f t="shared" si="345"/>
        <v>12.478923829061472</v>
      </c>
      <c r="AJ199" s="361" t="s">
        <v>799</v>
      </c>
      <c r="AK199" s="361" t="s">
        <v>798</v>
      </c>
      <c r="AL199" s="361">
        <v>200</v>
      </c>
      <c r="AM199" s="361">
        <f t="shared" ref="AM199:AM204" si="361">4*AL199</f>
        <v>800</v>
      </c>
      <c r="AN199" s="306">
        <f t="shared" ref="AN199:AN204" si="362">AM199/K199/L199</f>
        <v>3.3101621979476992E-3</v>
      </c>
      <c r="AO199" s="361">
        <v>480</v>
      </c>
      <c r="AP199" s="306">
        <f t="shared" ref="AP199:AP204" si="363">AO199/O199/K199</f>
        <v>3.3473684210526318</v>
      </c>
      <c r="AQ199" s="361">
        <v>400</v>
      </c>
      <c r="AR199" s="361" t="s">
        <v>413</v>
      </c>
      <c r="AS199" s="361">
        <v>0</v>
      </c>
      <c r="AT199" s="361" t="s">
        <v>413</v>
      </c>
      <c r="AU199" s="306">
        <f t="shared" si="346"/>
        <v>0</v>
      </c>
      <c r="AV199" s="307">
        <v>0</v>
      </c>
      <c r="AW199" s="327">
        <f t="shared" ref="AW199:AW230" si="364">AS199+AU199</f>
        <v>0</v>
      </c>
      <c r="AX199" s="306">
        <f t="shared" si="347"/>
        <v>0</v>
      </c>
      <c r="AY199" s="298">
        <v>0</v>
      </c>
      <c r="AZ199" s="306">
        <f t="shared" si="352"/>
        <v>0</v>
      </c>
      <c r="BA199" s="298">
        <v>0</v>
      </c>
      <c r="BB199" s="298">
        <v>628</v>
      </c>
      <c r="BC199" s="309">
        <f t="shared" ref="BC199:BC230" si="365">BB199/Q199*1000</f>
        <v>2.0787818603111554</v>
      </c>
      <c r="BD199" s="313">
        <f t="shared" si="269"/>
        <v>0.16658342408261168</v>
      </c>
      <c r="BE199" s="309">
        <f t="shared" ref="BE199:BE230" si="366">BB199/P199*1000</f>
        <v>3.0649097120546607</v>
      </c>
      <c r="BF199" s="307" t="s">
        <v>413</v>
      </c>
      <c r="BG199" s="311">
        <v>338.4</v>
      </c>
      <c r="BH199" s="307">
        <f t="shared" si="349"/>
        <v>338.4</v>
      </c>
      <c r="BI199" s="373">
        <v>0.94430000000000003</v>
      </c>
      <c r="BJ199" s="361">
        <f t="shared" si="258"/>
        <v>0.81399999999999995</v>
      </c>
      <c r="BK199" s="312">
        <f t="shared" si="259"/>
        <v>1</v>
      </c>
      <c r="BL199" s="311">
        <f t="shared" si="348"/>
        <v>260.11461167999994</v>
      </c>
      <c r="BM199" s="309">
        <f t="shared" si="356"/>
        <v>0.86102155471698094</v>
      </c>
      <c r="BN199" s="309">
        <f t="shared" si="343"/>
        <v>1.2694710184480231</v>
      </c>
      <c r="BO199" s="376"/>
      <c r="BP199" s="328">
        <f t="shared" si="272"/>
        <v>4.6806314368251689</v>
      </c>
      <c r="BQ199" s="328">
        <f t="shared" si="260"/>
        <v>0</v>
      </c>
      <c r="BR199" s="328">
        <f t="shared" si="294"/>
        <v>0.53982658547191931</v>
      </c>
      <c r="BS199" s="328">
        <f t="shared" si="273"/>
        <v>0</v>
      </c>
      <c r="BT199" s="328">
        <f t="shared" si="274"/>
        <v>2.0787818603111554</v>
      </c>
      <c r="BU199" s="376"/>
      <c r="BV199" s="328">
        <f t="shared" si="261"/>
        <v>0.5</v>
      </c>
      <c r="BW199" s="328">
        <f t="shared" si="262"/>
        <v>0.94339622641509435</v>
      </c>
      <c r="BX199" s="373">
        <f t="shared" si="275"/>
        <v>0.59720124847210421</v>
      </c>
      <c r="BY199" s="311">
        <f t="shared" si="263"/>
        <v>150665.79886536906</v>
      </c>
      <c r="BZ199" s="311">
        <f t="shared" si="264"/>
        <v>0</v>
      </c>
      <c r="CA199" s="311">
        <f t="shared" si="276"/>
        <v>170749.43481538218</v>
      </c>
      <c r="CB199" s="307">
        <f t="shared" si="277"/>
        <v>150.66579886536906</v>
      </c>
      <c r="CC199" s="309">
        <f t="shared" si="278"/>
        <v>0.49872823192773608</v>
      </c>
      <c r="CD199" s="379">
        <f t="shared" si="265"/>
        <v>1.7264343576237327</v>
      </c>
    </row>
    <row r="200" spans="1:82" x14ac:dyDescent="0.25">
      <c r="A200" s="305">
        <v>192</v>
      </c>
      <c r="B200" s="298" t="s">
        <v>12</v>
      </c>
      <c r="C200" s="298">
        <v>29</v>
      </c>
      <c r="D200" s="361" t="s">
        <v>597</v>
      </c>
      <c r="E200" s="361" t="s">
        <v>668</v>
      </c>
      <c r="F200" s="298" t="s">
        <v>484</v>
      </c>
      <c r="G200" s="311">
        <v>1200</v>
      </c>
      <c r="H200" s="311">
        <f t="shared" si="353"/>
        <v>1200</v>
      </c>
      <c r="I200" s="311">
        <v>1590</v>
      </c>
      <c r="J200" s="306">
        <f t="shared" si="350"/>
        <v>1908000</v>
      </c>
      <c r="K200" s="311">
        <v>190</v>
      </c>
      <c r="L200" s="312">
        <v>1272</v>
      </c>
      <c r="M200" s="309">
        <f t="shared" si="354"/>
        <v>0.75471698113207553</v>
      </c>
      <c r="N200" s="309">
        <f t="shared" si="266"/>
        <v>0.75471698113207553</v>
      </c>
      <c r="O200" s="309">
        <f t="shared" si="256"/>
        <v>0.75471698113207553</v>
      </c>
      <c r="P200" s="327">
        <f t="shared" si="344"/>
        <v>204900</v>
      </c>
      <c r="Q200" s="306">
        <f t="shared" si="257"/>
        <v>302100</v>
      </c>
      <c r="R200" s="309">
        <f t="shared" si="355"/>
        <v>0.67825223435948356</v>
      </c>
      <c r="S200" s="295">
        <v>600</v>
      </c>
      <c r="T200" s="295">
        <v>1200</v>
      </c>
      <c r="U200" s="310">
        <v>18.399999999999999</v>
      </c>
      <c r="V200" s="310">
        <v>5</v>
      </c>
      <c r="W200" s="387">
        <f t="shared" si="267"/>
        <v>5</v>
      </c>
      <c r="X200" s="295">
        <v>25.2</v>
      </c>
      <c r="Y200" s="387">
        <f t="shared" si="268"/>
        <v>25.2</v>
      </c>
      <c r="Z200" s="423" t="s">
        <v>413</v>
      </c>
      <c r="AA200" s="325">
        <v>9.82</v>
      </c>
      <c r="AB200" s="325">
        <v>18.22</v>
      </c>
      <c r="AC200" s="295">
        <v>3</v>
      </c>
      <c r="AD200" s="325">
        <f t="shared" si="360"/>
        <v>3.1052631578947367</v>
      </c>
      <c r="AE200" s="295">
        <v>10</v>
      </c>
      <c r="AF200" s="313">
        <f t="shared" si="281"/>
        <v>0.88507743347731438</v>
      </c>
      <c r="AG200" s="313">
        <f t="shared" si="333"/>
        <v>8.6914603967472281</v>
      </c>
      <c r="AH200" s="313">
        <f t="shared" si="334"/>
        <v>16.126110837956666</v>
      </c>
      <c r="AI200" s="308">
        <f t="shared" si="345"/>
        <v>12.478923829061472</v>
      </c>
      <c r="AJ200" s="361" t="s">
        <v>799</v>
      </c>
      <c r="AK200" s="361" t="s">
        <v>798</v>
      </c>
      <c r="AL200" s="361">
        <v>200</v>
      </c>
      <c r="AM200" s="361">
        <f t="shared" si="361"/>
        <v>800</v>
      </c>
      <c r="AN200" s="306">
        <f t="shared" si="362"/>
        <v>3.3101621979476992E-3</v>
      </c>
      <c r="AO200" s="361">
        <v>480</v>
      </c>
      <c r="AP200" s="306">
        <f t="shared" si="363"/>
        <v>3.3473684210526318</v>
      </c>
      <c r="AQ200" s="361">
        <v>400</v>
      </c>
      <c r="AR200" s="361" t="s">
        <v>413</v>
      </c>
      <c r="AS200" s="361">
        <v>0</v>
      </c>
      <c r="AT200" s="361" t="s">
        <v>413</v>
      </c>
      <c r="AU200" s="306">
        <f t="shared" si="346"/>
        <v>0</v>
      </c>
      <c r="AV200" s="307">
        <v>0</v>
      </c>
      <c r="AW200" s="327">
        <f t="shared" si="364"/>
        <v>0</v>
      </c>
      <c r="AX200" s="306">
        <f t="shared" si="347"/>
        <v>0</v>
      </c>
      <c r="AY200" s="298">
        <v>0</v>
      </c>
      <c r="AZ200" s="306">
        <f t="shared" si="352"/>
        <v>0</v>
      </c>
      <c r="BA200" s="298">
        <v>0</v>
      </c>
      <c r="BB200" s="298">
        <v>628</v>
      </c>
      <c r="BC200" s="309">
        <f t="shared" si="365"/>
        <v>2.0787818603111554</v>
      </c>
      <c r="BD200" s="313">
        <f t="shared" si="269"/>
        <v>0.16658342408261168</v>
      </c>
      <c r="BE200" s="309">
        <f t="shared" si="366"/>
        <v>3.0649097120546607</v>
      </c>
      <c r="BF200" s="307" t="s">
        <v>413</v>
      </c>
      <c r="BG200" s="311">
        <v>356</v>
      </c>
      <c r="BH200" s="307">
        <f t="shared" si="349"/>
        <v>356</v>
      </c>
      <c r="BI200" s="373">
        <v>0.94430000000000003</v>
      </c>
      <c r="BJ200" s="361">
        <f t="shared" si="258"/>
        <v>0.81399999999999995</v>
      </c>
      <c r="BK200" s="312">
        <f t="shared" si="259"/>
        <v>1</v>
      </c>
      <c r="BL200" s="311">
        <f t="shared" si="348"/>
        <v>273.6430312</v>
      </c>
      <c r="BM200" s="309">
        <f t="shared" si="356"/>
        <v>0.90580281761006287</v>
      </c>
      <c r="BN200" s="309">
        <f t="shared" si="343"/>
        <v>1.3354955158613959</v>
      </c>
      <c r="BO200" s="376"/>
      <c r="BP200" s="328">
        <f t="shared" si="272"/>
        <v>4.6806314368251689</v>
      </c>
      <c r="BQ200" s="328">
        <f t="shared" si="260"/>
        <v>0</v>
      </c>
      <c r="BR200" s="328">
        <f t="shared" si="294"/>
        <v>0.52841685886362666</v>
      </c>
      <c r="BS200" s="328">
        <f t="shared" si="273"/>
        <v>0</v>
      </c>
      <c r="BT200" s="328">
        <f t="shared" si="274"/>
        <v>2.0787818603111554</v>
      </c>
      <c r="BU200" s="376"/>
      <c r="BV200" s="328">
        <f t="shared" si="261"/>
        <v>0.5</v>
      </c>
      <c r="BW200" s="328">
        <f t="shared" si="262"/>
        <v>0.94339622641509435</v>
      </c>
      <c r="BX200" s="373">
        <f t="shared" si="275"/>
        <v>0.59720124847210421</v>
      </c>
      <c r="BY200" s="311">
        <f t="shared" si="263"/>
        <v>150665.79886536906</v>
      </c>
      <c r="BZ200" s="311">
        <f t="shared" si="264"/>
        <v>0</v>
      </c>
      <c r="CA200" s="311">
        <f t="shared" si="276"/>
        <v>170749.43481538218</v>
      </c>
      <c r="CB200" s="307">
        <f t="shared" si="277"/>
        <v>150.66579886536906</v>
      </c>
      <c r="CC200" s="309">
        <f t="shared" si="278"/>
        <v>0.49872823192773608</v>
      </c>
      <c r="CD200" s="379">
        <f t="shared" si="265"/>
        <v>1.8162252698405703</v>
      </c>
    </row>
    <row r="201" spans="1:82" x14ac:dyDescent="0.25">
      <c r="A201" s="305">
        <v>193</v>
      </c>
      <c r="B201" s="298" t="s">
        <v>12</v>
      </c>
      <c r="C201" s="298">
        <v>30</v>
      </c>
      <c r="D201" s="361" t="s">
        <v>597</v>
      </c>
      <c r="E201" s="361" t="s">
        <v>668</v>
      </c>
      <c r="F201" s="298" t="s">
        <v>484</v>
      </c>
      <c r="G201" s="311">
        <v>1200</v>
      </c>
      <c r="H201" s="311">
        <f t="shared" si="353"/>
        <v>1200</v>
      </c>
      <c r="I201" s="311">
        <v>1590</v>
      </c>
      <c r="J201" s="306">
        <f t="shared" si="350"/>
        <v>1908000</v>
      </c>
      <c r="K201" s="311">
        <v>190</v>
      </c>
      <c r="L201" s="312">
        <v>1272</v>
      </c>
      <c r="M201" s="309">
        <f t="shared" si="354"/>
        <v>0.75471698113207553</v>
      </c>
      <c r="N201" s="309">
        <f t="shared" si="266"/>
        <v>0.75471698113207553</v>
      </c>
      <c r="O201" s="309">
        <f t="shared" ref="O201:O297" si="367">H201/I201</f>
        <v>0.75471698113207553</v>
      </c>
      <c r="P201" s="327">
        <f t="shared" si="344"/>
        <v>204900</v>
      </c>
      <c r="Q201" s="306">
        <f t="shared" ref="Q201:Q300" si="368">K201*I201</f>
        <v>302100</v>
      </c>
      <c r="R201" s="309">
        <f t="shared" si="355"/>
        <v>0.67825223435948356</v>
      </c>
      <c r="S201" s="295">
        <v>600</v>
      </c>
      <c r="T201" s="295">
        <v>1200</v>
      </c>
      <c r="U201" s="310">
        <v>18.399999999999999</v>
      </c>
      <c r="V201" s="310">
        <v>6.2</v>
      </c>
      <c r="W201" s="387">
        <f t="shared" si="267"/>
        <v>6.2</v>
      </c>
      <c r="X201" s="295">
        <v>22.8</v>
      </c>
      <c r="Y201" s="387">
        <f t="shared" si="268"/>
        <v>22.8</v>
      </c>
      <c r="Z201" s="423" t="s">
        <v>413</v>
      </c>
      <c r="AA201" s="325">
        <v>9.82</v>
      </c>
      <c r="AB201" s="325">
        <v>18.22</v>
      </c>
      <c r="AC201" s="295">
        <v>3</v>
      </c>
      <c r="AD201" s="325">
        <f t="shared" si="360"/>
        <v>3.1052631578947367</v>
      </c>
      <c r="AE201" s="295">
        <v>10</v>
      </c>
      <c r="AF201" s="313">
        <f t="shared" si="281"/>
        <v>0.88507743347731438</v>
      </c>
      <c r="AG201" s="313">
        <f t="shared" si="333"/>
        <v>8.6914603967472281</v>
      </c>
      <c r="AH201" s="313">
        <f t="shared" si="334"/>
        <v>16.126110837956666</v>
      </c>
      <c r="AI201" s="308">
        <f t="shared" si="345"/>
        <v>12.478923829061472</v>
      </c>
      <c r="AJ201" s="361" t="s">
        <v>799</v>
      </c>
      <c r="AK201" s="361" t="s">
        <v>798</v>
      </c>
      <c r="AL201" s="361">
        <v>200</v>
      </c>
      <c r="AM201" s="361">
        <f t="shared" si="361"/>
        <v>800</v>
      </c>
      <c r="AN201" s="306">
        <f t="shared" si="362"/>
        <v>3.3101621979476992E-3</v>
      </c>
      <c r="AO201" s="361">
        <v>480</v>
      </c>
      <c r="AP201" s="306">
        <f t="shared" si="363"/>
        <v>3.3473684210526318</v>
      </c>
      <c r="AQ201" s="361">
        <v>400</v>
      </c>
      <c r="AR201" s="361" t="s">
        <v>413</v>
      </c>
      <c r="AS201" s="361">
        <v>0</v>
      </c>
      <c r="AT201" s="361" t="s">
        <v>413</v>
      </c>
      <c r="AU201" s="306">
        <f t="shared" si="346"/>
        <v>0</v>
      </c>
      <c r="AV201" s="307">
        <v>0</v>
      </c>
      <c r="AW201" s="327">
        <f t="shared" si="364"/>
        <v>0</v>
      </c>
      <c r="AX201" s="306">
        <f t="shared" si="347"/>
        <v>0</v>
      </c>
      <c r="AY201" s="298">
        <v>0</v>
      </c>
      <c r="AZ201" s="306">
        <f t="shared" si="352"/>
        <v>0</v>
      </c>
      <c r="BA201" s="298">
        <v>0</v>
      </c>
      <c r="BB201" s="298">
        <v>628</v>
      </c>
      <c r="BC201" s="309">
        <f t="shared" si="365"/>
        <v>2.0787818603111554</v>
      </c>
      <c r="BD201" s="313">
        <f t="shared" si="269"/>
        <v>0.16658342408261168</v>
      </c>
      <c r="BE201" s="309">
        <f t="shared" si="366"/>
        <v>3.0649097120546607</v>
      </c>
      <c r="BF201" s="307" t="s">
        <v>413</v>
      </c>
      <c r="BG201" s="311">
        <v>373.9</v>
      </c>
      <c r="BH201" s="307">
        <f t="shared" si="349"/>
        <v>373.9</v>
      </c>
      <c r="BI201" s="373">
        <v>0.94430000000000003</v>
      </c>
      <c r="BJ201" s="361">
        <f t="shared" ref="BJ201:BJ264" si="369">IF(D201="Monotonic",0.814,1)</f>
        <v>0.81399999999999995</v>
      </c>
      <c r="BK201" s="312">
        <f t="shared" ref="BK201:BK264" si="370">IF(E201="Dynamic",0.9,1)</f>
        <v>1</v>
      </c>
      <c r="BL201" s="311">
        <f t="shared" si="348"/>
        <v>287.40204877999997</v>
      </c>
      <c r="BM201" s="309">
        <f t="shared" si="356"/>
        <v>0.95134739748427666</v>
      </c>
      <c r="BN201" s="309">
        <f t="shared" si="343"/>
        <v>1.4026454308443141</v>
      </c>
      <c r="BO201" s="376"/>
      <c r="BP201" s="328">
        <f t="shared" si="272"/>
        <v>4.6806314368251689</v>
      </c>
      <c r="BQ201" s="328">
        <f t="shared" ref="BQ201:BQ237" si="371">AZ201</f>
        <v>0</v>
      </c>
      <c r="BR201" s="328">
        <f t="shared" si="294"/>
        <v>0.50262468995003462</v>
      </c>
      <c r="BS201" s="328">
        <f t="shared" si="273"/>
        <v>0</v>
      </c>
      <c r="BT201" s="328">
        <f t="shared" si="274"/>
        <v>2.0787818603111554</v>
      </c>
      <c r="BU201" s="376"/>
      <c r="BV201" s="328">
        <f t="shared" ref="BV201:BV237" si="372">IF(R201&gt;0.5,0.5,R201)</f>
        <v>0.5</v>
      </c>
      <c r="BW201" s="328">
        <f t="shared" ref="BW201:BW237" si="373">IF(N201*I201/L201&gt;1,1,IF(N201*I201/L201&lt;0.25,0.25,N201*I201/L201))</f>
        <v>0.94339622641509435</v>
      </c>
      <c r="BX201" s="373">
        <f t="shared" si="275"/>
        <v>0.59720124847210421</v>
      </c>
      <c r="BY201" s="311">
        <f t="shared" ref="BY201:BY237" si="374">(BX201*K201*L201+0.25*BB201*1000)*BV201</f>
        <v>150665.79886536906</v>
      </c>
      <c r="BZ201" s="311">
        <f t="shared" ref="BZ201:BZ237" si="375">IF(BA201=0,0,0.6*1*AW201*AY201*L201/BA201)</f>
        <v>0</v>
      </c>
      <c r="CA201" s="311">
        <f t="shared" si="276"/>
        <v>170749.43481538218</v>
      </c>
      <c r="CB201" s="307">
        <f t="shared" si="277"/>
        <v>150.66579886536906</v>
      </c>
      <c r="CC201" s="309">
        <f t="shared" si="278"/>
        <v>0.49872823192773608</v>
      </c>
      <c r="CD201" s="379">
        <f t="shared" ref="CD201:CD237" si="376">BL201/CB201</f>
        <v>1.9075467089701943</v>
      </c>
    </row>
    <row r="202" spans="1:82" x14ac:dyDescent="0.25">
      <c r="A202" s="305">
        <v>194</v>
      </c>
      <c r="B202" s="298" t="s">
        <v>12</v>
      </c>
      <c r="C202" s="298">
        <v>31</v>
      </c>
      <c r="D202" s="361" t="s">
        <v>597</v>
      </c>
      <c r="E202" s="361" t="s">
        <v>668</v>
      </c>
      <c r="F202" s="298" t="s">
        <v>484</v>
      </c>
      <c r="G202" s="311">
        <v>1200</v>
      </c>
      <c r="H202" s="311">
        <f t="shared" si="353"/>
        <v>1200</v>
      </c>
      <c r="I202" s="311">
        <v>1590</v>
      </c>
      <c r="J202" s="306">
        <f t="shared" si="350"/>
        <v>1908000</v>
      </c>
      <c r="K202" s="311">
        <v>190</v>
      </c>
      <c r="L202" s="312">
        <v>1272</v>
      </c>
      <c r="M202" s="309">
        <f t="shared" si="354"/>
        <v>0.75471698113207553</v>
      </c>
      <c r="N202" s="309">
        <f t="shared" ref="N202:N300" si="377">O202</f>
        <v>0.75471698113207553</v>
      </c>
      <c r="O202" s="309">
        <f t="shared" si="367"/>
        <v>0.75471698113207553</v>
      </c>
      <c r="P202" s="327">
        <f t="shared" si="344"/>
        <v>204900</v>
      </c>
      <c r="Q202" s="306">
        <f t="shared" si="368"/>
        <v>302100</v>
      </c>
      <c r="R202" s="309">
        <f t="shared" si="355"/>
        <v>0.67825223435948356</v>
      </c>
      <c r="S202" s="295">
        <v>600</v>
      </c>
      <c r="T202" s="295">
        <v>1200</v>
      </c>
      <c r="U202" s="310">
        <v>18.399999999999999</v>
      </c>
      <c r="V202" s="310">
        <v>7.8</v>
      </c>
      <c r="W202" s="387">
        <f t="shared" ref="W202:W300" si="378">IF(V202="-",0,V202)</f>
        <v>7.8</v>
      </c>
      <c r="X202" s="295">
        <v>23</v>
      </c>
      <c r="Y202" s="387">
        <f t="shared" ref="Y202:Y300" si="379">IF(X202="-",0,X202)</f>
        <v>23</v>
      </c>
      <c r="Z202" s="423" t="s">
        <v>413</v>
      </c>
      <c r="AA202" s="325">
        <v>9.82</v>
      </c>
      <c r="AB202" s="325">
        <v>18.22</v>
      </c>
      <c r="AC202" s="295">
        <v>3</v>
      </c>
      <c r="AD202" s="325">
        <f t="shared" si="360"/>
        <v>3.1052631578947367</v>
      </c>
      <c r="AE202" s="295">
        <v>10</v>
      </c>
      <c r="AF202" s="313">
        <f t="shared" si="281"/>
        <v>0.88507743347731438</v>
      </c>
      <c r="AG202" s="313">
        <f t="shared" ref="AG202:AG238" si="380">AF202*AA202</f>
        <v>8.6914603967472281</v>
      </c>
      <c r="AH202" s="313">
        <f t="shared" ref="AH202:AH238" si="381">AF202*AB202</f>
        <v>16.126110837956666</v>
      </c>
      <c r="AI202" s="308">
        <f t="shared" si="345"/>
        <v>12.478923829061472</v>
      </c>
      <c r="AJ202" s="361" t="s">
        <v>799</v>
      </c>
      <c r="AK202" s="361" t="s">
        <v>798</v>
      </c>
      <c r="AL202" s="361">
        <v>200</v>
      </c>
      <c r="AM202" s="361">
        <f t="shared" si="361"/>
        <v>800</v>
      </c>
      <c r="AN202" s="306">
        <f t="shared" si="362"/>
        <v>3.3101621979476992E-3</v>
      </c>
      <c r="AO202" s="361">
        <v>480</v>
      </c>
      <c r="AP202" s="306">
        <f t="shared" si="363"/>
        <v>3.3473684210526318</v>
      </c>
      <c r="AQ202" s="361">
        <v>400</v>
      </c>
      <c r="AR202" s="361" t="s">
        <v>413</v>
      </c>
      <c r="AS202" s="361">
        <v>0</v>
      </c>
      <c r="AT202" s="361" t="s">
        <v>797</v>
      </c>
      <c r="AU202" s="306">
        <f t="shared" si="346"/>
        <v>226.20000000000005</v>
      </c>
      <c r="AV202" s="307">
        <v>37.700000000000003</v>
      </c>
      <c r="AW202" s="327">
        <f t="shared" si="364"/>
        <v>226.20000000000005</v>
      </c>
      <c r="AX202" s="306">
        <f t="shared" si="347"/>
        <v>9.9210526315789485E-4</v>
      </c>
      <c r="AY202" s="298">
        <v>560</v>
      </c>
      <c r="AZ202" s="306">
        <f t="shared" si="352"/>
        <v>0.55557894736842117</v>
      </c>
      <c r="BA202" s="298">
        <v>200</v>
      </c>
      <c r="BB202" s="298">
        <v>628</v>
      </c>
      <c r="BC202" s="309">
        <f t="shared" si="365"/>
        <v>2.0787818603111554</v>
      </c>
      <c r="BD202" s="313">
        <f t="shared" ref="BD202:BD237" si="382">BC202/AI202</f>
        <v>0.16658342408261168</v>
      </c>
      <c r="BE202" s="309">
        <f t="shared" si="366"/>
        <v>3.0649097120546607</v>
      </c>
      <c r="BF202" s="307" t="s">
        <v>413</v>
      </c>
      <c r="BG202" s="311">
        <v>360.4</v>
      </c>
      <c r="BH202" s="307">
        <f t="shared" si="349"/>
        <v>360.4</v>
      </c>
      <c r="BI202" s="373">
        <v>0.94430000000000003</v>
      </c>
      <c r="BJ202" s="361">
        <f t="shared" si="369"/>
        <v>0.81399999999999995</v>
      </c>
      <c r="BK202" s="312">
        <f t="shared" si="370"/>
        <v>1</v>
      </c>
      <c r="BL202" s="311">
        <f t="shared" si="348"/>
        <v>277.02513607999998</v>
      </c>
      <c r="BM202" s="309">
        <f t="shared" si="356"/>
        <v>0.91699813333333324</v>
      </c>
      <c r="BN202" s="309">
        <f t="shared" ref="BN202:BN233" si="383">BL202/P202*1000</f>
        <v>1.3520016402147388</v>
      </c>
      <c r="BO202" s="376"/>
      <c r="BP202" s="328">
        <f t="shared" ref="BP202:BP237" si="384">SQRT(AI202)/N202</f>
        <v>4.6806314368251689</v>
      </c>
      <c r="BQ202" s="328">
        <f t="shared" si="371"/>
        <v>0.55557894736842117</v>
      </c>
      <c r="BR202" s="328">
        <f t="shared" si="294"/>
        <v>0.50482437087502308</v>
      </c>
      <c r="BS202" s="328">
        <f t="shared" ref="BS202:BS237" si="385">IF(F202="Cantilever",0.6*R202*SQRT(AZ202*AI202),R202*SQRT(AZ202*AI202))</f>
        <v>1.0715290280576306</v>
      </c>
      <c r="BT202" s="328">
        <f t="shared" ref="BT202:BT237" si="386">BC202</f>
        <v>2.0787818603111554</v>
      </c>
      <c r="BU202" s="376"/>
      <c r="BV202" s="328">
        <f t="shared" si="372"/>
        <v>0.5</v>
      </c>
      <c r="BW202" s="328">
        <f t="shared" si="373"/>
        <v>0.94339622641509435</v>
      </c>
      <c r="BX202" s="373">
        <f t="shared" ref="BX202:BX265" si="387">0.16*(2-BW202)*SQRT(AI202)</f>
        <v>0.59720124847210421</v>
      </c>
      <c r="BY202" s="311">
        <f t="shared" si="374"/>
        <v>150665.79886536906</v>
      </c>
      <c r="BZ202" s="311">
        <f t="shared" si="375"/>
        <v>483380.35200000013</v>
      </c>
      <c r="CA202" s="311">
        <f t="shared" ref="CA202:CA237" si="388">0.4*SQRT(AI202)*K202*L202*BV202</f>
        <v>170749.43481538218</v>
      </c>
      <c r="CB202" s="307">
        <f t="shared" ref="CB202:CB237" si="389">IF((BY202+BZ202)&lt;CA202,(BY202+BZ202)/1000,CA202/1000)</f>
        <v>170.74943481538219</v>
      </c>
      <c r="CC202" s="309">
        <f t="shared" ref="CC202:CC265" si="390">CB202/(K202*I202)*1000</f>
        <v>0.5652083244468129</v>
      </c>
      <c r="CD202" s="379">
        <f t="shared" si="376"/>
        <v>1.6224073384460995</v>
      </c>
    </row>
    <row r="203" spans="1:82" x14ac:dyDescent="0.25">
      <c r="A203" s="305">
        <v>195</v>
      </c>
      <c r="B203" s="298" t="s">
        <v>12</v>
      </c>
      <c r="C203" s="298">
        <v>32</v>
      </c>
      <c r="D203" s="361" t="s">
        <v>597</v>
      </c>
      <c r="E203" s="361" t="s">
        <v>668</v>
      </c>
      <c r="F203" s="298" t="s">
        <v>484</v>
      </c>
      <c r="G203" s="311">
        <v>1200</v>
      </c>
      <c r="H203" s="311">
        <f t="shared" si="353"/>
        <v>1200</v>
      </c>
      <c r="I203" s="311">
        <v>1590</v>
      </c>
      <c r="J203" s="306">
        <f t="shared" si="350"/>
        <v>1908000</v>
      </c>
      <c r="K203" s="311">
        <v>190</v>
      </c>
      <c r="L203" s="312">
        <v>1272</v>
      </c>
      <c r="M203" s="309">
        <f t="shared" si="354"/>
        <v>0.75471698113207553</v>
      </c>
      <c r="N203" s="309">
        <f t="shared" si="377"/>
        <v>0.75471698113207553</v>
      </c>
      <c r="O203" s="309">
        <f t="shared" si="367"/>
        <v>0.75471698113207553</v>
      </c>
      <c r="P203" s="327">
        <f t="shared" si="344"/>
        <v>204900</v>
      </c>
      <c r="Q203" s="306">
        <f t="shared" si="368"/>
        <v>302100</v>
      </c>
      <c r="R203" s="309">
        <f t="shared" si="355"/>
        <v>0.67825223435948356</v>
      </c>
      <c r="S203" s="295">
        <v>600</v>
      </c>
      <c r="T203" s="295">
        <v>1200</v>
      </c>
      <c r="U203" s="310">
        <v>18.399999999999999</v>
      </c>
      <c r="V203" s="310">
        <v>6.2</v>
      </c>
      <c r="W203" s="387">
        <f t="shared" si="378"/>
        <v>6.2</v>
      </c>
      <c r="X203" s="295">
        <v>22.8</v>
      </c>
      <c r="Y203" s="387">
        <f t="shared" si="379"/>
        <v>22.8</v>
      </c>
      <c r="Z203" s="423" t="s">
        <v>413</v>
      </c>
      <c r="AA203" s="325">
        <v>9.82</v>
      </c>
      <c r="AB203" s="325">
        <v>18.22</v>
      </c>
      <c r="AC203" s="295">
        <v>3</v>
      </c>
      <c r="AD203" s="325">
        <f t="shared" si="360"/>
        <v>3.1052631578947367</v>
      </c>
      <c r="AE203" s="295">
        <v>10</v>
      </c>
      <c r="AF203" s="313">
        <f t="shared" si="281"/>
        <v>0.88507743347731438</v>
      </c>
      <c r="AG203" s="313">
        <f t="shared" si="380"/>
        <v>8.6914603967472281</v>
      </c>
      <c r="AH203" s="313">
        <f t="shared" si="381"/>
        <v>16.126110837956666</v>
      </c>
      <c r="AI203" s="308">
        <f t="shared" si="345"/>
        <v>12.478923829061472</v>
      </c>
      <c r="AJ203" s="361" t="s">
        <v>799</v>
      </c>
      <c r="AK203" s="361" t="s">
        <v>798</v>
      </c>
      <c r="AL203" s="361">
        <v>200</v>
      </c>
      <c r="AM203" s="361">
        <f t="shared" si="361"/>
        <v>800</v>
      </c>
      <c r="AN203" s="306">
        <f t="shared" si="362"/>
        <v>3.3101621979476992E-3</v>
      </c>
      <c r="AO203" s="361">
        <v>480</v>
      </c>
      <c r="AP203" s="306">
        <f t="shared" si="363"/>
        <v>3.3473684210526318</v>
      </c>
      <c r="AQ203" s="361">
        <v>400</v>
      </c>
      <c r="AR203" s="361" t="s">
        <v>413</v>
      </c>
      <c r="AS203" s="361">
        <v>0</v>
      </c>
      <c r="AT203" s="361" t="s">
        <v>797</v>
      </c>
      <c r="AU203" s="306">
        <f t="shared" si="346"/>
        <v>226.20000000000005</v>
      </c>
      <c r="AV203" s="307">
        <v>37.700000000000003</v>
      </c>
      <c r="AW203" s="327">
        <f t="shared" si="364"/>
        <v>226.20000000000005</v>
      </c>
      <c r="AX203" s="306">
        <f t="shared" si="347"/>
        <v>9.9210526315789485E-4</v>
      </c>
      <c r="AY203" s="298">
        <v>560</v>
      </c>
      <c r="AZ203" s="306">
        <f t="shared" si="352"/>
        <v>0.55557894736842117</v>
      </c>
      <c r="BA203" s="298">
        <v>200</v>
      </c>
      <c r="BB203" s="298">
        <v>628</v>
      </c>
      <c r="BC203" s="309">
        <f t="shared" si="365"/>
        <v>2.0787818603111554</v>
      </c>
      <c r="BD203" s="313">
        <f t="shared" si="382"/>
        <v>0.16658342408261168</v>
      </c>
      <c r="BE203" s="309">
        <f t="shared" si="366"/>
        <v>3.0649097120546607</v>
      </c>
      <c r="BF203" s="307" t="s">
        <v>413</v>
      </c>
      <c r="BG203" s="311">
        <v>349.7</v>
      </c>
      <c r="BH203" s="307">
        <f t="shared" si="349"/>
        <v>349.7</v>
      </c>
      <c r="BI203" s="373">
        <v>0.94430000000000003</v>
      </c>
      <c r="BJ203" s="361">
        <f t="shared" si="369"/>
        <v>0.81399999999999995</v>
      </c>
      <c r="BK203" s="312">
        <f t="shared" si="370"/>
        <v>1</v>
      </c>
      <c r="BL203" s="311">
        <f t="shared" si="348"/>
        <v>268.80047193999997</v>
      </c>
      <c r="BM203" s="309">
        <f t="shared" si="356"/>
        <v>0.88977316100628923</v>
      </c>
      <c r="BN203" s="309">
        <f t="shared" si="383"/>
        <v>1.3118617469009271</v>
      </c>
      <c r="BO203" s="376"/>
      <c r="BP203" s="328">
        <f t="shared" si="384"/>
        <v>4.6806314368251689</v>
      </c>
      <c r="BQ203" s="328">
        <f t="shared" si="371"/>
        <v>0.55557894736842117</v>
      </c>
      <c r="BR203" s="328">
        <f t="shared" si="294"/>
        <v>0.50262468995003462</v>
      </c>
      <c r="BS203" s="328">
        <f t="shared" si="385"/>
        <v>1.0715290280576306</v>
      </c>
      <c r="BT203" s="328">
        <f t="shared" si="386"/>
        <v>2.0787818603111554</v>
      </c>
      <c r="BU203" s="376"/>
      <c r="BV203" s="328">
        <f t="shared" si="372"/>
        <v>0.5</v>
      </c>
      <c r="BW203" s="328">
        <f t="shared" si="373"/>
        <v>0.94339622641509435</v>
      </c>
      <c r="BX203" s="373">
        <f t="shared" si="387"/>
        <v>0.59720124847210421</v>
      </c>
      <c r="BY203" s="311">
        <f t="shared" si="374"/>
        <v>150665.79886536906</v>
      </c>
      <c r="BZ203" s="311">
        <f t="shared" si="375"/>
        <v>483380.35200000013</v>
      </c>
      <c r="CA203" s="311">
        <f t="shared" si="388"/>
        <v>170749.43481538218</v>
      </c>
      <c r="CB203" s="307">
        <f t="shared" si="389"/>
        <v>170.74943481538219</v>
      </c>
      <c r="CC203" s="309">
        <f t="shared" si="390"/>
        <v>0.5652083244468129</v>
      </c>
      <c r="CD203" s="379">
        <f t="shared" si="376"/>
        <v>1.5742393070327441</v>
      </c>
    </row>
    <row r="204" spans="1:82" x14ac:dyDescent="0.25">
      <c r="A204" s="305">
        <v>196</v>
      </c>
      <c r="B204" s="298" t="s">
        <v>12</v>
      </c>
      <c r="C204" s="298">
        <v>33</v>
      </c>
      <c r="D204" s="361" t="s">
        <v>597</v>
      </c>
      <c r="E204" s="361" t="s">
        <v>668</v>
      </c>
      <c r="F204" s="298" t="s">
        <v>484</v>
      </c>
      <c r="G204" s="311">
        <v>1200</v>
      </c>
      <c r="H204" s="311">
        <f t="shared" si="353"/>
        <v>1200</v>
      </c>
      <c r="I204" s="311">
        <v>1590</v>
      </c>
      <c r="J204" s="306">
        <f t="shared" si="350"/>
        <v>1908000</v>
      </c>
      <c r="K204" s="311">
        <v>190</v>
      </c>
      <c r="L204" s="312">
        <v>1272</v>
      </c>
      <c r="M204" s="309">
        <f t="shared" si="354"/>
        <v>0.75471698113207553</v>
      </c>
      <c r="N204" s="309">
        <f t="shared" si="377"/>
        <v>0.75471698113207553</v>
      </c>
      <c r="O204" s="309">
        <f t="shared" si="367"/>
        <v>0.75471698113207553</v>
      </c>
      <c r="P204" s="327">
        <f t="shared" ref="P204:P237" si="391">(4*390/2*K204)+(I204-4*390/2)*(35)*2</f>
        <v>204900</v>
      </c>
      <c r="Q204" s="306">
        <f t="shared" si="368"/>
        <v>302100</v>
      </c>
      <c r="R204" s="309">
        <f t="shared" si="355"/>
        <v>0.67825223435948356</v>
      </c>
      <c r="S204" s="295">
        <v>600</v>
      </c>
      <c r="T204" s="295">
        <v>1200</v>
      </c>
      <c r="U204" s="310">
        <v>18.399999999999999</v>
      </c>
      <c r="V204" s="310">
        <v>5</v>
      </c>
      <c r="W204" s="387">
        <f t="shared" si="378"/>
        <v>5</v>
      </c>
      <c r="X204" s="295">
        <v>25.2</v>
      </c>
      <c r="Y204" s="387">
        <f t="shared" si="379"/>
        <v>25.2</v>
      </c>
      <c r="Z204" s="423" t="s">
        <v>413</v>
      </c>
      <c r="AA204" s="325">
        <v>9.82</v>
      </c>
      <c r="AB204" s="325">
        <v>18.22</v>
      </c>
      <c r="AC204" s="295">
        <v>3</v>
      </c>
      <c r="AD204" s="325">
        <f t="shared" si="360"/>
        <v>3.1052631578947367</v>
      </c>
      <c r="AE204" s="295">
        <v>10</v>
      </c>
      <c r="AF204" s="313">
        <f t="shared" ref="AF204:AF300" si="392">1-0.058*(5-AD204)^1.07</f>
        <v>0.88507743347731438</v>
      </c>
      <c r="AG204" s="313">
        <f t="shared" si="380"/>
        <v>8.6914603967472281</v>
      </c>
      <c r="AH204" s="313">
        <f t="shared" si="381"/>
        <v>16.126110837956666</v>
      </c>
      <c r="AI204" s="308">
        <f t="shared" ref="AI204:AI235" si="393">((4*390/2)*AG204+(I204-4*390/2)*AH204)/I204</f>
        <v>12.478923829061472</v>
      </c>
      <c r="AJ204" s="361" t="s">
        <v>799</v>
      </c>
      <c r="AK204" s="361" t="s">
        <v>798</v>
      </c>
      <c r="AL204" s="361">
        <v>200</v>
      </c>
      <c r="AM204" s="361">
        <f t="shared" si="361"/>
        <v>800</v>
      </c>
      <c r="AN204" s="306">
        <f t="shared" si="362"/>
        <v>3.3101621979476992E-3</v>
      </c>
      <c r="AO204" s="361">
        <v>480</v>
      </c>
      <c r="AP204" s="306">
        <f t="shared" si="363"/>
        <v>3.3473684210526318</v>
      </c>
      <c r="AQ204" s="361">
        <v>400</v>
      </c>
      <c r="AR204" s="361" t="s">
        <v>413</v>
      </c>
      <c r="AS204" s="361">
        <v>0</v>
      </c>
      <c r="AT204" s="361" t="s">
        <v>797</v>
      </c>
      <c r="AU204" s="306">
        <f t="shared" ref="AU204:AU237" si="394">AX204*G204*K204</f>
        <v>226.20000000000005</v>
      </c>
      <c r="AV204" s="307">
        <v>37.700000000000003</v>
      </c>
      <c r="AW204" s="327">
        <f t="shared" si="364"/>
        <v>226.20000000000005</v>
      </c>
      <c r="AX204" s="306">
        <f t="shared" ref="AX204:AX235" si="395">IF(AV204=0,0,AV204/(BA204*K204))</f>
        <v>9.9210526315789485E-4</v>
      </c>
      <c r="AY204" s="298">
        <v>560</v>
      </c>
      <c r="AZ204" s="306">
        <f t="shared" si="352"/>
        <v>0.55557894736842117</v>
      </c>
      <c r="BA204" s="298">
        <v>200</v>
      </c>
      <c r="BB204" s="298">
        <v>628</v>
      </c>
      <c r="BC204" s="309">
        <f t="shared" si="365"/>
        <v>2.0787818603111554</v>
      </c>
      <c r="BD204" s="313">
        <f t="shared" si="382"/>
        <v>0.16658342408261168</v>
      </c>
      <c r="BE204" s="309">
        <f t="shared" si="366"/>
        <v>3.0649097120546607</v>
      </c>
      <c r="BF204" s="307" t="s">
        <v>413</v>
      </c>
      <c r="BG204" s="311">
        <v>377.8</v>
      </c>
      <c r="BH204" s="307">
        <f t="shared" si="349"/>
        <v>377.8</v>
      </c>
      <c r="BI204" s="373">
        <v>0.94430000000000003</v>
      </c>
      <c r="BJ204" s="361">
        <f t="shared" si="369"/>
        <v>0.81399999999999995</v>
      </c>
      <c r="BK204" s="312">
        <f t="shared" si="370"/>
        <v>1</v>
      </c>
      <c r="BL204" s="311">
        <f t="shared" si="348"/>
        <v>290.39982356000002</v>
      </c>
      <c r="BM204" s="309">
        <f t="shared" si="356"/>
        <v>0.96127051823899379</v>
      </c>
      <c r="BN204" s="309">
        <f t="shared" si="383"/>
        <v>1.4172758592484138</v>
      </c>
      <c r="BO204" s="376"/>
      <c r="BP204" s="328">
        <f t="shared" si="384"/>
        <v>4.6806314368251689</v>
      </c>
      <c r="BQ204" s="328">
        <f t="shared" si="371"/>
        <v>0.55557894736842117</v>
      </c>
      <c r="BR204" s="328">
        <f t="shared" si="294"/>
        <v>0.52841685886362666</v>
      </c>
      <c r="BS204" s="328">
        <f t="shared" si="385"/>
        <v>1.0715290280576306</v>
      </c>
      <c r="BT204" s="328">
        <f t="shared" si="386"/>
        <v>2.0787818603111554</v>
      </c>
      <c r="BU204" s="376"/>
      <c r="BV204" s="328">
        <f t="shared" si="372"/>
        <v>0.5</v>
      </c>
      <c r="BW204" s="328">
        <f t="shared" si="373"/>
        <v>0.94339622641509435</v>
      </c>
      <c r="BX204" s="373">
        <f t="shared" si="387"/>
        <v>0.59720124847210421</v>
      </c>
      <c r="BY204" s="311">
        <f t="shared" si="374"/>
        <v>150665.79886536906</v>
      </c>
      <c r="BZ204" s="311">
        <f t="shared" si="375"/>
        <v>483380.35200000013</v>
      </c>
      <c r="CA204" s="311">
        <f t="shared" si="388"/>
        <v>170749.43481538218</v>
      </c>
      <c r="CB204" s="307">
        <f t="shared" si="389"/>
        <v>170.74943481538219</v>
      </c>
      <c r="CC204" s="309">
        <f t="shared" si="390"/>
        <v>0.5652083244468129</v>
      </c>
      <c r="CD204" s="379">
        <f t="shared" si="376"/>
        <v>1.7007366605575374</v>
      </c>
    </row>
    <row r="205" spans="1:82" x14ac:dyDescent="0.25">
      <c r="A205" s="305">
        <v>197</v>
      </c>
      <c r="B205" s="298" t="s">
        <v>12</v>
      </c>
      <c r="C205" s="298">
        <v>34</v>
      </c>
      <c r="D205" s="361" t="s">
        <v>597</v>
      </c>
      <c r="E205" s="361" t="s">
        <v>668</v>
      </c>
      <c r="F205" s="298" t="s">
        <v>484</v>
      </c>
      <c r="G205" s="311">
        <v>1200</v>
      </c>
      <c r="H205" s="311">
        <f t="shared" si="353"/>
        <v>1200</v>
      </c>
      <c r="I205" s="311">
        <v>1590</v>
      </c>
      <c r="J205" s="306">
        <f t="shared" si="350"/>
        <v>1908000</v>
      </c>
      <c r="K205" s="311">
        <v>190</v>
      </c>
      <c r="L205" s="312">
        <v>1272</v>
      </c>
      <c r="M205" s="309">
        <f t="shared" si="354"/>
        <v>0.75471698113207553</v>
      </c>
      <c r="N205" s="309">
        <f t="shared" si="377"/>
        <v>0.75471698113207553</v>
      </c>
      <c r="O205" s="309">
        <f t="shared" si="367"/>
        <v>0.75471698113207553</v>
      </c>
      <c r="P205" s="327">
        <f t="shared" si="391"/>
        <v>204900</v>
      </c>
      <c r="Q205" s="306">
        <f t="shared" si="368"/>
        <v>302100</v>
      </c>
      <c r="R205" s="309">
        <f t="shared" si="355"/>
        <v>0.67825223435948356</v>
      </c>
      <c r="S205" s="295">
        <v>1200</v>
      </c>
      <c r="T205" s="295">
        <v>1200</v>
      </c>
      <c r="U205" s="310">
        <v>18.399999999999999</v>
      </c>
      <c r="V205" s="310">
        <v>7.5</v>
      </c>
      <c r="W205" s="387">
        <f t="shared" si="378"/>
        <v>7.5</v>
      </c>
      <c r="X205" s="295">
        <v>21.4</v>
      </c>
      <c r="Y205" s="387">
        <f t="shared" si="379"/>
        <v>21.4</v>
      </c>
      <c r="Z205" s="423" t="s">
        <v>413</v>
      </c>
      <c r="AA205" s="325">
        <v>9.82</v>
      </c>
      <c r="AB205" s="325">
        <v>18.22</v>
      </c>
      <c r="AC205" s="295">
        <v>3</v>
      </c>
      <c r="AD205" s="325">
        <f t="shared" si="360"/>
        <v>3.1052631578947367</v>
      </c>
      <c r="AE205" s="295">
        <v>10</v>
      </c>
      <c r="AF205" s="313">
        <f t="shared" si="392"/>
        <v>0.88507743347731438</v>
      </c>
      <c r="AG205" s="313">
        <f t="shared" si="380"/>
        <v>8.6914603967472281</v>
      </c>
      <c r="AH205" s="313">
        <f t="shared" si="381"/>
        <v>16.126110837956666</v>
      </c>
      <c r="AI205" s="308">
        <f t="shared" si="393"/>
        <v>12.478923829061472</v>
      </c>
      <c r="AJ205" s="361" t="s">
        <v>413</v>
      </c>
      <c r="AK205" s="361" t="s">
        <v>413</v>
      </c>
      <c r="AL205" s="298">
        <v>0</v>
      </c>
      <c r="AM205" s="298">
        <v>0</v>
      </c>
      <c r="AN205" s="340">
        <v>0</v>
      </c>
      <c r="AO205" s="298">
        <v>0</v>
      </c>
      <c r="AP205" s="295">
        <f t="shared" si="351"/>
        <v>0</v>
      </c>
      <c r="AQ205" s="298">
        <v>0</v>
      </c>
      <c r="AR205" s="361" t="s">
        <v>413</v>
      </c>
      <c r="AS205" s="298">
        <v>0</v>
      </c>
      <c r="AT205" s="361" t="s">
        <v>413</v>
      </c>
      <c r="AU205" s="306">
        <f t="shared" si="394"/>
        <v>0</v>
      </c>
      <c r="AV205" s="307">
        <v>0</v>
      </c>
      <c r="AW205" s="327">
        <f t="shared" si="364"/>
        <v>0</v>
      </c>
      <c r="AX205" s="306">
        <f t="shared" si="395"/>
        <v>0</v>
      </c>
      <c r="AY205" s="298">
        <v>0</v>
      </c>
      <c r="AZ205" s="306">
        <f t="shared" si="352"/>
        <v>0</v>
      </c>
      <c r="BA205" s="298">
        <v>0</v>
      </c>
      <c r="BB205" s="298">
        <v>353</v>
      </c>
      <c r="BC205" s="309">
        <f t="shared" si="365"/>
        <v>1.1684872558755379</v>
      </c>
      <c r="BD205" s="313">
        <f t="shared" si="382"/>
        <v>9.3636860989111337E-2</v>
      </c>
      <c r="BE205" s="309">
        <f t="shared" si="366"/>
        <v>1.7227916056612982</v>
      </c>
      <c r="BF205" s="307" t="s">
        <v>413</v>
      </c>
      <c r="BG205" s="311">
        <v>186.4</v>
      </c>
      <c r="BH205" s="307">
        <f t="shared" si="349"/>
        <v>186.4</v>
      </c>
      <c r="BI205" s="373">
        <v>0.94430000000000003</v>
      </c>
      <c r="BJ205" s="361">
        <f t="shared" si="369"/>
        <v>0.81399999999999995</v>
      </c>
      <c r="BK205" s="312">
        <f t="shared" si="370"/>
        <v>1</v>
      </c>
      <c r="BL205" s="311">
        <f t="shared" si="348"/>
        <v>143.27826128000001</v>
      </c>
      <c r="BM205" s="309">
        <f t="shared" si="356"/>
        <v>0.47427428427672963</v>
      </c>
      <c r="BN205" s="309">
        <f t="shared" si="383"/>
        <v>0.69925944987798927</v>
      </c>
      <c r="BO205" s="376"/>
      <c r="BP205" s="328">
        <f t="shared" si="384"/>
        <v>4.6806314368251689</v>
      </c>
      <c r="BQ205" s="328">
        <f t="shared" si="371"/>
        <v>0</v>
      </c>
      <c r="BR205" s="328">
        <f t="shared" si="294"/>
        <v>0</v>
      </c>
      <c r="BS205" s="328">
        <f t="shared" si="385"/>
        <v>0</v>
      </c>
      <c r="BT205" s="328">
        <f t="shared" si="386"/>
        <v>1.1684872558755379</v>
      </c>
      <c r="BU205" s="376"/>
      <c r="BV205" s="328">
        <f t="shared" si="372"/>
        <v>0.5</v>
      </c>
      <c r="BW205" s="328">
        <f t="shared" si="373"/>
        <v>0.94339622641509435</v>
      </c>
      <c r="BX205" s="373">
        <f t="shared" si="387"/>
        <v>0.59720124847210421</v>
      </c>
      <c r="BY205" s="311">
        <f t="shared" si="374"/>
        <v>116290.79886536907</v>
      </c>
      <c r="BZ205" s="311">
        <f t="shared" si="375"/>
        <v>0</v>
      </c>
      <c r="CA205" s="311">
        <f t="shared" si="388"/>
        <v>170749.43481538218</v>
      </c>
      <c r="CB205" s="307">
        <f t="shared" si="389"/>
        <v>116.29079886536907</v>
      </c>
      <c r="CC205" s="309">
        <f t="shared" si="390"/>
        <v>0.38494140637328389</v>
      </c>
      <c r="CD205" s="379">
        <f t="shared" si="376"/>
        <v>1.2320687679330036</v>
      </c>
    </row>
    <row r="206" spans="1:82" x14ac:dyDescent="0.25">
      <c r="A206" s="305">
        <v>198</v>
      </c>
      <c r="B206" s="298" t="s">
        <v>12</v>
      </c>
      <c r="C206" s="298">
        <v>35</v>
      </c>
      <c r="D206" s="361" t="s">
        <v>597</v>
      </c>
      <c r="E206" s="361" t="s">
        <v>668</v>
      </c>
      <c r="F206" s="298" t="s">
        <v>484</v>
      </c>
      <c r="G206" s="311">
        <v>1200</v>
      </c>
      <c r="H206" s="311">
        <f t="shared" si="353"/>
        <v>1200</v>
      </c>
      <c r="I206" s="311">
        <v>1590</v>
      </c>
      <c r="J206" s="306">
        <f t="shared" si="350"/>
        <v>1908000</v>
      </c>
      <c r="K206" s="311">
        <v>190</v>
      </c>
      <c r="L206" s="312">
        <v>1272</v>
      </c>
      <c r="M206" s="309">
        <f t="shared" si="354"/>
        <v>0.75471698113207553</v>
      </c>
      <c r="N206" s="309">
        <f t="shared" si="377"/>
        <v>0.75471698113207553</v>
      </c>
      <c r="O206" s="309">
        <f t="shared" si="367"/>
        <v>0.75471698113207553</v>
      </c>
      <c r="P206" s="327">
        <f t="shared" si="391"/>
        <v>204900</v>
      </c>
      <c r="Q206" s="306">
        <f t="shared" si="368"/>
        <v>302100</v>
      </c>
      <c r="R206" s="309">
        <f t="shared" si="355"/>
        <v>0.67825223435948356</v>
      </c>
      <c r="S206" s="295">
        <v>1200</v>
      </c>
      <c r="T206" s="295">
        <v>1200</v>
      </c>
      <c r="U206" s="310">
        <v>18.399999999999999</v>
      </c>
      <c r="V206" s="310">
        <v>6.2</v>
      </c>
      <c r="W206" s="387">
        <f t="shared" si="378"/>
        <v>6.2</v>
      </c>
      <c r="X206" s="295">
        <v>22.8</v>
      </c>
      <c r="Y206" s="387">
        <f t="shared" si="379"/>
        <v>22.8</v>
      </c>
      <c r="Z206" s="423" t="s">
        <v>413</v>
      </c>
      <c r="AA206" s="325">
        <v>9.82</v>
      </c>
      <c r="AB206" s="325">
        <v>18.22</v>
      </c>
      <c r="AC206" s="295">
        <v>3</v>
      </c>
      <c r="AD206" s="325">
        <f t="shared" si="360"/>
        <v>3.1052631578947367</v>
      </c>
      <c r="AE206" s="295">
        <v>10</v>
      </c>
      <c r="AF206" s="313">
        <f t="shared" si="392"/>
        <v>0.88507743347731438</v>
      </c>
      <c r="AG206" s="313">
        <f t="shared" si="380"/>
        <v>8.6914603967472281</v>
      </c>
      <c r="AH206" s="313">
        <f t="shared" si="381"/>
        <v>16.126110837956666</v>
      </c>
      <c r="AI206" s="308">
        <f t="shared" si="393"/>
        <v>12.478923829061472</v>
      </c>
      <c r="AJ206" s="361" t="s">
        <v>413</v>
      </c>
      <c r="AK206" s="361" t="s">
        <v>413</v>
      </c>
      <c r="AL206" s="298">
        <v>0</v>
      </c>
      <c r="AM206" s="298">
        <v>0</v>
      </c>
      <c r="AN206" s="340">
        <v>0</v>
      </c>
      <c r="AO206" s="298">
        <v>0</v>
      </c>
      <c r="AP206" s="295">
        <f t="shared" si="351"/>
        <v>0</v>
      </c>
      <c r="AQ206" s="298">
        <v>0</v>
      </c>
      <c r="AR206" s="361" t="s">
        <v>413</v>
      </c>
      <c r="AS206" s="298">
        <v>0</v>
      </c>
      <c r="AT206" s="361" t="s">
        <v>413</v>
      </c>
      <c r="AU206" s="306">
        <f t="shared" si="394"/>
        <v>0</v>
      </c>
      <c r="AV206" s="307">
        <v>0</v>
      </c>
      <c r="AW206" s="327">
        <f t="shared" si="364"/>
        <v>0</v>
      </c>
      <c r="AX206" s="306">
        <f t="shared" si="395"/>
        <v>0</v>
      </c>
      <c r="AY206" s="298">
        <v>0</v>
      </c>
      <c r="AZ206" s="306">
        <f t="shared" si="352"/>
        <v>0</v>
      </c>
      <c r="BA206" s="298">
        <v>0</v>
      </c>
      <c r="BB206" s="298">
        <v>353</v>
      </c>
      <c r="BC206" s="309">
        <f t="shared" si="365"/>
        <v>1.1684872558755379</v>
      </c>
      <c r="BD206" s="313">
        <f t="shared" si="382"/>
        <v>9.3636860989111337E-2</v>
      </c>
      <c r="BE206" s="309">
        <f t="shared" si="366"/>
        <v>1.7227916056612982</v>
      </c>
      <c r="BF206" s="307" t="s">
        <v>413</v>
      </c>
      <c r="BG206" s="311">
        <v>199.8</v>
      </c>
      <c r="BH206" s="307">
        <f t="shared" si="349"/>
        <v>199.8</v>
      </c>
      <c r="BI206" s="373">
        <v>0.94430000000000003</v>
      </c>
      <c r="BJ206" s="361">
        <f t="shared" si="369"/>
        <v>0.81399999999999995</v>
      </c>
      <c r="BK206" s="312">
        <f t="shared" si="370"/>
        <v>1</v>
      </c>
      <c r="BL206" s="311">
        <f t="shared" si="348"/>
        <v>153.57830795999999</v>
      </c>
      <c r="BM206" s="309">
        <f t="shared" si="356"/>
        <v>0.5083691094339623</v>
      </c>
      <c r="BN206" s="309">
        <f t="shared" si="383"/>
        <v>0.74952810131771586</v>
      </c>
      <c r="BO206" s="376"/>
      <c r="BP206" s="328">
        <f t="shared" si="384"/>
        <v>4.6806314368251689</v>
      </c>
      <c r="BQ206" s="328">
        <f t="shared" si="371"/>
        <v>0</v>
      </c>
      <c r="BR206" s="328">
        <f t="shared" si="294"/>
        <v>0</v>
      </c>
      <c r="BS206" s="328">
        <f t="shared" si="385"/>
        <v>0</v>
      </c>
      <c r="BT206" s="328">
        <f t="shared" si="386"/>
        <v>1.1684872558755379</v>
      </c>
      <c r="BU206" s="376"/>
      <c r="BV206" s="328">
        <f t="shared" si="372"/>
        <v>0.5</v>
      </c>
      <c r="BW206" s="328">
        <f t="shared" si="373"/>
        <v>0.94339622641509435</v>
      </c>
      <c r="BX206" s="373">
        <f t="shared" si="387"/>
        <v>0.59720124847210421</v>
      </c>
      <c r="BY206" s="311">
        <f t="shared" si="374"/>
        <v>116290.79886536907</v>
      </c>
      <c r="BZ206" s="311">
        <f t="shared" si="375"/>
        <v>0</v>
      </c>
      <c r="CA206" s="311">
        <f t="shared" si="388"/>
        <v>170749.43481538218</v>
      </c>
      <c r="CB206" s="307">
        <f t="shared" si="389"/>
        <v>116.29079886536907</v>
      </c>
      <c r="CC206" s="309">
        <f t="shared" si="390"/>
        <v>0.38494140637328389</v>
      </c>
      <c r="CD206" s="379">
        <f t="shared" si="376"/>
        <v>1.320640235155655</v>
      </c>
    </row>
    <row r="207" spans="1:82" x14ac:dyDescent="0.25">
      <c r="A207" s="305">
        <v>199</v>
      </c>
      <c r="B207" s="298" t="s">
        <v>12</v>
      </c>
      <c r="C207" s="298">
        <v>36</v>
      </c>
      <c r="D207" s="361" t="s">
        <v>597</v>
      </c>
      <c r="E207" s="361" t="s">
        <v>668</v>
      </c>
      <c r="F207" s="298" t="s">
        <v>484</v>
      </c>
      <c r="G207" s="311">
        <v>1200</v>
      </c>
      <c r="H207" s="311">
        <f t="shared" si="353"/>
        <v>1200</v>
      </c>
      <c r="I207" s="311">
        <v>1590</v>
      </c>
      <c r="J207" s="306">
        <f t="shared" ref="J207:J270" si="396">I207*G207</f>
        <v>1908000</v>
      </c>
      <c r="K207" s="311">
        <v>190</v>
      </c>
      <c r="L207" s="312">
        <v>1272</v>
      </c>
      <c r="M207" s="309">
        <f t="shared" si="354"/>
        <v>0.75471698113207553</v>
      </c>
      <c r="N207" s="309">
        <f t="shared" si="377"/>
        <v>0.75471698113207553</v>
      </c>
      <c r="O207" s="309">
        <f t="shared" si="367"/>
        <v>0.75471698113207553</v>
      </c>
      <c r="P207" s="327">
        <f t="shared" si="391"/>
        <v>204900</v>
      </c>
      <c r="Q207" s="306">
        <f t="shared" si="368"/>
        <v>302100</v>
      </c>
      <c r="R207" s="309">
        <f t="shared" si="355"/>
        <v>0.67825223435948356</v>
      </c>
      <c r="S207" s="295">
        <v>1200</v>
      </c>
      <c r="T207" s="295">
        <v>1200</v>
      </c>
      <c r="U207" s="310">
        <v>18.399999999999999</v>
      </c>
      <c r="V207" s="310">
        <v>5</v>
      </c>
      <c r="W207" s="387">
        <f t="shared" si="378"/>
        <v>5</v>
      </c>
      <c r="X207" s="295">
        <v>25.2</v>
      </c>
      <c r="Y207" s="387">
        <f t="shared" si="379"/>
        <v>25.2</v>
      </c>
      <c r="Z207" s="423" t="s">
        <v>413</v>
      </c>
      <c r="AA207" s="325">
        <v>9.82</v>
      </c>
      <c r="AB207" s="325">
        <v>18.22</v>
      </c>
      <c r="AC207" s="295">
        <v>3</v>
      </c>
      <c r="AD207" s="325">
        <f t="shared" si="360"/>
        <v>3.1052631578947367</v>
      </c>
      <c r="AE207" s="295">
        <v>10</v>
      </c>
      <c r="AF207" s="313">
        <f t="shared" si="392"/>
        <v>0.88507743347731438</v>
      </c>
      <c r="AG207" s="313">
        <f t="shared" si="380"/>
        <v>8.6914603967472281</v>
      </c>
      <c r="AH207" s="313">
        <f t="shared" si="381"/>
        <v>16.126110837956666</v>
      </c>
      <c r="AI207" s="308">
        <f t="shared" si="393"/>
        <v>12.478923829061472</v>
      </c>
      <c r="AJ207" s="361" t="s">
        <v>413</v>
      </c>
      <c r="AK207" s="361" t="s">
        <v>413</v>
      </c>
      <c r="AL207" s="298">
        <v>0</v>
      </c>
      <c r="AM207" s="298">
        <v>0</v>
      </c>
      <c r="AN207" s="340">
        <v>0</v>
      </c>
      <c r="AO207" s="298">
        <v>0</v>
      </c>
      <c r="AP207" s="295">
        <f t="shared" ref="AP207:AP237" si="397">AN207*AO207</f>
        <v>0</v>
      </c>
      <c r="AQ207" s="298">
        <v>0</v>
      </c>
      <c r="AR207" s="361" t="s">
        <v>413</v>
      </c>
      <c r="AS207" s="298">
        <v>0</v>
      </c>
      <c r="AT207" s="361" t="s">
        <v>413</v>
      </c>
      <c r="AU207" s="306">
        <f t="shared" si="394"/>
        <v>0</v>
      </c>
      <c r="AV207" s="307">
        <v>0</v>
      </c>
      <c r="AW207" s="327">
        <f t="shared" si="364"/>
        <v>0</v>
      </c>
      <c r="AX207" s="306">
        <f t="shared" si="395"/>
        <v>0</v>
      </c>
      <c r="AY207" s="298">
        <v>0</v>
      </c>
      <c r="AZ207" s="306">
        <f t="shared" ref="AZ207:AZ270" si="398">AX207*AY207</f>
        <v>0</v>
      </c>
      <c r="BA207" s="298">
        <v>0</v>
      </c>
      <c r="BB207" s="298">
        <v>353</v>
      </c>
      <c r="BC207" s="309">
        <f t="shared" si="365"/>
        <v>1.1684872558755379</v>
      </c>
      <c r="BD207" s="313">
        <f t="shared" si="382"/>
        <v>9.3636860989111337E-2</v>
      </c>
      <c r="BE207" s="309">
        <f t="shared" si="366"/>
        <v>1.7227916056612982</v>
      </c>
      <c r="BF207" s="307" t="s">
        <v>413</v>
      </c>
      <c r="BG207" s="311">
        <v>215.5</v>
      </c>
      <c r="BH207" s="307">
        <f t="shared" si="349"/>
        <v>215.5</v>
      </c>
      <c r="BI207" s="373">
        <v>0.94430000000000003</v>
      </c>
      <c r="BJ207" s="361">
        <f t="shared" si="369"/>
        <v>0.81399999999999995</v>
      </c>
      <c r="BK207" s="312">
        <f t="shared" si="370"/>
        <v>1</v>
      </c>
      <c r="BL207" s="311">
        <f t="shared" si="348"/>
        <v>165.6462731</v>
      </c>
      <c r="BM207" s="309">
        <f t="shared" si="356"/>
        <v>0.54831603144654084</v>
      </c>
      <c r="BN207" s="309">
        <f t="shared" si="383"/>
        <v>0.80842495412396298</v>
      </c>
      <c r="BO207" s="376"/>
      <c r="BP207" s="328">
        <f t="shared" si="384"/>
        <v>4.6806314368251689</v>
      </c>
      <c r="BQ207" s="328">
        <f t="shared" si="371"/>
        <v>0</v>
      </c>
      <c r="BR207" s="328">
        <f t="shared" ref="BR207:BR222" si="399">IF(X207="-",G207*SQRT(0*(AP207/AN207)),IF(AN207=0,0,AN207*SQRT(X207*(AP207/AN207))))</f>
        <v>0</v>
      </c>
      <c r="BS207" s="328">
        <f t="shared" si="385"/>
        <v>0</v>
      </c>
      <c r="BT207" s="328">
        <f t="shared" si="386"/>
        <v>1.1684872558755379</v>
      </c>
      <c r="BU207" s="376"/>
      <c r="BV207" s="328">
        <f t="shared" si="372"/>
        <v>0.5</v>
      </c>
      <c r="BW207" s="328">
        <f t="shared" si="373"/>
        <v>0.94339622641509435</v>
      </c>
      <c r="BX207" s="373">
        <f t="shared" si="387"/>
        <v>0.59720124847210421</v>
      </c>
      <c r="BY207" s="311">
        <f t="shared" si="374"/>
        <v>116290.79886536907</v>
      </c>
      <c r="BZ207" s="311">
        <f t="shared" si="375"/>
        <v>0</v>
      </c>
      <c r="CA207" s="311">
        <f t="shared" si="388"/>
        <v>170749.43481538218</v>
      </c>
      <c r="CB207" s="307">
        <f t="shared" si="389"/>
        <v>116.29079886536907</v>
      </c>
      <c r="CC207" s="309">
        <f t="shared" si="390"/>
        <v>0.38494140637328389</v>
      </c>
      <c r="CD207" s="379">
        <f t="shared" si="376"/>
        <v>1.4244142676478664</v>
      </c>
    </row>
    <row r="208" spans="1:82" x14ac:dyDescent="0.25">
      <c r="A208" s="305">
        <v>200</v>
      </c>
      <c r="B208" s="298" t="s">
        <v>12</v>
      </c>
      <c r="C208" s="298">
        <v>37</v>
      </c>
      <c r="D208" s="361" t="s">
        <v>597</v>
      </c>
      <c r="E208" s="361" t="s">
        <v>668</v>
      </c>
      <c r="F208" s="298" t="s">
        <v>484</v>
      </c>
      <c r="G208" s="311">
        <v>1200</v>
      </c>
      <c r="H208" s="311">
        <f t="shared" ref="H208:H271" si="400">IF(F208="Cantilever",G208,0.5*G208)</f>
        <v>1200</v>
      </c>
      <c r="I208" s="311">
        <v>1590</v>
      </c>
      <c r="J208" s="306">
        <f t="shared" si="396"/>
        <v>1908000</v>
      </c>
      <c r="K208" s="311">
        <v>190</v>
      </c>
      <c r="L208" s="312">
        <v>1272</v>
      </c>
      <c r="M208" s="309">
        <f t="shared" ref="M208:M238" si="401">G208/I208</f>
        <v>0.75471698113207553</v>
      </c>
      <c r="N208" s="309">
        <f t="shared" si="377"/>
        <v>0.75471698113207553</v>
      </c>
      <c r="O208" s="309">
        <f t="shared" si="367"/>
        <v>0.75471698113207553</v>
      </c>
      <c r="P208" s="327">
        <f t="shared" si="391"/>
        <v>204900</v>
      </c>
      <c r="Q208" s="306">
        <f t="shared" si="368"/>
        <v>302100</v>
      </c>
      <c r="R208" s="309">
        <f t="shared" ref="R208:R239" si="402">P208/Q208</f>
        <v>0.67825223435948356</v>
      </c>
      <c r="S208" s="295">
        <v>1200</v>
      </c>
      <c r="T208" s="295">
        <v>1200</v>
      </c>
      <c r="U208" s="310">
        <v>18.399999999999999</v>
      </c>
      <c r="V208" s="310">
        <v>7.2</v>
      </c>
      <c r="W208" s="387">
        <f t="shared" si="378"/>
        <v>7.2</v>
      </c>
      <c r="X208" s="295">
        <v>26.3</v>
      </c>
      <c r="Y208" s="387">
        <f t="shared" si="379"/>
        <v>26.3</v>
      </c>
      <c r="Z208" s="423" t="s">
        <v>413</v>
      </c>
      <c r="AA208" s="325">
        <v>9.82</v>
      </c>
      <c r="AB208" s="325">
        <v>18.22</v>
      </c>
      <c r="AC208" s="295">
        <v>3</v>
      </c>
      <c r="AD208" s="325">
        <f t="shared" si="360"/>
        <v>3.1052631578947367</v>
      </c>
      <c r="AE208" s="295">
        <v>10</v>
      </c>
      <c r="AF208" s="313">
        <f t="shared" si="392"/>
        <v>0.88507743347731438</v>
      </c>
      <c r="AG208" s="313">
        <f t="shared" si="380"/>
        <v>8.6914603967472281</v>
      </c>
      <c r="AH208" s="313">
        <f t="shared" si="381"/>
        <v>16.126110837956666</v>
      </c>
      <c r="AI208" s="308">
        <f t="shared" si="393"/>
        <v>12.478923829061472</v>
      </c>
      <c r="AJ208" s="361" t="s">
        <v>413</v>
      </c>
      <c r="AK208" s="361" t="s">
        <v>413</v>
      </c>
      <c r="AL208" s="361">
        <v>0</v>
      </c>
      <c r="AM208" s="361">
        <v>0</v>
      </c>
      <c r="AN208" s="340">
        <v>0</v>
      </c>
      <c r="AO208" s="298">
        <v>0</v>
      </c>
      <c r="AP208" s="295">
        <f t="shared" si="397"/>
        <v>0</v>
      </c>
      <c r="AQ208" s="298">
        <v>0</v>
      </c>
      <c r="AR208" s="361" t="s">
        <v>413</v>
      </c>
      <c r="AS208" s="361">
        <v>0</v>
      </c>
      <c r="AT208" s="361" t="s">
        <v>413</v>
      </c>
      <c r="AU208" s="306">
        <f t="shared" si="394"/>
        <v>0</v>
      </c>
      <c r="AV208" s="307">
        <v>0</v>
      </c>
      <c r="AW208" s="327">
        <f t="shared" si="364"/>
        <v>0</v>
      </c>
      <c r="AX208" s="306">
        <f t="shared" si="395"/>
        <v>0</v>
      </c>
      <c r="AY208" s="298">
        <v>0</v>
      </c>
      <c r="AZ208" s="306">
        <f t="shared" si="398"/>
        <v>0</v>
      </c>
      <c r="BA208" s="298">
        <v>0</v>
      </c>
      <c r="BB208" s="298">
        <v>839</v>
      </c>
      <c r="BC208" s="309">
        <f t="shared" si="365"/>
        <v>2.7772260840781198</v>
      </c>
      <c r="BD208" s="313">
        <f t="shared" si="382"/>
        <v>0.22255333249253373</v>
      </c>
      <c r="BE208" s="309">
        <f t="shared" si="366"/>
        <v>4.0946803318692044</v>
      </c>
      <c r="BF208" s="307" t="s">
        <v>413</v>
      </c>
      <c r="BG208" s="311">
        <v>459.5</v>
      </c>
      <c r="BH208" s="307">
        <f t="shared" si="349"/>
        <v>459.5</v>
      </c>
      <c r="BI208" s="373">
        <v>0.94430000000000003</v>
      </c>
      <c r="BJ208" s="361">
        <f t="shared" si="369"/>
        <v>0.81399999999999995</v>
      </c>
      <c r="BK208" s="312">
        <f t="shared" si="370"/>
        <v>1</v>
      </c>
      <c r="BL208" s="311">
        <f t="shared" si="348"/>
        <v>353.19936189999999</v>
      </c>
      <c r="BM208" s="309">
        <f t="shared" si="356"/>
        <v>1.1691471761006289</v>
      </c>
      <c r="BN208" s="309">
        <f t="shared" si="383"/>
        <v>1.7237645773548071</v>
      </c>
      <c r="BO208" s="376"/>
      <c r="BP208" s="328">
        <f t="shared" si="384"/>
        <v>4.6806314368251689</v>
      </c>
      <c r="BQ208" s="328">
        <f t="shared" si="371"/>
        <v>0</v>
      </c>
      <c r="BR208" s="328">
        <f t="shared" si="399"/>
        <v>0</v>
      </c>
      <c r="BS208" s="328">
        <f t="shared" si="385"/>
        <v>0</v>
      </c>
      <c r="BT208" s="328">
        <f t="shared" si="386"/>
        <v>2.7772260840781198</v>
      </c>
      <c r="BU208" s="376"/>
      <c r="BV208" s="328">
        <f t="shared" si="372"/>
        <v>0.5</v>
      </c>
      <c r="BW208" s="328">
        <f t="shared" si="373"/>
        <v>0.94339622641509435</v>
      </c>
      <c r="BX208" s="373">
        <f t="shared" si="387"/>
        <v>0.59720124847210421</v>
      </c>
      <c r="BY208" s="311">
        <f t="shared" si="374"/>
        <v>177040.79886536906</v>
      </c>
      <c r="BZ208" s="311">
        <f t="shared" si="375"/>
        <v>0</v>
      </c>
      <c r="CA208" s="311">
        <f t="shared" si="388"/>
        <v>170749.43481538218</v>
      </c>
      <c r="CB208" s="307">
        <f t="shared" si="389"/>
        <v>170.74943481538219</v>
      </c>
      <c r="CC208" s="309">
        <f t="shared" si="390"/>
        <v>0.5652083244468129</v>
      </c>
      <c r="CD208" s="379">
        <f t="shared" si="376"/>
        <v>2.0685243396669888</v>
      </c>
    </row>
    <row r="209" spans="1:82" x14ac:dyDescent="0.25">
      <c r="A209" s="305">
        <v>201</v>
      </c>
      <c r="B209" s="298" t="s">
        <v>12</v>
      </c>
      <c r="C209" s="298">
        <v>38</v>
      </c>
      <c r="D209" s="361" t="s">
        <v>597</v>
      </c>
      <c r="E209" s="361" t="s">
        <v>668</v>
      </c>
      <c r="F209" s="298" t="s">
        <v>484</v>
      </c>
      <c r="G209" s="311">
        <v>1200</v>
      </c>
      <c r="H209" s="311">
        <f t="shared" si="400"/>
        <v>1200</v>
      </c>
      <c r="I209" s="311">
        <v>1590</v>
      </c>
      <c r="J209" s="306">
        <f t="shared" si="396"/>
        <v>1908000</v>
      </c>
      <c r="K209" s="311">
        <v>190</v>
      </c>
      <c r="L209" s="312">
        <v>1272</v>
      </c>
      <c r="M209" s="309">
        <f t="shared" si="401"/>
        <v>0.75471698113207553</v>
      </c>
      <c r="N209" s="309">
        <f t="shared" si="377"/>
        <v>0.75471698113207553</v>
      </c>
      <c r="O209" s="309">
        <f t="shared" si="367"/>
        <v>0.75471698113207553</v>
      </c>
      <c r="P209" s="327">
        <f t="shared" si="391"/>
        <v>204900</v>
      </c>
      <c r="Q209" s="306">
        <f t="shared" si="368"/>
        <v>302100</v>
      </c>
      <c r="R209" s="309">
        <f t="shared" si="402"/>
        <v>0.67825223435948356</v>
      </c>
      <c r="S209" s="295">
        <v>1200</v>
      </c>
      <c r="T209" s="295">
        <v>1200</v>
      </c>
      <c r="U209" s="310">
        <v>18.399999999999999</v>
      </c>
      <c r="V209" s="310">
        <v>6.7</v>
      </c>
      <c r="W209" s="387">
        <f t="shared" si="378"/>
        <v>6.7</v>
      </c>
      <c r="X209" s="295">
        <v>23.8</v>
      </c>
      <c r="Y209" s="387">
        <f t="shared" si="379"/>
        <v>23.8</v>
      </c>
      <c r="Z209" s="423" t="s">
        <v>413</v>
      </c>
      <c r="AA209" s="325">
        <v>9.82</v>
      </c>
      <c r="AB209" s="325">
        <v>18.22</v>
      </c>
      <c r="AC209" s="295">
        <v>3</v>
      </c>
      <c r="AD209" s="325">
        <f t="shared" si="360"/>
        <v>3.1052631578947367</v>
      </c>
      <c r="AE209" s="295">
        <v>10</v>
      </c>
      <c r="AF209" s="313">
        <f t="shared" si="392"/>
        <v>0.88507743347731438</v>
      </c>
      <c r="AG209" s="313">
        <f t="shared" si="380"/>
        <v>8.6914603967472281</v>
      </c>
      <c r="AH209" s="313">
        <f t="shared" si="381"/>
        <v>16.126110837956666</v>
      </c>
      <c r="AI209" s="308">
        <f t="shared" si="393"/>
        <v>12.478923829061472</v>
      </c>
      <c r="AJ209" s="361" t="s">
        <v>413</v>
      </c>
      <c r="AK209" s="361" t="s">
        <v>413</v>
      </c>
      <c r="AL209" s="361">
        <v>0</v>
      </c>
      <c r="AM209" s="361">
        <v>0</v>
      </c>
      <c r="AN209" s="340">
        <v>0</v>
      </c>
      <c r="AO209" s="298">
        <v>0</v>
      </c>
      <c r="AP209" s="295">
        <f t="shared" si="397"/>
        <v>0</v>
      </c>
      <c r="AQ209" s="298">
        <v>0</v>
      </c>
      <c r="AR209" s="361" t="s">
        <v>413</v>
      </c>
      <c r="AS209" s="361">
        <v>0</v>
      </c>
      <c r="AT209" s="361" t="s">
        <v>413</v>
      </c>
      <c r="AU209" s="306">
        <f t="shared" si="394"/>
        <v>0</v>
      </c>
      <c r="AV209" s="307">
        <v>0</v>
      </c>
      <c r="AW209" s="327">
        <f t="shared" si="364"/>
        <v>0</v>
      </c>
      <c r="AX209" s="306">
        <f t="shared" si="395"/>
        <v>0</v>
      </c>
      <c r="AY209" s="298">
        <v>0</v>
      </c>
      <c r="AZ209" s="306">
        <f t="shared" si="398"/>
        <v>0</v>
      </c>
      <c r="BA209" s="298">
        <v>0</v>
      </c>
      <c r="BB209" s="298">
        <v>839</v>
      </c>
      <c r="BC209" s="309">
        <f t="shared" si="365"/>
        <v>2.7772260840781198</v>
      </c>
      <c r="BD209" s="313">
        <f t="shared" si="382"/>
        <v>0.22255333249253373</v>
      </c>
      <c r="BE209" s="309">
        <f t="shared" si="366"/>
        <v>4.0946803318692044</v>
      </c>
      <c r="BF209" s="307" t="s">
        <v>413</v>
      </c>
      <c r="BG209" s="311">
        <v>403.5</v>
      </c>
      <c r="BH209" s="307">
        <f t="shared" si="349"/>
        <v>403.5</v>
      </c>
      <c r="BI209" s="373">
        <v>0.94430000000000003</v>
      </c>
      <c r="BJ209" s="361">
        <f t="shared" si="369"/>
        <v>0.81399999999999995</v>
      </c>
      <c r="BK209" s="312">
        <f t="shared" si="370"/>
        <v>1</v>
      </c>
      <c r="BL209" s="311">
        <f t="shared" si="348"/>
        <v>310.15439070000002</v>
      </c>
      <c r="BM209" s="309">
        <f t="shared" si="356"/>
        <v>1.0266613396226416</v>
      </c>
      <c r="BN209" s="309">
        <f t="shared" si="383"/>
        <v>1.5136866310395316</v>
      </c>
      <c r="BO209" s="376"/>
      <c r="BP209" s="328">
        <f t="shared" si="384"/>
        <v>4.6806314368251689</v>
      </c>
      <c r="BQ209" s="328">
        <f t="shared" si="371"/>
        <v>0</v>
      </c>
      <c r="BR209" s="328">
        <f t="shared" si="399"/>
        <v>0</v>
      </c>
      <c r="BS209" s="328">
        <f t="shared" si="385"/>
        <v>0</v>
      </c>
      <c r="BT209" s="328">
        <f t="shared" si="386"/>
        <v>2.7772260840781198</v>
      </c>
      <c r="BU209" s="376"/>
      <c r="BV209" s="328">
        <f t="shared" si="372"/>
        <v>0.5</v>
      </c>
      <c r="BW209" s="328">
        <f t="shared" si="373"/>
        <v>0.94339622641509435</v>
      </c>
      <c r="BX209" s="373">
        <f t="shared" si="387"/>
        <v>0.59720124847210421</v>
      </c>
      <c r="BY209" s="311">
        <f t="shared" si="374"/>
        <v>177040.79886536906</v>
      </c>
      <c r="BZ209" s="311">
        <f t="shared" si="375"/>
        <v>0</v>
      </c>
      <c r="CA209" s="311">
        <f t="shared" si="388"/>
        <v>170749.43481538218</v>
      </c>
      <c r="CB209" s="307">
        <f t="shared" si="389"/>
        <v>170.74943481538219</v>
      </c>
      <c r="CC209" s="309">
        <f t="shared" si="390"/>
        <v>0.5652083244468129</v>
      </c>
      <c r="CD209" s="379">
        <f t="shared" si="376"/>
        <v>1.8164299696531667</v>
      </c>
    </row>
    <row r="210" spans="1:82" x14ac:dyDescent="0.25">
      <c r="A210" s="305">
        <v>202</v>
      </c>
      <c r="B210" s="298" t="s">
        <v>12</v>
      </c>
      <c r="C210" s="298">
        <v>39</v>
      </c>
      <c r="D210" s="361" t="s">
        <v>597</v>
      </c>
      <c r="E210" s="361" t="s">
        <v>668</v>
      </c>
      <c r="F210" s="298" t="s">
        <v>484</v>
      </c>
      <c r="G210" s="311">
        <v>1200</v>
      </c>
      <c r="H210" s="311">
        <f t="shared" si="400"/>
        <v>1200</v>
      </c>
      <c r="I210" s="311">
        <v>1590</v>
      </c>
      <c r="J210" s="306">
        <f t="shared" si="396"/>
        <v>1908000</v>
      </c>
      <c r="K210" s="311">
        <v>190</v>
      </c>
      <c r="L210" s="312">
        <v>1272</v>
      </c>
      <c r="M210" s="309">
        <f t="shared" si="401"/>
        <v>0.75471698113207553</v>
      </c>
      <c r="N210" s="309">
        <f t="shared" si="377"/>
        <v>0.75471698113207553</v>
      </c>
      <c r="O210" s="309">
        <f t="shared" si="367"/>
        <v>0.75471698113207553</v>
      </c>
      <c r="P210" s="327">
        <f t="shared" si="391"/>
        <v>204900</v>
      </c>
      <c r="Q210" s="306">
        <f t="shared" si="368"/>
        <v>302100</v>
      </c>
      <c r="R210" s="309">
        <f t="shared" si="402"/>
        <v>0.67825223435948356</v>
      </c>
      <c r="S210" s="295">
        <v>1200</v>
      </c>
      <c r="T210" s="295">
        <v>1200</v>
      </c>
      <c r="U210" s="310">
        <v>18.399999999999999</v>
      </c>
      <c r="V210" s="310">
        <v>7.8</v>
      </c>
      <c r="W210" s="387">
        <f t="shared" si="378"/>
        <v>7.8</v>
      </c>
      <c r="X210" s="295">
        <v>23</v>
      </c>
      <c r="Y210" s="387">
        <f t="shared" si="379"/>
        <v>23</v>
      </c>
      <c r="Z210" s="423" t="s">
        <v>413</v>
      </c>
      <c r="AA210" s="325">
        <v>9.82</v>
      </c>
      <c r="AB210" s="325">
        <v>18.22</v>
      </c>
      <c r="AC210" s="295">
        <v>3</v>
      </c>
      <c r="AD210" s="325">
        <f t="shared" si="360"/>
        <v>3.1052631578947367</v>
      </c>
      <c r="AE210" s="295">
        <v>10</v>
      </c>
      <c r="AF210" s="313">
        <f t="shared" si="392"/>
        <v>0.88507743347731438</v>
      </c>
      <c r="AG210" s="313">
        <f t="shared" si="380"/>
        <v>8.6914603967472281</v>
      </c>
      <c r="AH210" s="313">
        <f t="shared" si="381"/>
        <v>16.126110837956666</v>
      </c>
      <c r="AI210" s="308">
        <f t="shared" si="393"/>
        <v>12.478923829061472</v>
      </c>
      <c r="AJ210" s="361" t="s">
        <v>413</v>
      </c>
      <c r="AK210" s="361" t="s">
        <v>413</v>
      </c>
      <c r="AL210" s="361">
        <v>0</v>
      </c>
      <c r="AM210" s="361">
        <v>0</v>
      </c>
      <c r="AN210" s="340">
        <v>0</v>
      </c>
      <c r="AO210" s="298">
        <v>0</v>
      </c>
      <c r="AP210" s="295">
        <f t="shared" si="397"/>
        <v>0</v>
      </c>
      <c r="AQ210" s="298">
        <v>0</v>
      </c>
      <c r="AR210" s="361" t="s">
        <v>413</v>
      </c>
      <c r="AS210" s="361">
        <v>0</v>
      </c>
      <c r="AT210" s="286" t="s">
        <v>413</v>
      </c>
      <c r="AU210" s="306">
        <f t="shared" si="394"/>
        <v>0</v>
      </c>
      <c r="AV210" s="307">
        <v>0</v>
      </c>
      <c r="AW210" s="327">
        <f t="shared" si="364"/>
        <v>0</v>
      </c>
      <c r="AX210" s="306">
        <f t="shared" si="395"/>
        <v>0</v>
      </c>
      <c r="AY210" s="298">
        <v>0</v>
      </c>
      <c r="AZ210" s="306">
        <f t="shared" si="398"/>
        <v>0</v>
      </c>
      <c r="BA210" s="298">
        <v>0</v>
      </c>
      <c r="BB210" s="298">
        <v>839</v>
      </c>
      <c r="BC210" s="309">
        <f t="shared" si="365"/>
        <v>2.7772260840781198</v>
      </c>
      <c r="BD210" s="313">
        <f t="shared" si="382"/>
        <v>0.22255333249253373</v>
      </c>
      <c r="BE210" s="309">
        <f t="shared" si="366"/>
        <v>4.0946803318692044</v>
      </c>
      <c r="BF210" s="307" t="s">
        <v>413</v>
      </c>
      <c r="BG210" s="311">
        <v>433.6</v>
      </c>
      <c r="BH210" s="307">
        <f t="shared" si="349"/>
        <v>433.6</v>
      </c>
      <c r="BI210" s="373">
        <v>0.94430000000000003</v>
      </c>
      <c r="BJ210" s="361">
        <f t="shared" si="369"/>
        <v>0.81399999999999995</v>
      </c>
      <c r="BK210" s="312">
        <f t="shared" si="370"/>
        <v>1</v>
      </c>
      <c r="BL210" s="311">
        <f t="shared" si="348"/>
        <v>333.29106272000001</v>
      </c>
      <c r="BM210" s="309">
        <f t="shared" si="356"/>
        <v>1.1032474767295599</v>
      </c>
      <c r="BN210" s="309">
        <f t="shared" si="383"/>
        <v>1.6266035271839923</v>
      </c>
      <c r="BO210" s="376"/>
      <c r="BP210" s="328">
        <f t="shared" si="384"/>
        <v>4.6806314368251689</v>
      </c>
      <c r="BQ210" s="328">
        <f t="shared" si="371"/>
        <v>0</v>
      </c>
      <c r="BR210" s="328">
        <f t="shared" si="399"/>
        <v>0</v>
      </c>
      <c r="BS210" s="328">
        <f t="shared" si="385"/>
        <v>0</v>
      </c>
      <c r="BT210" s="328">
        <f t="shared" si="386"/>
        <v>2.7772260840781198</v>
      </c>
      <c r="BU210" s="376"/>
      <c r="BV210" s="328">
        <f t="shared" si="372"/>
        <v>0.5</v>
      </c>
      <c r="BW210" s="328">
        <f t="shared" si="373"/>
        <v>0.94339622641509435</v>
      </c>
      <c r="BX210" s="373">
        <f t="shared" si="387"/>
        <v>0.59720124847210421</v>
      </c>
      <c r="BY210" s="311">
        <f t="shared" si="374"/>
        <v>177040.79886536906</v>
      </c>
      <c r="BZ210" s="311">
        <f t="shared" si="375"/>
        <v>0</v>
      </c>
      <c r="CA210" s="311">
        <f t="shared" si="388"/>
        <v>170749.43481538218</v>
      </c>
      <c r="CB210" s="307">
        <f t="shared" si="389"/>
        <v>170.74943481538219</v>
      </c>
      <c r="CC210" s="309">
        <f t="shared" si="390"/>
        <v>0.5652083244468129</v>
      </c>
      <c r="CD210" s="379">
        <f t="shared" si="376"/>
        <v>1.951930693535596</v>
      </c>
    </row>
    <row r="211" spans="1:82" x14ac:dyDescent="0.25">
      <c r="A211" s="305">
        <v>203</v>
      </c>
      <c r="B211" s="298" t="s">
        <v>12</v>
      </c>
      <c r="C211" s="298">
        <v>40</v>
      </c>
      <c r="D211" s="361" t="s">
        <v>597</v>
      </c>
      <c r="E211" s="361" t="s">
        <v>668</v>
      </c>
      <c r="F211" s="298" t="s">
        <v>484</v>
      </c>
      <c r="G211" s="311">
        <v>1200</v>
      </c>
      <c r="H211" s="311">
        <f t="shared" si="400"/>
        <v>1200</v>
      </c>
      <c r="I211" s="311">
        <v>1590</v>
      </c>
      <c r="J211" s="306">
        <f t="shared" si="396"/>
        <v>1908000</v>
      </c>
      <c r="K211" s="311">
        <v>190</v>
      </c>
      <c r="L211" s="312">
        <v>1272</v>
      </c>
      <c r="M211" s="309">
        <f t="shared" si="401"/>
        <v>0.75471698113207553</v>
      </c>
      <c r="N211" s="309">
        <f t="shared" si="377"/>
        <v>0.75471698113207553</v>
      </c>
      <c r="O211" s="309">
        <f t="shared" si="367"/>
        <v>0.75471698113207553</v>
      </c>
      <c r="P211" s="327">
        <f t="shared" si="391"/>
        <v>204900</v>
      </c>
      <c r="Q211" s="306">
        <f t="shared" si="368"/>
        <v>302100</v>
      </c>
      <c r="R211" s="309">
        <f t="shared" si="402"/>
        <v>0.67825223435948356</v>
      </c>
      <c r="S211" s="295">
        <v>1200</v>
      </c>
      <c r="T211" s="295">
        <v>1200</v>
      </c>
      <c r="U211" s="310">
        <v>18.399999999999999</v>
      </c>
      <c r="V211" s="310">
        <v>7.5</v>
      </c>
      <c r="W211" s="387">
        <f t="shared" si="378"/>
        <v>7.5</v>
      </c>
      <c r="X211" s="295">
        <v>21.4</v>
      </c>
      <c r="Y211" s="387">
        <f t="shared" si="379"/>
        <v>21.4</v>
      </c>
      <c r="Z211" s="423" t="s">
        <v>413</v>
      </c>
      <c r="AA211" s="325">
        <v>9.82</v>
      </c>
      <c r="AB211" s="325">
        <v>18.22</v>
      </c>
      <c r="AC211" s="295">
        <v>3</v>
      </c>
      <c r="AD211" s="325">
        <f t="shared" si="360"/>
        <v>3.1052631578947367</v>
      </c>
      <c r="AE211" s="295">
        <v>10</v>
      </c>
      <c r="AF211" s="313">
        <f t="shared" si="392"/>
        <v>0.88507743347731438</v>
      </c>
      <c r="AG211" s="313">
        <f t="shared" si="380"/>
        <v>8.6914603967472281</v>
      </c>
      <c r="AH211" s="313">
        <f t="shared" si="381"/>
        <v>16.126110837956666</v>
      </c>
      <c r="AI211" s="308">
        <f t="shared" si="393"/>
        <v>12.478923829061472</v>
      </c>
      <c r="AJ211" s="361" t="s">
        <v>413</v>
      </c>
      <c r="AK211" s="361" t="s">
        <v>413</v>
      </c>
      <c r="AL211" s="361">
        <v>0</v>
      </c>
      <c r="AM211" s="361">
        <v>0</v>
      </c>
      <c r="AN211" s="340">
        <v>0</v>
      </c>
      <c r="AO211" s="298">
        <v>0</v>
      </c>
      <c r="AP211" s="295">
        <f t="shared" si="397"/>
        <v>0</v>
      </c>
      <c r="AQ211" s="298">
        <v>0</v>
      </c>
      <c r="AR211" s="361" t="s">
        <v>413</v>
      </c>
      <c r="AS211" s="361">
        <v>0</v>
      </c>
      <c r="AT211" s="361" t="s">
        <v>796</v>
      </c>
      <c r="AU211" s="306">
        <f t="shared" si="394"/>
        <v>128.99999999999997</v>
      </c>
      <c r="AV211" s="307">
        <v>21.5</v>
      </c>
      <c r="AW211" s="327">
        <f t="shared" si="364"/>
        <v>128.99999999999997</v>
      </c>
      <c r="AX211" s="306">
        <f t="shared" si="395"/>
        <v>5.6578947368421048E-4</v>
      </c>
      <c r="AY211" s="298">
        <v>530</v>
      </c>
      <c r="AZ211" s="306">
        <f t="shared" si="398"/>
        <v>0.29986842105263156</v>
      </c>
      <c r="BA211" s="298">
        <v>200</v>
      </c>
      <c r="BB211" s="298">
        <v>839</v>
      </c>
      <c r="BC211" s="309">
        <f t="shared" si="365"/>
        <v>2.7772260840781198</v>
      </c>
      <c r="BD211" s="313">
        <f t="shared" si="382"/>
        <v>0.22255333249253373</v>
      </c>
      <c r="BE211" s="309">
        <f t="shared" si="366"/>
        <v>4.0946803318692044</v>
      </c>
      <c r="BF211" s="307" t="s">
        <v>413</v>
      </c>
      <c r="BG211" s="311">
        <v>414.6</v>
      </c>
      <c r="BH211" s="307">
        <f t="shared" si="349"/>
        <v>414.6</v>
      </c>
      <c r="BI211" s="373">
        <v>0.94430000000000003</v>
      </c>
      <c r="BJ211" s="361">
        <f t="shared" si="369"/>
        <v>0.81399999999999995</v>
      </c>
      <c r="BK211" s="312">
        <f t="shared" si="370"/>
        <v>1</v>
      </c>
      <c r="BL211" s="311">
        <f t="shared" si="348"/>
        <v>318.68651892000003</v>
      </c>
      <c r="BM211" s="309">
        <f t="shared" si="356"/>
        <v>1.0549040679245283</v>
      </c>
      <c r="BN211" s="309">
        <f t="shared" si="383"/>
        <v>1.555327081112738</v>
      </c>
      <c r="BO211" s="376"/>
      <c r="BP211" s="328">
        <f t="shared" si="384"/>
        <v>4.6806314368251689</v>
      </c>
      <c r="BQ211" s="328">
        <f t="shared" si="371"/>
        <v>0.29986842105263156</v>
      </c>
      <c r="BR211" s="328">
        <f t="shared" si="399"/>
        <v>0</v>
      </c>
      <c r="BS211" s="328">
        <f t="shared" si="385"/>
        <v>0.78722053957914506</v>
      </c>
      <c r="BT211" s="328">
        <f t="shared" si="386"/>
        <v>2.7772260840781198</v>
      </c>
      <c r="BU211" s="376"/>
      <c r="BV211" s="328">
        <f t="shared" si="372"/>
        <v>0.5</v>
      </c>
      <c r="BW211" s="328">
        <f t="shared" si="373"/>
        <v>0.94339622641509435</v>
      </c>
      <c r="BX211" s="373">
        <f t="shared" si="387"/>
        <v>0.59720124847210421</v>
      </c>
      <c r="BY211" s="311">
        <f t="shared" si="374"/>
        <v>177040.79886536906</v>
      </c>
      <c r="BZ211" s="311">
        <f t="shared" si="375"/>
        <v>260899.91999999993</v>
      </c>
      <c r="CA211" s="311">
        <f t="shared" si="388"/>
        <v>170749.43481538218</v>
      </c>
      <c r="CB211" s="307">
        <f t="shared" si="389"/>
        <v>170.74943481538219</v>
      </c>
      <c r="CC211" s="309">
        <f t="shared" si="390"/>
        <v>0.5652083244468129</v>
      </c>
      <c r="CD211" s="379">
        <f t="shared" si="376"/>
        <v>1.8663986751380492</v>
      </c>
    </row>
    <row r="212" spans="1:82" x14ac:dyDescent="0.25">
      <c r="A212" s="305">
        <v>204</v>
      </c>
      <c r="B212" s="298" t="s">
        <v>12</v>
      </c>
      <c r="C212" s="298">
        <v>41</v>
      </c>
      <c r="D212" s="361" t="s">
        <v>597</v>
      </c>
      <c r="E212" s="361" t="s">
        <v>668</v>
      </c>
      <c r="F212" s="298" t="s">
        <v>484</v>
      </c>
      <c r="G212" s="311">
        <v>1200</v>
      </c>
      <c r="H212" s="311">
        <f t="shared" si="400"/>
        <v>1200</v>
      </c>
      <c r="I212" s="311">
        <v>1590</v>
      </c>
      <c r="J212" s="306">
        <f t="shared" si="396"/>
        <v>1908000</v>
      </c>
      <c r="K212" s="311">
        <v>190</v>
      </c>
      <c r="L212" s="312">
        <v>1272</v>
      </c>
      <c r="M212" s="309">
        <f t="shared" si="401"/>
        <v>0.75471698113207553</v>
      </c>
      <c r="N212" s="309">
        <f t="shared" si="377"/>
        <v>0.75471698113207553</v>
      </c>
      <c r="O212" s="309">
        <f t="shared" si="367"/>
        <v>0.75471698113207553</v>
      </c>
      <c r="P212" s="327">
        <f t="shared" si="391"/>
        <v>204900</v>
      </c>
      <c r="Q212" s="306">
        <f t="shared" si="368"/>
        <v>302100</v>
      </c>
      <c r="R212" s="309">
        <f t="shared" si="402"/>
        <v>0.67825223435948356</v>
      </c>
      <c r="S212" s="295">
        <v>1200</v>
      </c>
      <c r="T212" s="295">
        <v>1200</v>
      </c>
      <c r="U212" s="310">
        <v>18.399999999999999</v>
      </c>
      <c r="V212" s="310">
        <v>7.8</v>
      </c>
      <c r="W212" s="387">
        <f t="shared" si="378"/>
        <v>7.8</v>
      </c>
      <c r="X212" s="295">
        <v>23</v>
      </c>
      <c r="Y212" s="387">
        <f t="shared" si="379"/>
        <v>23</v>
      </c>
      <c r="Z212" s="423" t="s">
        <v>413</v>
      </c>
      <c r="AA212" s="325">
        <v>9.82</v>
      </c>
      <c r="AB212" s="325">
        <v>18.22</v>
      </c>
      <c r="AC212" s="295">
        <v>3</v>
      </c>
      <c r="AD212" s="325">
        <f t="shared" si="360"/>
        <v>3.1052631578947367</v>
      </c>
      <c r="AE212" s="295">
        <v>10</v>
      </c>
      <c r="AF212" s="313">
        <f t="shared" si="392"/>
        <v>0.88507743347731438</v>
      </c>
      <c r="AG212" s="313">
        <f t="shared" si="380"/>
        <v>8.6914603967472281</v>
      </c>
      <c r="AH212" s="313">
        <f t="shared" si="381"/>
        <v>16.126110837956666</v>
      </c>
      <c r="AI212" s="308">
        <f t="shared" si="393"/>
        <v>12.478923829061472</v>
      </c>
      <c r="AJ212" s="361" t="s">
        <v>413</v>
      </c>
      <c r="AK212" s="361" t="s">
        <v>413</v>
      </c>
      <c r="AL212" s="361">
        <v>0</v>
      </c>
      <c r="AM212" s="361">
        <v>0</v>
      </c>
      <c r="AN212" s="340">
        <v>0</v>
      </c>
      <c r="AO212" s="298">
        <v>0</v>
      </c>
      <c r="AP212" s="295">
        <f t="shared" si="397"/>
        <v>0</v>
      </c>
      <c r="AQ212" s="298">
        <v>0</v>
      </c>
      <c r="AR212" s="361" t="s">
        <v>413</v>
      </c>
      <c r="AS212" s="361">
        <v>0</v>
      </c>
      <c r="AT212" s="361" t="s">
        <v>796</v>
      </c>
      <c r="AU212" s="306">
        <f t="shared" si="394"/>
        <v>128.99999999999997</v>
      </c>
      <c r="AV212" s="307">
        <v>21.5</v>
      </c>
      <c r="AW212" s="327">
        <f t="shared" si="364"/>
        <v>128.99999999999997</v>
      </c>
      <c r="AX212" s="306">
        <f t="shared" si="395"/>
        <v>5.6578947368421048E-4</v>
      </c>
      <c r="AY212" s="298">
        <v>530</v>
      </c>
      <c r="AZ212" s="306">
        <f t="shared" si="398"/>
        <v>0.29986842105263156</v>
      </c>
      <c r="BA212" s="298">
        <v>200</v>
      </c>
      <c r="BB212" s="298">
        <v>839</v>
      </c>
      <c r="BC212" s="309">
        <f t="shared" si="365"/>
        <v>2.7772260840781198</v>
      </c>
      <c r="BD212" s="313">
        <f t="shared" si="382"/>
        <v>0.22255333249253373</v>
      </c>
      <c r="BE212" s="309">
        <f t="shared" si="366"/>
        <v>4.0946803318692044</v>
      </c>
      <c r="BF212" s="307" t="s">
        <v>413</v>
      </c>
      <c r="BG212" s="311">
        <v>393.8</v>
      </c>
      <c r="BH212" s="307">
        <f t="shared" si="349"/>
        <v>393.8</v>
      </c>
      <c r="BI212" s="373">
        <v>0.94430000000000003</v>
      </c>
      <c r="BJ212" s="361">
        <f t="shared" si="369"/>
        <v>0.81399999999999995</v>
      </c>
      <c r="BK212" s="312">
        <f t="shared" si="370"/>
        <v>1</v>
      </c>
      <c r="BL212" s="311">
        <f t="shared" si="348"/>
        <v>302.69838676000001</v>
      </c>
      <c r="BM212" s="309">
        <f t="shared" si="356"/>
        <v>1.0019807572327044</v>
      </c>
      <c r="BN212" s="309">
        <f t="shared" si="383"/>
        <v>1.4772981296242069</v>
      </c>
      <c r="BO212" s="376"/>
      <c r="BP212" s="328">
        <f t="shared" si="384"/>
        <v>4.6806314368251689</v>
      </c>
      <c r="BQ212" s="328">
        <f t="shared" si="371"/>
        <v>0.29986842105263156</v>
      </c>
      <c r="BR212" s="328">
        <f t="shared" si="399"/>
        <v>0</v>
      </c>
      <c r="BS212" s="328">
        <f t="shared" si="385"/>
        <v>0.78722053957914506</v>
      </c>
      <c r="BT212" s="328">
        <f t="shared" si="386"/>
        <v>2.7772260840781198</v>
      </c>
      <c r="BU212" s="376"/>
      <c r="BV212" s="328">
        <f t="shared" si="372"/>
        <v>0.5</v>
      </c>
      <c r="BW212" s="328">
        <f t="shared" si="373"/>
        <v>0.94339622641509435</v>
      </c>
      <c r="BX212" s="373">
        <f t="shared" si="387"/>
        <v>0.59720124847210421</v>
      </c>
      <c r="BY212" s="311">
        <f t="shared" si="374"/>
        <v>177040.79886536906</v>
      </c>
      <c r="BZ212" s="311">
        <f t="shared" si="375"/>
        <v>260899.91999999993</v>
      </c>
      <c r="CA212" s="311">
        <f t="shared" si="388"/>
        <v>170749.43481538218</v>
      </c>
      <c r="CB212" s="307">
        <f t="shared" si="389"/>
        <v>170.74943481538219</v>
      </c>
      <c r="CC212" s="309">
        <f t="shared" si="390"/>
        <v>0.5652083244468129</v>
      </c>
      <c r="CD212" s="379">
        <f t="shared" si="376"/>
        <v>1.7727636234186295</v>
      </c>
    </row>
    <row r="213" spans="1:82" x14ac:dyDescent="0.25">
      <c r="A213" s="305">
        <v>205</v>
      </c>
      <c r="B213" s="298" t="s">
        <v>12</v>
      </c>
      <c r="C213" s="298">
        <v>42</v>
      </c>
      <c r="D213" s="361" t="s">
        <v>597</v>
      </c>
      <c r="E213" s="361" t="s">
        <v>668</v>
      </c>
      <c r="F213" s="298" t="s">
        <v>484</v>
      </c>
      <c r="G213" s="311">
        <v>1200</v>
      </c>
      <c r="H213" s="311">
        <f t="shared" si="400"/>
        <v>1200</v>
      </c>
      <c r="I213" s="311">
        <v>1590</v>
      </c>
      <c r="J213" s="306">
        <f t="shared" si="396"/>
        <v>1908000</v>
      </c>
      <c r="K213" s="311">
        <v>190</v>
      </c>
      <c r="L213" s="312">
        <v>1272</v>
      </c>
      <c r="M213" s="309">
        <f t="shared" si="401"/>
        <v>0.75471698113207553</v>
      </c>
      <c r="N213" s="309">
        <f t="shared" si="377"/>
        <v>0.75471698113207553</v>
      </c>
      <c r="O213" s="309">
        <f t="shared" si="367"/>
        <v>0.75471698113207553</v>
      </c>
      <c r="P213" s="327">
        <f t="shared" si="391"/>
        <v>204900</v>
      </c>
      <c r="Q213" s="306">
        <f t="shared" si="368"/>
        <v>302100</v>
      </c>
      <c r="R213" s="309">
        <f t="shared" si="402"/>
        <v>0.67825223435948356</v>
      </c>
      <c r="S213" s="295">
        <v>1200</v>
      </c>
      <c r="T213" s="295">
        <v>1200</v>
      </c>
      <c r="U213" s="310">
        <v>18.399999999999999</v>
      </c>
      <c r="V213" s="310">
        <v>6.8</v>
      </c>
      <c r="W213" s="387">
        <f t="shared" si="378"/>
        <v>6.8</v>
      </c>
      <c r="X213" s="295">
        <v>25.7</v>
      </c>
      <c r="Y213" s="387">
        <f t="shared" si="379"/>
        <v>25.7</v>
      </c>
      <c r="Z213" s="423" t="s">
        <v>413</v>
      </c>
      <c r="AA213" s="325">
        <v>9.82</v>
      </c>
      <c r="AB213" s="325">
        <v>18.22</v>
      </c>
      <c r="AC213" s="295">
        <v>3</v>
      </c>
      <c r="AD213" s="325">
        <f t="shared" si="360"/>
        <v>3.1052631578947367</v>
      </c>
      <c r="AE213" s="295">
        <v>10</v>
      </c>
      <c r="AF213" s="313">
        <f t="shared" si="392"/>
        <v>0.88507743347731438</v>
      </c>
      <c r="AG213" s="313">
        <f t="shared" si="380"/>
        <v>8.6914603967472281</v>
      </c>
      <c r="AH213" s="313">
        <f t="shared" si="381"/>
        <v>16.126110837956666</v>
      </c>
      <c r="AI213" s="308">
        <f t="shared" si="393"/>
        <v>12.478923829061472</v>
      </c>
      <c r="AJ213" s="361" t="s">
        <v>413</v>
      </c>
      <c r="AK213" s="361" t="s">
        <v>413</v>
      </c>
      <c r="AL213" s="361">
        <v>0</v>
      </c>
      <c r="AM213" s="361">
        <v>0</v>
      </c>
      <c r="AN213" s="340">
        <v>0</v>
      </c>
      <c r="AO213" s="298">
        <v>0</v>
      </c>
      <c r="AP213" s="295">
        <f t="shared" si="397"/>
        <v>0</v>
      </c>
      <c r="AQ213" s="298">
        <v>0</v>
      </c>
      <c r="AR213" s="361" t="s">
        <v>413</v>
      </c>
      <c r="AS213" s="361">
        <v>0</v>
      </c>
      <c r="AT213" s="361" t="s">
        <v>796</v>
      </c>
      <c r="AU213" s="306">
        <f t="shared" si="394"/>
        <v>128.99999999999997</v>
      </c>
      <c r="AV213" s="307">
        <v>21.5</v>
      </c>
      <c r="AW213" s="327">
        <f t="shared" si="364"/>
        <v>128.99999999999997</v>
      </c>
      <c r="AX213" s="306">
        <f t="shared" si="395"/>
        <v>5.6578947368421048E-4</v>
      </c>
      <c r="AY213" s="298">
        <v>530</v>
      </c>
      <c r="AZ213" s="306">
        <f t="shared" si="398"/>
        <v>0.29986842105263156</v>
      </c>
      <c r="BA213" s="298">
        <v>200</v>
      </c>
      <c r="BB213" s="298">
        <v>839</v>
      </c>
      <c r="BC213" s="309">
        <f t="shared" si="365"/>
        <v>2.7772260840781198</v>
      </c>
      <c r="BD213" s="313">
        <f t="shared" si="382"/>
        <v>0.22255333249253373</v>
      </c>
      <c r="BE213" s="309">
        <f t="shared" si="366"/>
        <v>4.0946803318692044</v>
      </c>
      <c r="BF213" s="307" t="s">
        <v>413</v>
      </c>
      <c r="BG213" s="311">
        <v>402</v>
      </c>
      <c r="BH213" s="307">
        <f t="shared" si="349"/>
        <v>402</v>
      </c>
      <c r="BI213" s="373">
        <v>0.94430000000000003</v>
      </c>
      <c r="BJ213" s="361">
        <f t="shared" si="369"/>
        <v>0.81399999999999995</v>
      </c>
      <c r="BK213" s="312">
        <f t="shared" si="370"/>
        <v>1</v>
      </c>
      <c r="BL213" s="311">
        <f t="shared" si="348"/>
        <v>309.00140040000002</v>
      </c>
      <c r="BM213" s="309">
        <f t="shared" si="356"/>
        <v>1.0228447547169812</v>
      </c>
      <c r="BN213" s="309">
        <f t="shared" si="383"/>
        <v>1.5080595431918009</v>
      </c>
      <c r="BO213" s="376"/>
      <c r="BP213" s="328">
        <f t="shared" si="384"/>
        <v>4.6806314368251689</v>
      </c>
      <c r="BQ213" s="328">
        <f t="shared" si="371"/>
        <v>0.29986842105263156</v>
      </c>
      <c r="BR213" s="328">
        <f t="shared" si="399"/>
        <v>0</v>
      </c>
      <c r="BS213" s="328">
        <f t="shared" si="385"/>
        <v>0.78722053957914506</v>
      </c>
      <c r="BT213" s="328">
        <f t="shared" si="386"/>
        <v>2.7772260840781198</v>
      </c>
      <c r="BU213" s="376"/>
      <c r="BV213" s="328">
        <f t="shared" si="372"/>
        <v>0.5</v>
      </c>
      <c r="BW213" s="328">
        <f t="shared" si="373"/>
        <v>0.94339622641509435</v>
      </c>
      <c r="BX213" s="373">
        <f t="shared" si="387"/>
        <v>0.59720124847210421</v>
      </c>
      <c r="BY213" s="311">
        <f t="shared" si="374"/>
        <v>177040.79886536906</v>
      </c>
      <c r="BZ213" s="311">
        <f t="shared" si="375"/>
        <v>260899.91999999993</v>
      </c>
      <c r="CA213" s="311">
        <f t="shared" si="388"/>
        <v>170749.43481538218</v>
      </c>
      <c r="CB213" s="307">
        <f t="shared" si="389"/>
        <v>170.74943481538219</v>
      </c>
      <c r="CC213" s="309">
        <f t="shared" si="390"/>
        <v>0.5652083244468129</v>
      </c>
      <c r="CD213" s="379">
        <f t="shared" si="376"/>
        <v>1.8096774418849393</v>
      </c>
    </row>
    <row r="214" spans="1:82" x14ac:dyDescent="0.25">
      <c r="A214" s="305">
        <v>206</v>
      </c>
      <c r="B214" s="298" t="s">
        <v>12</v>
      </c>
      <c r="C214" s="298">
        <v>43</v>
      </c>
      <c r="D214" s="361" t="s">
        <v>597</v>
      </c>
      <c r="E214" s="361" t="s">
        <v>668</v>
      </c>
      <c r="F214" s="298" t="s">
        <v>484</v>
      </c>
      <c r="G214" s="311">
        <v>1200</v>
      </c>
      <c r="H214" s="311">
        <f t="shared" si="400"/>
        <v>1200</v>
      </c>
      <c r="I214" s="311">
        <v>1590</v>
      </c>
      <c r="J214" s="306">
        <f t="shared" si="396"/>
        <v>1908000</v>
      </c>
      <c r="K214" s="311">
        <v>190</v>
      </c>
      <c r="L214" s="312">
        <v>1272</v>
      </c>
      <c r="M214" s="309">
        <f t="shared" si="401"/>
        <v>0.75471698113207553</v>
      </c>
      <c r="N214" s="309">
        <f t="shared" si="377"/>
        <v>0.75471698113207553</v>
      </c>
      <c r="O214" s="309">
        <f t="shared" si="367"/>
        <v>0.75471698113207553</v>
      </c>
      <c r="P214" s="327">
        <f t="shared" si="391"/>
        <v>204900</v>
      </c>
      <c r="Q214" s="306">
        <f t="shared" si="368"/>
        <v>302100</v>
      </c>
      <c r="R214" s="309">
        <f t="shared" si="402"/>
        <v>0.67825223435948356</v>
      </c>
      <c r="S214" s="295">
        <v>1200</v>
      </c>
      <c r="T214" s="295">
        <v>1200</v>
      </c>
      <c r="U214" s="310">
        <v>18.399999999999999</v>
      </c>
      <c r="V214" s="310">
        <v>7.2</v>
      </c>
      <c r="W214" s="387">
        <f t="shared" si="378"/>
        <v>7.2</v>
      </c>
      <c r="X214" s="295">
        <v>26.3</v>
      </c>
      <c r="Y214" s="387">
        <f t="shared" si="379"/>
        <v>26.3</v>
      </c>
      <c r="Z214" s="423" t="s">
        <v>413</v>
      </c>
      <c r="AA214" s="325">
        <v>9.82</v>
      </c>
      <c r="AB214" s="325">
        <v>18.22</v>
      </c>
      <c r="AC214" s="295">
        <v>3</v>
      </c>
      <c r="AD214" s="325">
        <f t="shared" si="360"/>
        <v>3.1052631578947367</v>
      </c>
      <c r="AE214" s="295">
        <v>10</v>
      </c>
      <c r="AF214" s="313">
        <f t="shared" si="392"/>
        <v>0.88507743347731438</v>
      </c>
      <c r="AG214" s="313">
        <f t="shared" si="380"/>
        <v>8.6914603967472281</v>
      </c>
      <c r="AH214" s="313">
        <f t="shared" si="381"/>
        <v>16.126110837956666</v>
      </c>
      <c r="AI214" s="308">
        <f t="shared" si="393"/>
        <v>12.478923829061472</v>
      </c>
      <c r="AJ214" s="361" t="s">
        <v>413</v>
      </c>
      <c r="AK214" s="361" t="s">
        <v>413</v>
      </c>
      <c r="AL214" s="361">
        <v>0</v>
      </c>
      <c r="AM214" s="361">
        <v>0</v>
      </c>
      <c r="AN214" s="340">
        <v>0</v>
      </c>
      <c r="AO214" s="298">
        <v>0</v>
      </c>
      <c r="AP214" s="295">
        <f t="shared" si="397"/>
        <v>0</v>
      </c>
      <c r="AQ214" s="298">
        <v>0</v>
      </c>
      <c r="AR214" s="361" t="s">
        <v>413</v>
      </c>
      <c r="AS214" s="361">
        <v>0</v>
      </c>
      <c r="AT214" s="361" t="s">
        <v>797</v>
      </c>
      <c r="AU214" s="306">
        <f t="shared" si="394"/>
        <v>226.20000000000005</v>
      </c>
      <c r="AV214" s="307">
        <v>37.700000000000003</v>
      </c>
      <c r="AW214" s="327">
        <f t="shared" si="364"/>
        <v>226.20000000000005</v>
      </c>
      <c r="AX214" s="306">
        <f t="shared" si="395"/>
        <v>9.9210526315789485E-4</v>
      </c>
      <c r="AY214" s="298">
        <v>560</v>
      </c>
      <c r="AZ214" s="306">
        <f t="shared" si="398"/>
        <v>0.55557894736842117</v>
      </c>
      <c r="BA214" s="298">
        <v>200</v>
      </c>
      <c r="BB214" s="298">
        <v>839</v>
      </c>
      <c r="BC214" s="309">
        <f t="shared" si="365"/>
        <v>2.7772260840781198</v>
      </c>
      <c r="BD214" s="313">
        <f t="shared" si="382"/>
        <v>0.22255333249253373</v>
      </c>
      <c r="BE214" s="309">
        <f t="shared" si="366"/>
        <v>4.0946803318692044</v>
      </c>
      <c r="BF214" s="307" t="s">
        <v>413</v>
      </c>
      <c r="BG214" s="311">
        <v>437</v>
      </c>
      <c r="BH214" s="307">
        <f t="shared" si="349"/>
        <v>437</v>
      </c>
      <c r="BI214" s="373">
        <v>0.94430000000000003</v>
      </c>
      <c r="BJ214" s="361">
        <f t="shared" si="369"/>
        <v>0.81399999999999995</v>
      </c>
      <c r="BK214" s="312">
        <f t="shared" si="370"/>
        <v>1</v>
      </c>
      <c r="BL214" s="311">
        <f t="shared" si="348"/>
        <v>335.9045074</v>
      </c>
      <c r="BM214" s="309">
        <f t="shared" si="356"/>
        <v>1.1118984025157232</v>
      </c>
      <c r="BN214" s="309">
        <f t="shared" si="383"/>
        <v>1.6393582596388483</v>
      </c>
      <c r="BO214" s="376"/>
      <c r="BP214" s="328">
        <f t="shared" si="384"/>
        <v>4.6806314368251689</v>
      </c>
      <c r="BQ214" s="328">
        <f t="shared" si="371"/>
        <v>0.55557894736842117</v>
      </c>
      <c r="BR214" s="328">
        <f t="shared" si="399"/>
        <v>0</v>
      </c>
      <c r="BS214" s="328">
        <f t="shared" si="385"/>
        <v>1.0715290280576306</v>
      </c>
      <c r="BT214" s="328">
        <f t="shared" si="386"/>
        <v>2.7772260840781198</v>
      </c>
      <c r="BU214" s="376"/>
      <c r="BV214" s="328">
        <f t="shared" si="372"/>
        <v>0.5</v>
      </c>
      <c r="BW214" s="328">
        <f t="shared" si="373"/>
        <v>0.94339622641509435</v>
      </c>
      <c r="BX214" s="373">
        <f t="shared" si="387"/>
        <v>0.59720124847210421</v>
      </c>
      <c r="BY214" s="311">
        <f t="shared" si="374"/>
        <v>177040.79886536906</v>
      </c>
      <c r="BZ214" s="311">
        <f t="shared" si="375"/>
        <v>483380.35200000013</v>
      </c>
      <c r="CA214" s="311">
        <f t="shared" si="388"/>
        <v>170749.43481538218</v>
      </c>
      <c r="CB214" s="307">
        <f t="shared" si="389"/>
        <v>170.74943481538219</v>
      </c>
      <c r="CC214" s="309">
        <f t="shared" si="390"/>
        <v>0.5652083244468129</v>
      </c>
      <c r="CD214" s="379">
        <f t="shared" si="376"/>
        <v>1.9672364231435782</v>
      </c>
    </row>
    <row r="215" spans="1:82" x14ac:dyDescent="0.25">
      <c r="A215" s="305">
        <v>207</v>
      </c>
      <c r="B215" s="298" t="s">
        <v>12</v>
      </c>
      <c r="C215" s="298">
        <v>44</v>
      </c>
      <c r="D215" s="361" t="s">
        <v>597</v>
      </c>
      <c r="E215" s="361" t="s">
        <v>668</v>
      </c>
      <c r="F215" s="298" t="s">
        <v>484</v>
      </c>
      <c r="G215" s="311">
        <v>1200</v>
      </c>
      <c r="H215" s="311">
        <f t="shared" si="400"/>
        <v>1200</v>
      </c>
      <c r="I215" s="311">
        <v>1590</v>
      </c>
      <c r="J215" s="306">
        <f t="shared" si="396"/>
        <v>1908000</v>
      </c>
      <c r="K215" s="311">
        <v>190</v>
      </c>
      <c r="L215" s="312">
        <v>1272</v>
      </c>
      <c r="M215" s="309">
        <f t="shared" si="401"/>
        <v>0.75471698113207553</v>
      </c>
      <c r="N215" s="309">
        <f t="shared" si="377"/>
        <v>0.75471698113207553</v>
      </c>
      <c r="O215" s="309">
        <f t="shared" si="367"/>
        <v>0.75471698113207553</v>
      </c>
      <c r="P215" s="327">
        <f t="shared" si="391"/>
        <v>204900</v>
      </c>
      <c r="Q215" s="306">
        <f t="shared" si="368"/>
        <v>302100</v>
      </c>
      <c r="R215" s="309">
        <f t="shared" si="402"/>
        <v>0.67825223435948356</v>
      </c>
      <c r="S215" s="295">
        <v>1200</v>
      </c>
      <c r="T215" s="295">
        <v>1200</v>
      </c>
      <c r="U215" s="310">
        <v>18.399999999999999</v>
      </c>
      <c r="V215" s="310">
        <v>6.7</v>
      </c>
      <c r="W215" s="387">
        <f t="shared" si="378"/>
        <v>6.7</v>
      </c>
      <c r="X215" s="295">
        <v>23.8</v>
      </c>
      <c r="Y215" s="387">
        <f t="shared" si="379"/>
        <v>23.8</v>
      </c>
      <c r="Z215" s="423" t="s">
        <v>413</v>
      </c>
      <c r="AA215" s="325">
        <v>9.82</v>
      </c>
      <c r="AB215" s="325">
        <v>18.22</v>
      </c>
      <c r="AC215" s="295">
        <v>3</v>
      </c>
      <c r="AD215" s="325">
        <f t="shared" si="360"/>
        <v>3.1052631578947367</v>
      </c>
      <c r="AE215" s="295">
        <v>10</v>
      </c>
      <c r="AF215" s="313">
        <f t="shared" si="392"/>
        <v>0.88507743347731438</v>
      </c>
      <c r="AG215" s="313">
        <f t="shared" si="380"/>
        <v>8.6914603967472281</v>
      </c>
      <c r="AH215" s="313">
        <f t="shared" si="381"/>
        <v>16.126110837956666</v>
      </c>
      <c r="AI215" s="308">
        <f t="shared" si="393"/>
        <v>12.478923829061472</v>
      </c>
      <c r="AJ215" s="361" t="s">
        <v>413</v>
      </c>
      <c r="AK215" s="361" t="s">
        <v>413</v>
      </c>
      <c r="AL215" s="361">
        <v>0</v>
      </c>
      <c r="AM215" s="361">
        <v>0</v>
      </c>
      <c r="AN215" s="340">
        <v>0</v>
      </c>
      <c r="AO215" s="298">
        <v>0</v>
      </c>
      <c r="AP215" s="295">
        <f t="shared" si="397"/>
        <v>0</v>
      </c>
      <c r="AQ215" s="298">
        <v>0</v>
      </c>
      <c r="AR215" s="361" t="s">
        <v>413</v>
      </c>
      <c r="AS215" s="361">
        <v>0</v>
      </c>
      <c r="AT215" s="361" t="s">
        <v>797</v>
      </c>
      <c r="AU215" s="306">
        <f t="shared" si="394"/>
        <v>226.20000000000005</v>
      </c>
      <c r="AV215" s="307">
        <v>37.700000000000003</v>
      </c>
      <c r="AW215" s="327">
        <f t="shared" si="364"/>
        <v>226.20000000000005</v>
      </c>
      <c r="AX215" s="306">
        <f t="shared" si="395"/>
        <v>9.9210526315789485E-4</v>
      </c>
      <c r="AY215" s="298">
        <v>560</v>
      </c>
      <c r="AZ215" s="306">
        <f t="shared" si="398"/>
        <v>0.55557894736842117</v>
      </c>
      <c r="BA215" s="298">
        <v>200</v>
      </c>
      <c r="BB215" s="298">
        <v>839</v>
      </c>
      <c r="BC215" s="309">
        <f t="shared" si="365"/>
        <v>2.7772260840781198</v>
      </c>
      <c r="BD215" s="313">
        <f t="shared" si="382"/>
        <v>0.22255333249253373</v>
      </c>
      <c r="BE215" s="309">
        <f t="shared" si="366"/>
        <v>4.0946803318692044</v>
      </c>
      <c r="BF215" s="307" t="s">
        <v>413</v>
      </c>
      <c r="BG215" s="311">
        <v>393.3</v>
      </c>
      <c r="BH215" s="307">
        <f t="shared" si="349"/>
        <v>393.3</v>
      </c>
      <c r="BI215" s="373">
        <v>0.94430000000000003</v>
      </c>
      <c r="BJ215" s="361">
        <f t="shared" si="369"/>
        <v>0.81399999999999995</v>
      </c>
      <c r="BK215" s="312">
        <f t="shared" si="370"/>
        <v>1</v>
      </c>
      <c r="BL215" s="311">
        <f t="shared" si="348"/>
        <v>302.31405666000001</v>
      </c>
      <c r="BM215" s="309">
        <f t="shared" si="356"/>
        <v>1.0007085622641509</v>
      </c>
      <c r="BN215" s="309">
        <f t="shared" si="383"/>
        <v>1.4754224336749635</v>
      </c>
      <c r="BO215" s="376"/>
      <c r="BP215" s="328">
        <f t="shared" si="384"/>
        <v>4.6806314368251689</v>
      </c>
      <c r="BQ215" s="328">
        <f t="shared" si="371"/>
        <v>0.55557894736842117</v>
      </c>
      <c r="BR215" s="328">
        <f t="shared" si="399"/>
        <v>0</v>
      </c>
      <c r="BS215" s="328">
        <f t="shared" si="385"/>
        <v>1.0715290280576306</v>
      </c>
      <c r="BT215" s="328">
        <f t="shared" si="386"/>
        <v>2.7772260840781198</v>
      </c>
      <c r="BU215" s="376"/>
      <c r="BV215" s="328">
        <f t="shared" si="372"/>
        <v>0.5</v>
      </c>
      <c r="BW215" s="328">
        <f t="shared" si="373"/>
        <v>0.94339622641509435</v>
      </c>
      <c r="BX215" s="373">
        <f t="shared" si="387"/>
        <v>0.59720124847210421</v>
      </c>
      <c r="BY215" s="311">
        <f t="shared" si="374"/>
        <v>177040.79886536906</v>
      </c>
      <c r="BZ215" s="311">
        <f t="shared" si="375"/>
        <v>483380.35200000013</v>
      </c>
      <c r="CA215" s="311">
        <f t="shared" si="388"/>
        <v>170749.43481538218</v>
      </c>
      <c r="CB215" s="307">
        <f t="shared" si="389"/>
        <v>170.74943481538219</v>
      </c>
      <c r="CC215" s="309">
        <f t="shared" si="390"/>
        <v>0.5652083244468129</v>
      </c>
      <c r="CD215" s="379">
        <f t="shared" si="376"/>
        <v>1.7705127808292203</v>
      </c>
    </row>
    <row r="216" spans="1:82" x14ac:dyDescent="0.25">
      <c r="A216" s="305">
        <v>208</v>
      </c>
      <c r="B216" s="298" t="s">
        <v>12</v>
      </c>
      <c r="C216" s="298">
        <v>45</v>
      </c>
      <c r="D216" s="361" t="s">
        <v>597</v>
      </c>
      <c r="E216" s="361" t="s">
        <v>668</v>
      </c>
      <c r="F216" s="298" t="s">
        <v>484</v>
      </c>
      <c r="G216" s="311">
        <v>1200</v>
      </c>
      <c r="H216" s="311">
        <f t="shared" si="400"/>
        <v>1200</v>
      </c>
      <c r="I216" s="311">
        <v>1590</v>
      </c>
      <c r="J216" s="306">
        <f t="shared" si="396"/>
        <v>1908000</v>
      </c>
      <c r="K216" s="311">
        <v>190</v>
      </c>
      <c r="L216" s="312">
        <v>1272</v>
      </c>
      <c r="M216" s="309">
        <f t="shared" si="401"/>
        <v>0.75471698113207553</v>
      </c>
      <c r="N216" s="309">
        <f t="shared" si="377"/>
        <v>0.75471698113207553</v>
      </c>
      <c r="O216" s="309">
        <f t="shared" si="367"/>
        <v>0.75471698113207553</v>
      </c>
      <c r="P216" s="327">
        <f t="shared" si="391"/>
        <v>204900</v>
      </c>
      <c r="Q216" s="306">
        <f t="shared" si="368"/>
        <v>302100</v>
      </c>
      <c r="R216" s="309">
        <f t="shared" si="402"/>
        <v>0.67825223435948356</v>
      </c>
      <c r="S216" s="295">
        <v>1200</v>
      </c>
      <c r="T216" s="295">
        <v>1200</v>
      </c>
      <c r="U216" s="310">
        <v>18.399999999999999</v>
      </c>
      <c r="V216" s="310">
        <v>7.8</v>
      </c>
      <c r="W216" s="387">
        <f t="shared" si="378"/>
        <v>7.8</v>
      </c>
      <c r="X216" s="295">
        <v>23</v>
      </c>
      <c r="Y216" s="387">
        <f t="shared" si="379"/>
        <v>23</v>
      </c>
      <c r="Z216" s="423" t="s">
        <v>413</v>
      </c>
      <c r="AA216" s="325">
        <v>9.82</v>
      </c>
      <c r="AB216" s="325">
        <v>18.22</v>
      </c>
      <c r="AC216" s="295">
        <v>3</v>
      </c>
      <c r="AD216" s="325">
        <f t="shared" si="360"/>
        <v>3.1052631578947367</v>
      </c>
      <c r="AE216" s="295">
        <v>10</v>
      </c>
      <c r="AF216" s="313">
        <f t="shared" si="392"/>
        <v>0.88507743347731438</v>
      </c>
      <c r="AG216" s="313">
        <f t="shared" si="380"/>
        <v>8.6914603967472281</v>
      </c>
      <c r="AH216" s="313">
        <f t="shared" si="381"/>
        <v>16.126110837956666</v>
      </c>
      <c r="AI216" s="308">
        <f t="shared" si="393"/>
        <v>12.478923829061472</v>
      </c>
      <c r="AJ216" s="361" t="s">
        <v>413</v>
      </c>
      <c r="AK216" s="361" t="s">
        <v>413</v>
      </c>
      <c r="AL216" s="361">
        <v>0</v>
      </c>
      <c r="AM216" s="361">
        <v>0</v>
      </c>
      <c r="AN216" s="340">
        <v>0</v>
      </c>
      <c r="AO216" s="298">
        <v>0</v>
      </c>
      <c r="AP216" s="295">
        <f t="shared" si="397"/>
        <v>0</v>
      </c>
      <c r="AQ216" s="298">
        <v>0</v>
      </c>
      <c r="AR216" s="361" t="s">
        <v>413</v>
      </c>
      <c r="AS216" s="361">
        <v>0</v>
      </c>
      <c r="AT216" s="361" t="s">
        <v>797</v>
      </c>
      <c r="AU216" s="306">
        <f t="shared" si="394"/>
        <v>226.20000000000005</v>
      </c>
      <c r="AV216" s="307">
        <v>37.700000000000003</v>
      </c>
      <c r="AW216" s="327">
        <f t="shared" si="364"/>
        <v>226.20000000000005</v>
      </c>
      <c r="AX216" s="306">
        <f t="shared" si="395"/>
        <v>9.9210526315789485E-4</v>
      </c>
      <c r="AY216" s="298">
        <v>560</v>
      </c>
      <c r="AZ216" s="306">
        <f t="shared" si="398"/>
        <v>0.55557894736842117</v>
      </c>
      <c r="BA216" s="298">
        <v>200</v>
      </c>
      <c r="BB216" s="298">
        <v>839</v>
      </c>
      <c r="BC216" s="309">
        <f t="shared" si="365"/>
        <v>2.7772260840781198</v>
      </c>
      <c r="BD216" s="313">
        <f t="shared" si="382"/>
        <v>0.22255333249253373</v>
      </c>
      <c r="BE216" s="309">
        <f t="shared" si="366"/>
        <v>4.0946803318692044</v>
      </c>
      <c r="BF216" s="307" t="s">
        <v>413</v>
      </c>
      <c r="BG216" s="311">
        <v>425.7</v>
      </c>
      <c r="BH216" s="307">
        <f t="shared" si="349"/>
        <v>425.7</v>
      </c>
      <c r="BI216" s="373">
        <v>0.94430000000000003</v>
      </c>
      <c r="BJ216" s="361">
        <f t="shared" si="369"/>
        <v>0.81399999999999995</v>
      </c>
      <c r="BK216" s="312">
        <f t="shared" si="370"/>
        <v>1</v>
      </c>
      <c r="BL216" s="311">
        <f t="shared" si="348"/>
        <v>327.21864713999997</v>
      </c>
      <c r="BM216" s="309">
        <f t="shared" si="356"/>
        <v>1.083146796226415</v>
      </c>
      <c r="BN216" s="309">
        <f t="shared" si="383"/>
        <v>1.5969675311859444</v>
      </c>
      <c r="BO216" s="376"/>
      <c r="BP216" s="328">
        <f t="shared" si="384"/>
        <v>4.6806314368251689</v>
      </c>
      <c r="BQ216" s="328">
        <f t="shared" si="371"/>
        <v>0.55557894736842117</v>
      </c>
      <c r="BR216" s="328">
        <f t="shared" si="399"/>
        <v>0</v>
      </c>
      <c r="BS216" s="328">
        <f t="shared" si="385"/>
        <v>1.0715290280576306</v>
      </c>
      <c r="BT216" s="328">
        <f t="shared" si="386"/>
        <v>2.7772260840781198</v>
      </c>
      <c r="BU216" s="376"/>
      <c r="BV216" s="328">
        <f t="shared" si="372"/>
        <v>0.5</v>
      </c>
      <c r="BW216" s="328">
        <f t="shared" si="373"/>
        <v>0.94339622641509435</v>
      </c>
      <c r="BX216" s="373">
        <f t="shared" si="387"/>
        <v>0.59720124847210421</v>
      </c>
      <c r="BY216" s="311">
        <f t="shared" si="374"/>
        <v>177040.79886536906</v>
      </c>
      <c r="BZ216" s="311">
        <f t="shared" si="375"/>
        <v>483380.35200000013</v>
      </c>
      <c r="CA216" s="311">
        <f t="shared" si="388"/>
        <v>170749.43481538218</v>
      </c>
      <c r="CB216" s="307">
        <f t="shared" si="389"/>
        <v>170.74943481538219</v>
      </c>
      <c r="CC216" s="309">
        <f t="shared" si="390"/>
        <v>0.5652083244468129</v>
      </c>
      <c r="CD216" s="379">
        <f t="shared" si="376"/>
        <v>1.9163673806229315</v>
      </c>
    </row>
    <row r="217" spans="1:82" x14ac:dyDescent="0.25">
      <c r="A217" s="305">
        <v>209</v>
      </c>
      <c r="B217" s="298" t="s">
        <v>12</v>
      </c>
      <c r="C217" s="298">
        <v>46</v>
      </c>
      <c r="D217" s="361" t="s">
        <v>597</v>
      </c>
      <c r="E217" s="361" t="s">
        <v>668</v>
      </c>
      <c r="F217" s="298" t="s">
        <v>484</v>
      </c>
      <c r="G217" s="311">
        <v>1200</v>
      </c>
      <c r="H217" s="311">
        <f t="shared" si="400"/>
        <v>1200</v>
      </c>
      <c r="I217" s="311">
        <v>1590</v>
      </c>
      <c r="J217" s="306">
        <f t="shared" si="396"/>
        <v>1908000</v>
      </c>
      <c r="K217" s="311">
        <v>190</v>
      </c>
      <c r="L217" s="312">
        <v>1272</v>
      </c>
      <c r="M217" s="309">
        <f t="shared" si="401"/>
        <v>0.75471698113207553</v>
      </c>
      <c r="N217" s="309">
        <f t="shared" si="377"/>
        <v>0.75471698113207553</v>
      </c>
      <c r="O217" s="309">
        <f t="shared" si="367"/>
        <v>0.75471698113207553</v>
      </c>
      <c r="P217" s="327">
        <f t="shared" si="391"/>
        <v>204900</v>
      </c>
      <c r="Q217" s="306">
        <f t="shared" si="368"/>
        <v>302100</v>
      </c>
      <c r="R217" s="309">
        <f t="shared" si="402"/>
        <v>0.67825223435948356</v>
      </c>
      <c r="S217" s="295">
        <v>600</v>
      </c>
      <c r="T217" s="295">
        <v>1200</v>
      </c>
      <c r="U217" s="310">
        <v>18.399999999999999</v>
      </c>
      <c r="V217" s="310">
        <v>6.4</v>
      </c>
      <c r="W217" s="387">
        <f t="shared" si="378"/>
        <v>6.4</v>
      </c>
      <c r="X217" s="295" t="s">
        <v>413</v>
      </c>
      <c r="Y217" s="387">
        <f t="shared" si="379"/>
        <v>0</v>
      </c>
      <c r="Z217" s="423" t="s">
        <v>413</v>
      </c>
      <c r="AA217" s="325">
        <v>9.82</v>
      </c>
      <c r="AB217" s="325">
        <v>18.22</v>
      </c>
      <c r="AC217" s="295">
        <v>3</v>
      </c>
      <c r="AD217" s="325">
        <f t="shared" si="360"/>
        <v>3.1052631578947367</v>
      </c>
      <c r="AE217" s="295">
        <v>10</v>
      </c>
      <c r="AF217" s="313">
        <f t="shared" si="392"/>
        <v>0.88507743347731438</v>
      </c>
      <c r="AG217" s="313">
        <f t="shared" si="380"/>
        <v>8.6914603967472281</v>
      </c>
      <c r="AH217" s="313">
        <f t="shared" si="381"/>
        <v>16.126110837956666</v>
      </c>
      <c r="AI217" s="308">
        <f t="shared" si="393"/>
        <v>12.478923829061472</v>
      </c>
      <c r="AJ217" s="361" t="s">
        <v>799</v>
      </c>
      <c r="AK217" s="361" t="s">
        <v>798</v>
      </c>
      <c r="AL217" s="361">
        <v>200</v>
      </c>
      <c r="AM217" s="361">
        <f t="shared" ref="AM217:AM222" si="403">4*AL217</f>
        <v>800</v>
      </c>
      <c r="AN217" s="306">
        <f t="shared" ref="AN217:AN222" si="404">AM217/K217/L217</f>
        <v>3.3101621979476992E-3</v>
      </c>
      <c r="AO217" s="361">
        <v>480</v>
      </c>
      <c r="AP217" s="306">
        <f t="shared" ref="AP217:AP222" si="405">AO217/O217/K217</f>
        <v>3.3473684210526318</v>
      </c>
      <c r="AQ217" s="361">
        <v>400</v>
      </c>
      <c r="AR217" s="361" t="s">
        <v>413</v>
      </c>
      <c r="AS217" s="361">
        <v>0</v>
      </c>
      <c r="AT217" s="361" t="s">
        <v>413</v>
      </c>
      <c r="AU217" s="306">
        <f t="shared" si="394"/>
        <v>0</v>
      </c>
      <c r="AV217" s="307">
        <v>0</v>
      </c>
      <c r="AW217" s="327">
        <f t="shared" si="364"/>
        <v>0</v>
      </c>
      <c r="AX217" s="306">
        <f t="shared" si="395"/>
        <v>0</v>
      </c>
      <c r="AY217" s="298">
        <v>0</v>
      </c>
      <c r="AZ217" s="306">
        <f t="shared" si="398"/>
        <v>0</v>
      </c>
      <c r="BA217" s="298">
        <v>0</v>
      </c>
      <c r="BB217" s="298">
        <v>839</v>
      </c>
      <c r="BC217" s="309">
        <f t="shared" si="365"/>
        <v>2.7772260840781198</v>
      </c>
      <c r="BD217" s="313">
        <f t="shared" si="382"/>
        <v>0.22255333249253373</v>
      </c>
      <c r="BE217" s="309">
        <f t="shared" si="366"/>
        <v>4.0946803318692044</v>
      </c>
      <c r="BF217" s="307" t="s">
        <v>413</v>
      </c>
      <c r="BG217" s="311">
        <v>423.6</v>
      </c>
      <c r="BH217" s="307">
        <f t="shared" si="349"/>
        <v>423.6</v>
      </c>
      <c r="BI217" s="373">
        <v>0.94430000000000003</v>
      </c>
      <c r="BJ217" s="361">
        <f t="shared" si="369"/>
        <v>0.81399999999999995</v>
      </c>
      <c r="BK217" s="312">
        <f t="shared" si="370"/>
        <v>1</v>
      </c>
      <c r="BL217" s="311">
        <f t="shared" si="348"/>
        <v>325.60446072000002</v>
      </c>
      <c r="BM217" s="309">
        <f t="shared" si="356"/>
        <v>1.0778035773584906</v>
      </c>
      <c r="BN217" s="309">
        <f t="shared" si="383"/>
        <v>1.5890896081991217</v>
      </c>
      <c r="BO217" s="376"/>
      <c r="BP217" s="328">
        <f t="shared" si="384"/>
        <v>4.6806314368251689</v>
      </c>
      <c r="BQ217" s="328">
        <f t="shared" si="371"/>
        <v>0</v>
      </c>
      <c r="BR217" s="328">
        <f t="shared" si="399"/>
        <v>0</v>
      </c>
      <c r="BS217" s="328">
        <f t="shared" si="385"/>
        <v>0</v>
      </c>
      <c r="BT217" s="328">
        <f t="shared" si="386"/>
        <v>2.7772260840781198</v>
      </c>
      <c r="BU217" s="376"/>
      <c r="BV217" s="328">
        <f t="shared" si="372"/>
        <v>0.5</v>
      </c>
      <c r="BW217" s="328">
        <f t="shared" si="373"/>
        <v>0.94339622641509435</v>
      </c>
      <c r="BX217" s="373">
        <f t="shared" si="387"/>
        <v>0.59720124847210421</v>
      </c>
      <c r="BY217" s="311">
        <f t="shared" si="374"/>
        <v>177040.79886536906</v>
      </c>
      <c r="BZ217" s="311">
        <f t="shared" si="375"/>
        <v>0</v>
      </c>
      <c r="CA217" s="311">
        <f t="shared" si="388"/>
        <v>170749.43481538218</v>
      </c>
      <c r="CB217" s="307">
        <f t="shared" si="389"/>
        <v>170.74943481538219</v>
      </c>
      <c r="CC217" s="309">
        <f t="shared" si="390"/>
        <v>0.5652083244468129</v>
      </c>
      <c r="CD217" s="379">
        <f t="shared" si="376"/>
        <v>1.9069138417474136</v>
      </c>
    </row>
    <row r="218" spans="1:82" x14ac:dyDescent="0.25">
      <c r="A218" s="305">
        <v>210</v>
      </c>
      <c r="B218" s="298" t="s">
        <v>12</v>
      </c>
      <c r="C218" s="298">
        <v>47</v>
      </c>
      <c r="D218" s="361" t="s">
        <v>597</v>
      </c>
      <c r="E218" s="361" t="s">
        <v>668</v>
      </c>
      <c r="F218" s="298" t="s">
        <v>484</v>
      </c>
      <c r="G218" s="311">
        <v>1200</v>
      </c>
      <c r="H218" s="311">
        <f t="shared" si="400"/>
        <v>1200</v>
      </c>
      <c r="I218" s="311">
        <v>1590</v>
      </c>
      <c r="J218" s="306">
        <f t="shared" si="396"/>
        <v>1908000</v>
      </c>
      <c r="K218" s="311">
        <v>190</v>
      </c>
      <c r="L218" s="312">
        <v>1272</v>
      </c>
      <c r="M218" s="309">
        <f t="shared" si="401"/>
        <v>0.75471698113207553</v>
      </c>
      <c r="N218" s="309">
        <f t="shared" si="377"/>
        <v>0.75471698113207553</v>
      </c>
      <c r="O218" s="309">
        <f t="shared" si="367"/>
        <v>0.75471698113207553</v>
      </c>
      <c r="P218" s="327">
        <f t="shared" si="391"/>
        <v>204900</v>
      </c>
      <c r="Q218" s="306">
        <f t="shared" si="368"/>
        <v>302100</v>
      </c>
      <c r="R218" s="309">
        <f t="shared" si="402"/>
        <v>0.67825223435948356</v>
      </c>
      <c r="S218" s="295">
        <v>600</v>
      </c>
      <c r="T218" s="295">
        <v>1200</v>
      </c>
      <c r="U218" s="310">
        <v>18.399999999999999</v>
      </c>
      <c r="V218" s="310">
        <v>7.8</v>
      </c>
      <c r="W218" s="387">
        <f t="shared" si="378"/>
        <v>7.8</v>
      </c>
      <c r="X218" s="295" t="s">
        <v>413</v>
      </c>
      <c r="Y218" s="387">
        <f t="shared" si="379"/>
        <v>0</v>
      </c>
      <c r="Z218" s="423" t="s">
        <v>413</v>
      </c>
      <c r="AA218" s="325">
        <v>9.82</v>
      </c>
      <c r="AB218" s="325">
        <v>18.22</v>
      </c>
      <c r="AC218" s="295">
        <v>3</v>
      </c>
      <c r="AD218" s="325">
        <f t="shared" si="360"/>
        <v>3.1052631578947367</v>
      </c>
      <c r="AE218" s="295">
        <v>10</v>
      </c>
      <c r="AF218" s="313">
        <f t="shared" si="392"/>
        <v>0.88507743347731438</v>
      </c>
      <c r="AG218" s="313">
        <f t="shared" si="380"/>
        <v>8.6914603967472281</v>
      </c>
      <c r="AH218" s="313">
        <f t="shared" si="381"/>
        <v>16.126110837956666</v>
      </c>
      <c r="AI218" s="308">
        <f t="shared" si="393"/>
        <v>12.478923829061472</v>
      </c>
      <c r="AJ218" s="361" t="s">
        <v>799</v>
      </c>
      <c r="AK218" s="361" t="s">
        <v>798</v>
      </c>
      <c r="AL218" s="361">
        <v>200</v>
      </c>
      <c r="AM218" s="361">
        <f t="shared" si="403"/>
        <v>800</v>
      </c>
      <c r="AN218" s="306">
        <f t="shared" si="404"/>
        <v>3.3101621979476992E-3</v>
      </c>
      <c r="AO218" s="361">
        <v>480</v>
      </c>
      <c r="AP218" s="306">
        <f t="shared" si="405"/>
        <v>3.3473684210526318</v>
      </c>
      <c r="AQ218" s="361">
        <v>400</v>
      </c>
      <c r="AR218" s="361" t="s">
        <v>413</v>
      </c>
      <c r="AS218" s="361">
        <v>0</v>
      </c>
      <c r="AT218" s="361" t="s">
        <v>413</v>
      </c>
      <c r="AU218" s="306">
        <f t="shared" si="394"/>
        <v>0</v>
      </c>
      <c r="AV218" s="307">
        <v>0</v>
      </c>
      <c r="AW218" s="327">
        <f t="shared" si="364"/>
        <v>0</v>
      </c>
      <c r="AX218" s="306">
        <f t="shared" si="395"/>
        <v>0</v>
      </c>
      <c r="AY218" s="298">
        <v>0</v>
      </c>
      <c r="AZ218" s="306">
        <f t="shared" si="398"/>
        <v>0</v>
      </c>
      <c r="BA218" s="298">
        <v>0</v>
      </c>
      <c r="BB218" s="298">
        <v>839</v>
      </c>
      <c r="BC218" s="309">
        <f t="shared" si="365"/>
        <v>2.7772260840781198</v>
      </c>
      <c r="BD218" s="313">
        <f t="shared" si="382"/>
        <v>0.22255333249253373</v>
      </c>
      <c r="BE218" s="309">
        <f t="shared" si="366"/>
        <v>4.0946803318692044</v>
      </c>
      <c r="BF218" s="307" t="s">
        <v>413</v>
      </c>
      <c r="BG218" s="311">
        <v>400.9</v>
      </c>
      <c r="BH218" s="307">
        <f t="shared" si="349"/>
        <v>400.9</v>
      </c>
      <c r="BI218" s="373">
        <v>0.94430000000000003</v>
      </c>
      <c r="BJ218" s="361">
        <f t="shared" si="369"/>
        <v>0.81399999999999995</v>
      </c>
      <c r="BK218" s="312">
        <f t="shared" si="370"/>
        <v>1</v>
      </c>
      <c r="BL218" s="311">
        <f t="shared" si="348"/>
        <v>308.15587417999996</v>
      </c>
      <c r="BM218" s="309">
        <f t="shared" si="356"/>
        <v>1.0200459257861634</v>
      </c>
      <c r="BN218" s="309">
        <f t="shared" si="383"/>
        <v>1.5039330121034651</v>
      </c>
      <c r="BO218" s="376"/>
      <c r="BP218" s="328">
        <f t="shared" si="384"/>
        <v>4.6806314368251689</v>
      </c>
      <c r="BQ218" s="328">
        <f t="shared" si="371"/>
        <v>0</v>
      </c>
      <c r="BR218" s="328">
        <f t="shared" si="399"/>
        <v>0</v>
      </c>
      <c r="BS218" s="328">
        <f t="shared" si="385"/>
        <v>0</v>
      </c>
      <c r="BT218" s="328">
        <f t="shared" si="386"/>
        <v>2.7772260840781198</v>
      </c>
      <c r="BU218" s="376"/>
      <c r="BV218" s="328">
        <f t="shared" si="372"/>
        <v>0.5</v>
      </c>
      <c r="BW218" s="328">
        <f t="shared" si="373"/>
        <v>0.94339622641509435</v>
      </c>
      <c r="BX218" s="373">
        <f t="shared" si="387"/>
        <v>0.59720124847210421</v>
      </c>
      <c r="BY218" s="311">
        <f t="shared" si="374"/>
        <v>177040.79886536906</v>
      </c>
      <c r="BZ218" s="311">
        <f t="shared" si="375"/>
        <v>0</v>
      </c>
      <c r="CA218" s="311">
        <f t="shared" si="388"/>
        <v>170749.43481538218</v>
      </c>
      <c r="CB218" s="307">
        <f t="shared" si="389"/>
        <v>170.74943481538219</v>
      </c>
      <c r="CC218" s="309">
        <f t="shared" si="390"/>
        <v>0.5652083244468129</v>
      </c>
      <c r="CD218" s="379">
        <f t="shared" si="376"/>
        <v>1.8047255881882387</v>
      </c>
    </row>
    <row r="219" spans="1:82" x14ac:dyDescent="0.25">
      <c r="A219" s="305">
        <v>211</v>
      </c>
      <c r="B219" s="298" t="s">
        <v>12</v>
      </c>
      <c r="C219" s="298">
        <v>48</v>
      </c>
      <c r="D219" s="361" t="s">
        <v>597</v>
      </c>
      <c r="E219" s="361" t="s">
        <v>668</v>
      </c>
      <c r="F219" s="298" t="s">
        <v>484</v>
      </c>
      <c r="G219" s="311">
        <v>1200</v>
      </c>
      <c r="H219" s="311">
        <f t="shared" si="400"/>
        <v>1200</v>
      </c>
      <c r="I219" s="311">
        <v>1590</v>
      </c>
      <c r="J219" s="306">
        <f t="shared" si="396"/>
        <v>1908000</v>
      </c>
      <c r="K219" s="311">
        <v>190</v>
      </c>
      <c r="L219" s="312">
        <v>1272</v>
      </c>
      <c r="M219" s="309">
        <f t="shared" si="401"/>
        <v>0.75471698113207553</v>
      </c>
      <c r="N219" s="309">
        <f t="shared" si="377"/>
        <v>0.75471698113207553</v>
      </c>
      <c r="O219" s="309">
        <f t="shared" si="367"/>
        <v>0.75471698113207553</v>
      </c>
      <c r="P219" s="327">
        <f t="shared" si="391"/>
        <v>204900</v>
      </c>
      <c r="Q219" s="306">
        <f t="shared" si="368"/>
        <v>302100</v>
      </c>
      <c r="R219" s="309">
        <f t="shared" si="402"/>
        <v>0.67825223435948356</v>
      </c>
      <c r="S219" s="295">
        <v>600</v>
      </c>
      <c r="T219" s="295">
        <v>1200</v>
      </c>
      <c r="U219" s="310">
        <v>18.399999999999999</v>
      </c>
      <c r="V219" s="310">
        <v>5.5</v>
      </c>
      <c r="W219" s="387">
        <f t="shared" si="378"/>
        <v>5.5</v>
      </c>
      <c r="X219" s="295" t="s">
        <v>413</v>
      </c>
      <c r="Y219" s="387">
        <f t="shared" si="379"/>
        <v>0</v>
      </c>
      <c r="Z219" s="423" t="s">
        <v>413</v>
      </c>
      <c r="AA219" s="325">
        <v>9.82</v>
      </c>
      <c r="AB219" s="325">
        <v>18.22</v>
      </c>
      <c r="AC219" s="295">
        <v>3</v>
      </c>
      <c r="AD219" s="325">
        <f t="shared" si="360"/>
        <v>3.1052631578947367</v>
      </c>
      <c r="AE219" s="295">
        <v>10</v>
      </c>
      <c r="AF219" s="313">
        <f t="shared" si="392"/>
        <v>0.88507743347731438</v>
      </c>
      <c r="AG219" s="313">
        <f t="shared" si="380"/>
        <v>8.6914603967472281</v>
      </c>
      <c r="AH219" s="313">
        <f t="shared" si="381"/>
        <v>16.126110837956666</v>
      </c>
      <c r="AI219" s="308">
        <f t="shared" si="393"/>
        <v>12.478923829061472</v>
      </c>
      <c r="AJ219" s="361" t="s">
        <v>799</v>
      </c>
      <c r="AK219" s="361" t="s">
        <v>798</v>
      </c>
      <c r="AL219" s="361">
        <v>200</v>
      </c>
      <c r="AM219" s="361">
        <f t="shared" si="403"/>
        <v>800</v>
      </c>
      <c r="AN219" s="306">
        <f t="shared" si="404"/>
        <v>3.3101621979476992E-3</v>
      </c>
      <c r="AO219" s="361">
        <v>480</v>
      </c>
      <c r="AP219" s="306">
        <f t="shared" si="405"/>
        <v>3.3473684210526318</v>
      </c>
      <c r="AQ219" s="361">
        <v>400</v>
      </c>
      <c r="AR219" s="361" t="s">
        <v>413</v>
      </c>
      <c r="AS219" s="361">
        <v>0</v>
      </c>
      <c r="AT219" s="361" t="s">
        <v>413</v>
      </c>
      <c r="AU219" s="306">
        <f t="shared" si="394"/>
        <v>0</v>
      </c>
      <c r="AV219" s="307">
        <v>0</v>
      </c>
      <c r="AW219" s="327">
        <f t="shared" si="364"/>
        <v>0</v>
      </c>
      <c r="AX219" s="306">
        <f t="shared" si="395"/>
        <v>0</v>
      </c>
      <c r="AY219" s="298">
        <v>0</v>
      </c>
      <c r="AZ219" s="306">
        <f t="shared" si="398"/>
        <v>0</v>
      </c>
      <c r="BA219" s="298">
        <v>0</v>
      </c>
      <c r="BB219" s="298">
        <v>839</v>
      </c>
      <c r="BC219" s="309">
        <f t="shared" si="365"/>
        <v>2.7772260840781198</v>
      </c>
      <c r="BD219" s="313">
        <f t="shared" si="382"/>
        <v>0.22255333249253373</v>
      </c>
      <c r="BE219" s="309">
        <f t="shared" si="366"/>
        <v>4.0946803318692044</v>
      </c>
      <c r="BF219" s="307" t="s">
        <v>413</v>
      </c>
      <c r="BG219" s="311">
        <v>405.9</v>
      </c>
      <c r="BH219" s="307">
        <f t="shared" si="349"/>
        <v>405.9</v>
      </c>
      <c r="BI219" s="373">
        <v>0.94430000000000003</v>
      </c>
      <c r="BJ219" s="361">
        <f t="shared" si="369"/>
        <v>0.81399999999999995</v>
      </c>
      <c r="BK219" s="312">
        <f t="shared" si="370"/>
        <v>1</v>
      </c>
      <c r="BL219" s="311">
        <f t="shared" si="348"/>
        <v>311.99917517999995</v>
      </c>
      <c r="BM219" s="309">
        <f t="shared" si="356"/>
        <v>1.032767875471698</v>
      </c>
      <c r="BN219" s="309">
        <f t="shared" si="383"/>
        <v>1.5226899715959001</v>
      </c>
      <c r="BO219" s="376"/>
      <c r="BP219" s="328">
        <f t="shared" si="384"/>
        <v>4.6806314368251689</v>
      </c>
      <c r="BQ219" s="328">
        <f t="shared" si="371"/>
        <v>0</v>
      </c>
      <c r="BR219" s="328">
        <f t="shared" si="399"/>
        <v>0</v>
      </c>
      <c r="BS219" s="328">
        <f t="shared" si="385"/>
        <v>0</v>
      </c>
      <c r="BT219" s="328">
        <f t="shared" si="386"/>
        <v>2.7772260840781198</v>
      </c>
      <c r="BU219" s="376"/>
      <c r="BV219" s="328">
        <f t="shared" si="372"/>
        <v>0.5</v>
      </c>
      <c r="BW219" s="328">
        <f t="shared" si="373"/>
        <v>0.94339622641509435</v>
      </c>
      <c r="BX219" s="373">
        <f t="shared" si="387"/>
        <v>0.59720124847210421</v>
      </c>
      <c r="BY219" s="311">
        <f t="shared" si="374"/>
        <v>177040.79886536906</v>
      </c>
      <c r="BZ219" s="311">
        <f t="shared" si="375"/>
        <v>0</v>
      </c>
      <c r="CA219" s="311">
        <f t="shared" si="388"/>
        <v>170749.43481538218</v>
      </c>
      <c r="CB219" s="307">
        <f t="shared" si="389"/>
        <v>170.74943481538219</v>
      </c>
      <c r="CC219" s="309">
        <f t="shared" si="390"/>
        <v>0.5652083244468129</v>
      </c>
      <c r="CD219" s="379">
        <f t="shared" si="376"/>
        <v>1.82723401408233</v>
      </c>
    </row>
    <row r="220" spans="1:82" x14ac:dyDescent="0.25">
      <c r="A220" s="305">
        <v>212</v>
      </c>
      <c r="B220" s="298" t="s">
        <v>12</v>
      </c>
      <c r="C220" s="298">
        <v>49</v>
      </c>
      <c r="D220" s="361" t="s">
        <v>597</v>
      </c>
      <c r="E220" s="361" t="s">
        <v>668</v>
      </c>
      <c r="F220" s="298" t="s">
        <v>484</v>
      </c>
      <c r="G220" s="311">
        <v>1200</v>
      </c>
      <c r="H220" s="311">
        <f t="shared" si="400"/>
        <v>1200</v>
      </c>
      <c r="I220" s="311">
        <v>1590</v>
      </c>
      <c r="J220" s="306">
        <f t="shared" si="396"/>
        <v>1908000</v>
      </c>
      <c r="K220" s="311">
        <v>190</v>
      </c>
      <c r="L220" s="312">
        <v>1272</v>
      </c>
      <c r="M220" s="309">
        <f t="shared" si="401"/>
        <v>0.75471698113207553</v>
      </c>
      <c r="N220" s="309">
        <f t="shared" si="377"/>
        <v>0.75471698113207553</v>
      </c>
      <c r="O220" s="309">
        <f t="shared" si="367"/>
        <v>0.75471698113207553</v>
      </c>
      <c r="P220" s="327">
        <f t="shared" si="391"/>
        <v>204900</v>
      </c>
      <c r="Q220" s="306">
        <f t="shared" si="368"/>
        <v>302100</v>
      </c>
      <c r="R220" s="309">
        <f t="shared" si="402"/>
        <v>0.67825223435948356</v>
      </c>
      <c r="S220" s="295">
        <v>600</v>
      </c>
      <c r="T220" s="295">
        <v>1200</v>
      </c>
      <c r="U220" s="310">
        <v>18.399999999999999</v>
      </c>
      <c r="V220" s="310">
        <v>6.1</v>
      </c>
      <c r="W220" s="387">
        <f t="shared" si="378"/>
        <v>6.1</v>
      </c>
      <c r="X220" s="295" t="s">
        <v>413</v>
      </c>
      <c r="Y220" s="387">
        <f t="shared" si="379"/>
        <v>0</v>
      </c>
      <c r="Z220" s="423" t="s">
        <v>413</v>
      </c>
      <c r="AA220" s="325">
        <v>9.82</v>
      </c>
      <c r="AB220" s="325">
        <v>18.22</v>
      </c>
      <c r="AC220" s="295">
        <v>3</v>
      </c>
      <c r="AD220" s="325">
        <f t="shared" si="360"/>
        <v>3.1052631578947367</v>
      </c>
      <c r="AE220" s="295">
        <v>10</v>
      </c>
      <c r="AF220" s="313">
        <f t="shared" si="392"/>
        <v>0.88507743347731438</v>
      </c>
      <c r="AG220" s="313">
        <f t="shared" si="380"/>
        <v>8.6914603967472281</v>
      </c>
      <c r="AH220" s="313">
        <f t="shared" si="381"/>
        <v>16.126110837956666</v>
      </c>
      <c r="AI220" s="308">
        <f t="shared" si="393"/>
        <v>12.478923829061472</v>
      </c>
      <c r="AJ220" s="361" t="s">
        <v>799</v>
      </c>
      <c r="AK220" s="361" t="s">
        <v>798</v>
      </c>
      <c r="AL220" s="361">
        <v>200</v>
      </c>
      <c r="AM220" s="361">
        <f t="shared" si="403"/>
        <v>800</v>
      </c>
      <c r="AN220" s="306">
        <f t="shared" si="404"/>
        <v>3.3101621979476992E-3</v>
      </c>
      <c r="AO220" s="361">
        <v>480</v>
      </c>
      <c r="AP220" s="306">
        <f t="shared" si="405"/>
        <v>3.3473684210526318</v>
      </c>
      <c r="AQ220" s="361">
        <v>400</v>
      </c>
      <c r="AR220" s="361" t="s">
        <v>413</v>
      </c>
      <c r="AS220" s="361">
        <v>0</v>
      </c>
      <c r="AT220" s="361" t="s">
        <v>797</v>
      </c>
      <c r="AU220" s="306">
        <f t="shared" si="394"/>
        <v>226.20000000000005</v>
      </c>
      <c r="AV220" s="307">
        <v>37.700000000000003</v>
      </c>
      <c r="AW220" s="327">
        <f t="shared" si="364"/>
        <v>226.20000000000005</v>
      </c>
      <c r="AX220" s="306">
        <f t="shared" si="395"/>
        <v>9.9210526315789485E-4</v>
      </c>
      <c r="AY220" s="298">
        <v>560</v>
      </c>
      <c r="AZ220" s="306">
        <f t="shared" si="398"/>
        <v>0.55557894736842117</v>
      </c>
      <c r="BA220" s="298">
        <v>200</v>
      </c>
      <c r="BB220" s="298">
        <v>839</v>
      </c>
      <c r="BC220" s="309">
        <f t="shared" si="365"/>
        <v>2.7772260840781198</v>
      </c>
      <c r="BD220" s="313">
        <f t="shared" si="382"/>
        <v>0.22255333249253373</v>
      </c>
      <c r="BE220" s="309">
        <f t="shared" si="366"/>
        <v>4.0946803318692044</v>
      </c>
      <c r="BF220" s="307" t="s">
        <v>413</v>
      </c>
      <c r="BG220" s="311">
        <v>410.3</v>
      </c>
      <c r="BH220" s="307">
        <f t="shared" si="349"/>
        <v>410.3</v>
      </c>
      <c r="BI220" s="373">
        <v>0.94430000000000003</v>
      </c>
      <c r="BJ220" s="361">
        <f t="shared" si="369"/>
        <v>0.81399999999999995</v>
      </c>
      <c r="BK220" s="312">
        <f t="shared" si="370"/>
        <v>1</v>
      </c>
      <c r="BL220" s="311">
        <f t="shared" si="348"/>
        <v>315.38128005999999</v>
      </c>
      <c r="BM220" s="309">
        <f t="shared" si="356"/>
        <v>1.0439631911949685</v>
      </c>
      <c r="BN220" s="309">
        <f t="shared" si="383"/>
        <v>1.5391960959492437</v>
      </c>
      <c r="BO220" s="376"/>
      <c r="BP220" s="328">
        <f t="shared" si="384"/>
        <v>4.6806314368251689</v>
      </c>
      <c r="BQ220" s="328">
        <f t="shared" si="371"/>
        <v>0.55557894736842117</v>
      </c>
      <c r="BR220" s="328">
        <f t="shared" si="399"/>
        <v>0</v>
      </c>
      <c r="BS220" s="328">
        <f t="shared" si="385"/>
        <v>1.0715290280576306</v>
      </c>
      <c r="BT220" s="328">
        <f t="shared" si="386"/>
        <v>2.7772260840781198</v>
      </c>
      <c r="BU220" s="376"/>
      <c r="BV220" s="328">
        <f t="shared" si="372"/>
        <v>0.5</v>
      </c>
      <c r="BW220" s="328">
        <f t="shared" si="373"/>
        <v>0.94339622641509435</v>
      </c>
      <c r="BX220" s="373">
        <f t="shared" si="387"/>
        <v>0.59720124847210421</v>
      </c>
      <c r="BY220" s="311">
        <f t="shared" si="374"/>
        <v>177040.79886536906</v>
      </c>
      <c r="BZ220" s="311">
        <f t="shared" si="375"/>
        <v>483380.35200000013</v>
      </c>
      <c r="CA220" s="311">
        <f t="shared" si="388"/>
        <v>170749.43481538218</v>
      </c>
      <c r="CB220" s="307">
        <f t="shared" si="389"/>
        <v>170.74943481538219</v>
      </c>
      <c r="CC220" s="309">
        <f t="shared" si="390"/>
        <v>0.5652083244468129</v>
      </c>
      <c r="CD220" s="379">
        <f t="shared" si="376"/>
        <v>1.8470414288691306</v>
      </c>
    </row>
    <row r="221" spans="1:82" x14ac:dyDescent="0.25">
      <c r="A221" s="305">
        <v>213</v>
      </c>
      <c r="B221" s="298" t="s">
        <v>12</v>
      </c>
      <c r="C221" s="298">
        <v>50</v>
      </c>
      <c r="D221" s="361" t="s">
        <v>597</v>
      </c>
      <c r="E221" s="361" t="s">
        <v>668</v>
      </c>
      <c r="F221" s="298" t="s">
        <v>484</v>
      </c>
      <c r="G221" s="311">
        <v>1200</v>
      </c>
      <c r="H221" s="311">
        <f t="shared" si="400"/>
        <v>1200</v>
      </c>
      <c r="I221" s="311">
        <v>1590</v>
      </c>
      <c r="J221" s="306">
        <f t="shared" si="396"/>
        <v>1908000</v>
      </c>
      <c r="K221" s="311">
        <v>190</v>
      </c>
      <c r="L221" s="312">
        <v>1272</v>
      </c>
      <c r="M221" s="309">
        <f t="shared" si="401"/>
        <v>0.75471698113207553</v>
      </c>
      <c r="N221" s="309">
        <f t="shared" si="377"/>
        <v>0.75471698113207553</v>
      </c>
      <c r="O221" s="309">
        <f t="shared" si="367"/>
        <v>0.75471698113207553</v>
      </c>
      <c r="P221" s="327">
        <f t="shared" si="391"/>
        <v>204900</v>
      </c>
      <c r="Q221" s="306">
        <f t="shared" si="368"/>
        <v>302100</v>
      </c>
      <c r="R221" s="309">
        <f t="shared" si="402"/>
        <v>0.67825223435948356</v>
      </c>
      <c r="S221" s="295">
        <v>600</v>
      </c>
      <c r="T221" s="295">
        <v>1200</v>
      </c>
      <c r="U221" s="310">
        <v>18.399999999999999</v>
      </c>
      <c r="V221" s="310">
        <v>6.7</v>
      </c>
      <c r="W221" s="387">
        <f t="shared" si="378"/>
        <v>6.7</v>
      </c>
      <c r="X221" s="295" t="s">
        <v>413</v>
      </c>
      <c r="Y221" s="387">
        <f t="shared" si="379"/>
        <v>0</v>
      </c>
      <c r="Z221" s="423" t="s">
        <v>413</v>
      </c>
      <c r="AA221" s="325">
        <v>9.82</v>
      </c>
      <c r="AB221" s="325">
        <v>18.22</v>
      </c>
      <c r="AC221" s="295">
        <v>3</v>
      </c>
      <c r="AD221" s="325">
        <f t="shared" si="360"/>
        <v>3.1052631578947367</v>
      </c>
      <c r="AE221" s="295">
        <v>10</v>
      </c>
      <c r="AF221" s="313">
        <f t="shared" si="392"/>
        <v>0.88507743347731438</v>
      </c>
      <c r="AG221" s="313">
        <f t="shared" si="380"/>
        <v>8.6914603967472281</v>
      </c>
      <c r="AH221" s="313">
        <f t="shared" si="381"/>
        <v>16.126110837956666</v>
      </c>
      <c r="AI221" s="308">
        <f t="shared" si="393"/>
        <v>12.478923829061472</v>
      </c>
      <c r="AJ221" s="361" t="s">
        <v>799</v>
      </c>
      <c r="AK221" s="361" t="s">
        <v>798</v>
      </c>
      <c r="AL221" s="361">
        <v>200</v>
      </c>
      <c r="AM221" s="361">
        <f t="shared" si="403"/>
        <v>800</v>
      </c>
      <c r="AN221" s="306">
        <f t="shared" si="404"/>
        <v>3.3101621979476992E-3</v>
      </c>
      <c r="AO221" s="361">
        <v>480</v>
      </c>
      <c r="AP221" s="306">
        <f t="shared" si="405"/>
        <v>3.3473684210526318</v>
      </c>
      <c r="AQ221" s="361">
        <v>400</v>
      </c>
      <c r="AR221" s="361" t="s">
        <v>413</v>
      </c>
      <c r="AS221" s="361">
        <v>0</v>
      </c>
      <c r="AT221" s="361" t="s">
        <v>797</v>
      </c>
      <c r="AU221" s="306">
        <f t="shared" si="394"/>
        <v>226.20000000000005</v>
      </c>
      <c r="AV221" s="307">
        <v>37.700000000000003</v>
      </c>
      <c r="AW221" s="327">
        <f t="shared" si="364"/>
        <v>226.20000000000005</v>
      </c>
      <c r="AX221" s="306">
        <f t="shared" si="395"/>
        <v>9.9210526315789485E-4</v>
      </c>
      <c r="AY221" s="298">
        <v>560</v>
      </c>
      <c r="AZ221" s="306">
        <f t="shared" si="398"/>
        <v>0.55557894736842117</v>
      </c>
      <c r="BA221" s="298">
        <v>200</v>
      </c>
      <c r="BB221" s="298">
        <v>839</v>
      </c>
      <c r="BC221" s="309">
        <f t="shared" si="365"/>
        <v>2.7772260840781198</v>
      </c>
      <c r="BD221" s="313">
        <f t="shared" si="382"/>
        <v>0.22255333249253373</v>
      </c>
      <c r="BE221" s="309">
        <f t="shared" si="366"/>
        <v>4.0946803318692044</v>
      </c>
      <c r="BF221" s="307" t="s">
        <v>413</v>
      </c>
      <c r="BG221" s="311">
        <v>436.8</v>
      </c>
      <c r="BH221" s="307">
        <f t="shared" si="349"/>
        <v>436.8</v>
      </c>
      <c r="BI221" s="373">
        <v>0.94430000000000003</v>
      </c>
      <c r="BJ221" s="361">
        <f t="shared" si="369"/>
        <v>0.81399999999999995</v>
      </c>
      <c r="BK221" s="312">
        <f t="shared" si="370"/>
        <v>1</v>
      </c>
      <c r="BL221" s="311">
        <f t="shared" si="348"/>
        <v>335.75077536000003</v>
      </c>
      <c r="BM221" s="309">
        <f t="shared" si="356"/>
        <v>1.1113895245283021</v>
      </c>
      <c r="BN221" s="309">
        <f t="shared" si="383"/>
        <v>1.638607981259151</v>
      </c>
      <c r="BO221" s="376"/>
      <c r="BP221" s="328">
        <f t="shared" si="384"/>
        <v>4.6806314368251689</v>
      </c>
      <c r="BQ221" s="328">
        <f t="shared" si="371"/>
        <v>0.55557894736842117</v>
      </c>
      <c r="BR221" s="328">
        <f t="shared" si="399"/>
        <v>0</v>
      </c>
      <c r="BS221" s="328">
        <f t="shared" si="385"/>
        <v>1.0715290280576306</v>
      </c>
      <c r="BT221" s="328">
        <f t="shared" si="386"/>
        <v>2.7772260840781198</v>
      </c>
      <c r="BU221" s="376"/>
      <c r="BV221" s="328">
        <f t="shared" si="372"/>
        <v>0.5</v>
      </c>
      <c r="BW221" s="328">
        <f t="shared" si="373"/>
        <v>0.94339622641509435</v>
      </c>
      <c r="BX221" s="373">
        <f t="shared" si="387"/>
        <v>0.59720124847210421</v>
      </c>
      <c r="BY221" s="311">
        <f t="shared" si="374"/>
        <v>177040.79886536906</v>
      </c>
      <c r="BZ221" s="311">
        <f t="shared" si="375"/>
        <v>483380.35200000013</v>
      </c>
      <c r="CA221" s="311">
        <f t="shared" si="388"/>
        <v>170749.43481538218</v>
      </c>
      <c r="CB221" s="307">
        <f t="shared" si="389"/>
        <v>170.74943481538219</v>
      </c>
      <c r="CC221" s="309">
        <f t="shared" si="390"/>
        <v>0.5652083244468129</v>
      </c>
      <c r="CD221" s="379">
        <f t="shared" si="376"/>
        <v>1.9663360861078147</v>
      </c>
    </row>
    <row r="222" spans="1:82" x14ac:dyDescent="0.25">
      <c r="A222" s="305">
        <v>214</v>
      </c>
      <c r="B222" s="298" t="s">
        <v>12</v>
      </c>
      <c r="C222" s="298">
        <v>51</v>
      </c>
      <c r="D222" s="361" t="s">
        <v>597</v>
      </c>
      <c r="E222" s="361" t="s">
        <v>668</v>
      </c>
      <c r="F222" s="298" t="s">
        <v>484</v>
      </c>
      <c r="G222" s="311">
        <v>1200</v>
      </c>
      <c r="H222" s="311">
        <f t="shared" si="400"/>
        <v>1200</v>
      </c>
      <c r="I222" s="311">
        <v>1590</v>
      </c>
      <c r="J222" s="306">
        <f t="shared" si="396"/>
        <v>1908000</v>
      </c>
      <c r="K222" s="311">
        <v>190</v>
      </c>
      <c r="L222" s="312">
        <v>1272</v>
      </c>
      <c r="M222" s="309">
        <f t="shared" si="401"/>
        <v>0.75471698113207553</v>
      </c>
      <c r="N222" s="309">
        <f t="shared" si="377"/>
        <v>0.75471698113207553</v>
      </c>
      <c r="O222" s="309">
        <f t="shared" si="367"/>
        <v>0.75471698113207553</v>
      </c>
      <c r="P222" s="327">
        <f t="shared" si="391"/>
        <v>204900</v>
      </c>
      <c r="Q222" s="306">
        <f t="shared" si="368"/>
        <v>302100</v>
      </c>
      <c r="R222" s="309">
        <f t="shared" si="402"/>
        <v>0.67825223435948356</v>
      </c>
      <c r="S222" s="295">
        <v>600</v>
      </c>
      <c r="T222" s="295">
        <v>1200</v>
      </c>
      <c r="U222" s="310">
        <v>18.399999999999999</v>
      </c>
      <c r="V222" s="310">
        <v>7.8</v>
      </c>
      <c r="W222" s="387">
        <f t="shared" si="378"/>
        <v>7.8</v>
      </c>
      <c r="X222" s="295" t="s">
        <v>413</v>
      </c>
      <c r="Y222" s="387">
        <f t="shared" si="379"/>
        <v>0</v>
      </c>
      <c r="Z222" s="423" t="s">
        <v>413</v>
      </c>
      <c r="AA222" s="325">
        <v>9.82</v>
      </c>
      <c r="AB222" s="325">
        <v>18.22</v>
      </c>
      <c r="AC222" s="295">
        <v>3</v>
      </c>
      <c r="AD222" s="325">
        <f t="shared" si="360"/>
        <v>3.1052631578947367</v>
      </c>
      <c r="AE222" s="295">
        <v>10</v>
      </c>
      <c r="AF222" s="313">
        <f t="shared" si="392"/>
        <v>0.88507743347731438</v>
      </c>
      <c r="AG222" s="313">
        <f t="shared" si="380"/>
        <v>8.6914603967472281</v>
      </c>
      <c r="AH222" s="313">
        <f t="shared" si="381"/>
        <v>16.126110837956666</v>
      </c>
      <c r="AI222" s="308">
        <f t="shared" si="393"/>
        <v>12.478923829061472</v>
      </c>
      <c r="AJ222" s="361" t="s">
        <v>799</v>
      </c>
      <c r="AK222" s="361" t="s">
        <v>798</v>
      </c>
      <c r="AL222" s="361">
        <v>200</v>
      </c>
      <c r="AM222" s="361">
        <f t="shared" si="403"/>
        <v>800</v>
      </c>
      <c r="AN222" s="306">
        <f t="shared" si="404"/>
        <v>3.3101621979476992E-3</v>
      </c>
      <c r="AO222" s="361">
        <v>480</v>
      </c>
      <c r="AP222" s="306">
        <f t="shared" si="405"/>
        <v>3.3473684210526318</v>
      </c>
      <c r="AQ222" s="361">
        <v>400</v>
      </c>
      <c r="AR222" s="361" t="s">
        <v>413</v>
      </c>
      <c r="AS222" s="361">
        <v>0</v>
      </c>
      <c r="AT222" s="361" t="s">
        <v>797</v>
      </c>
      <c r="AU222" s="306">
        <f t="shared" si="394"/>
        <v>226.20000000000005</v>
      </c>
      <c r="AV222" s="307">
        <v>37.700000000000003</v>
      </c>
      <c r="AW222" s="327">
        <f t="shared" si="364"/>
        <v>226.20000000000005</v>
      </c>
      <c r="AX222" s="306">
        <f t="shared" si="395"/>
        <v>9.9210526315789485E-4</v>
      </c>
      <c r="AY222" s="298">
        <v>560</v>
      </c>
      <c r="AZ222" s="306">
        <f t="shared" si="398"/>
        <v>0.55557894736842117</v>
      </c>
      <c r="BA222" s="298">
        <v>200</v>
      </c>
      <c r="BB222" s="298">
        <v>839</v>
      </c>
      <c r="BC222" s="309">
        <f t="shared" si="365"/>
        <v>2.7772260840781198</v>
      </c>
      <c r="BD222" s="313">
        <f t="shared" si="382"/>
        <v>0.22255333249253373</v>
      </c>
      <c r="BE222" s="309">
        <f t="shared" si="366"/>
        <v>4.0946803318692044</v>
      </c>
      <c r="BF222" s="307" t="s">
        <v>413</v>
      </c>
      <c r="BG222" s="311">
        <v>443.4</v>
      </c>
      <c r="BH222" s="307">
        <f t="shared" si="349"/>
        <v>443.4</v>
      </c>
      <c r="BI222" s="373">
        <v>0.94430000000000003</v>
      </c>
      <c r="BJ222" s="361">
        <f t="shared" si="369"/>
        <v>0.81399999999999995</v>
      </c>
      <c r="BK222" s="312">
        <f t="shared" si="370"/>
        <v>1</v>
      </c>
      <c r="BL222" s="311">
        <f t="shared" si="348"/>
        <v>340.82393267999993</v>
      </c>
      <c r="BM222" s="309">
        <f t="shared" si="356"/>
        <v>1.1281824981132074</v>
      </c>
      <c r="BN222" s="309">
        <f t="shared" si="383"/>
        <v>1.6633671677891653</v>
      </c>
      <c r="BO222" s="376"/>
      <c r="BP222" s="328">
        <f t="shared" si="384"/>
        <v>4.6806314368251689</v>
      </c>
      <c r="BQ222" s="328">
        <f t="shared" si="371"/>
        <v>0.55557894736842117</v>
      </c>
      <c r="BR222" s="328">
        <f t="shared" si="399"/>
        <v>0</v>
      </c>
      <c r="BS222" s="328">
        <f t="shared" si="385"/>
        <v>1.0715290280576306</v>
      </c>
      <c r="BT222" s="328">
        <f t="shared" si="386"/>
        <v>2.7772260840781198</v>
      </c>
      <c r="BU222" s="376"/>
      <c r="BV222" s="328">
        <f t="shared" si="372"/>
        <v>0.5</v>
      </c>
      <c r="BW222" s="328">
        <f t="shared" si="373"/>
        <v>0.94339622641509435</v>
      </c>
      <c r="BX222" s="373">
        <f t="shared" si="387"/>
        <v>0.59720124847210421</v>
      </c>
      <c r="BY222" s="311">
        <f t="shared" si="374"/>
        <v>177040.79886536906</v>
      </c>
      <c r="BZ222" s="311">
        <f t="shared" si="375"/>
        <v>483380.35200000013</v>
      </c>
      <c r="CA222" s="311">
        <f t="shared" si="388"/>
        <v>170749.43481538218</v>
      </c>
      <c r="CB222" s="307">
        <f t="shared" si="389"/>
        <v>170.74943481538219</v>
      </c>
      <c r="CC222" s="309">
        <f t="shared" si="390"/>
        <v>0.5652083244468129</v>
      </c>
      <c r="CD222" s="379">
        <f t="shared" si="376"/>
        <v>1.9960472082880145</v>
      </c>
    </row>
    <row r="223" spans="1:82" x14ac:dyDescent="0.25">
      <c r="A223" s="305">
        <v>215</v>
      </c>
      <c r="B223" s="298" t="s">
        <v>12</v>
      </c>
      <c r="C223" s="298">
        <v>52</v>
      </c>
      <c r="D223" s="361" t="s">
        <v>597</v>
      </c>
      <c r="E223" s="361" t="s">
        <v>668</v>
      </c>
      <c r="F223" s="298" t="s">
        <v>484</v>
      </c>
      <c r="G223" s="311">
        <v>1200</v>
      </c>
      <c r="H223" s="311">
        <f t="shared" si="400"/>
        <v>1200</v>
      </c>
      <c r="I223" s="311">
        <v>1590</v>
      </c>
      <c r="J223" s="306">
        <f t="shared" si="396"/>
        <v>1908000</v>
      </c>
      <c r="K223" s="311">
        <v>190</v>
      </c>
      <c r="L223" s="312">
        <v>1272</v>
      </c>
      <c r="M223" s="309">
        <f t="shared" si="401"/>
        <v>0.75471698113207553</v>
      </c>
      <c r="N223" s="309">
        <f t="shared" si="377"/>
        <v>0.75471698113207553</v>
      </c>
      <c r="O223" s="309">
        <f t="shared" si="367"/>
        <v>0.75471698113207553</v>
      </c>
      <c r="P223" s="327">
        <f t="shared" si="391"/>
        <v>204900</v>
      </c>
      <c r="Q223" s="306">
        <f t="shared" si="368"/>
        <v>302100</v>
      </c>
      <c r="R223" s="309">
        <f t="shared" si="402"/>
        <v>0.67825223435948356</v>
      </c>
      <c r="S223" s="295">
        <v>1200</v>
      </c>
      <c r="T223" s="295">
        <v>1200</v>
      </c>
      <c r="U223" s="310">
        <v>18.399999999999999</v>
      </c>
      <c r="V223" s="310">
        <v>6.4</v>
      </c>
      <c r="W223" s="387">
        <f t="shared" si="378"/>
        <v>6.4</v>
      </c>
      <c r="X223" s="295" t="s">
        <v>413</v>
      </c>
      <c r="Y223" s="387">
        <f t="shared" si="379"/>
        <v>0</v>
      </c>
      <c r="Z223" s="423" t="s">
        <v>413</v>
      </c>
      <c r="AA223" s="325">
        <v>9.82</v>
      </c>
      <c r="AB223" s="325">
        <v>18.22</v>
      </c>
      <c r="AC223" s="295">
        <v>3</v>
      </c>
      <c r="AD223" s="325">
        <f t="shared" si="360"/>
        <v>3.1052631578947367</v>
      </c>
      <c r="AE223" s="295">
        <v>10</v>
      </c>
      <c r="AF223" s="313">
        <f t="shared" si="392"/>
        <v>0.88507743347731438</v>
      </c>
      <c r="AG223" s="313">
        <f t="shared" si="380"/>
        <v>8.6914603967472281</v>
      </c>
      <c r="AH223" s="313">
        <f t="shared" si="381"/>
        <v>16.126110837956666</v>
      </c>
      <c r="AI223" s="308">
        <f t="shared" si="393"/>
        <v>12.478923829061472</v>
      </c>
      <c r="AJ223" s="298" t="s">
        <v>413</v>
      </c>
      <c r="AK223" s="298" t="s">
        <v>413</v>
      </c>
      <c r="AL223" s="298">
        <v>0</v>
      </c>
      <c r="AM223" s="298">
        <v>0</v>
      </c>
      <c r="AN223" s="340">
        <v>0</v>
      </c>
      <c r="AO223" s="298">
        <v>0</v>
      </c>
      <c r="AP223" s="295">
        <f t="shared" si="397"/>
        <v>0</v>
      </c>
      <c r="AQ223" s="298">
        <v>0</v>
      </c>
      <c r="AR223" s="361" t="s">
        <v>413</v>
      </c>
      <c r="AS223" s="298">
        <v>0</v>
      </c>
      <c r="AT223" s="361" t="s">
        <v>413</v>
      </c>
      <c r="AU223" s="306">
        <f t="shared" si="394"/>
        <v>0</v>
      </c>
      <c r="AV223" s="307">
        <v>0</v>
      </c>
      <c r="AW223" s="327">
        <f t="shared" si="364"/>
        <v>0</v>
      </c>
      <c r="AX223" s="306">
        <f t="shared" si="395"/>
        <v>0</v>
      </c>
      <c r="AY223" s="298">
        <v>0</v>
      </c>
      <c r="AZ223" s="306">
        <f t="shared" si="398"/>
        <v>0</v>
      </c>
      <c r="BA223" s="298">
        <v>0</v>
      </c>
      <c r="BB223" s="298">
        <v>471</v>
      </c>
      <c r="BC223" s="309">
        <f t="shared" si="365"/>
        <v>1.5590863952333665</v>
      </c>
      <c r="BD223" s="313">
        <f t="shared" si="382"/>
        <v>0.12493756806195874</v>
      </c>
      <c r="BE223" s="309">
        <f t="shared" si="366"/>
        <v>2.2986822840409955</v>
      </c>
      <c r="BF223" s="307" t="s">
        <v>413</v>
      </c>
      <c r="BG223" s="311">
        <v>231.1</v>
      </c>
      <c r="BH223" s="307">
        <f t="shared" si="349"/>
        <v>231.1</v>
      </c>
      <c r="BI223" s="373">
        <v>0.94430000000000003</v>
      </c>
      <c r="BJ223" s="361">
        <f t="shared" si="369"/>
        <v>0.81399999999999995</v>
      </c>
      <c r="BK223" s="312">
        <f t="shared" si="370"/>
        <v>1</v>
      </c>
      <c r="BL223" s="311">
        <f t="shared" si="348"/>
        <v>177.63737222</v>
      </c>
      <c r="BM223" s="309">
        <f t="shared" si="356"/>
        <v>0.5880085144654088</v>
      </c>
      <c r="BN223" s="309">
        <f t="shared" si="383"/>
        <v>0.86694666774036122</v>
      </c>
      <c r="BO223" s="376"/>
      <c r="BP223" s="328">
        <f t="shared" si="384"/>
        <v>4.6806314368251689</v>
      </c>
      <c r="BQ223" s="328">
        <f t="shared" si="371"/>
        <v>0</v>
      </c>
      <c r="BR223" s="328">
        <v>0</v>
      </c>
      <c r="BS223" s="328">
        <f t="shared" si="385"/>
        <v>0</v>
      </c>
      <c r="BT223" s="328">
        <f t="shared" si="386"/>
        <v>1.5590863952333665</v>
      </c>
      <c r="BU223" s="376"/>
      <c r="BV223" s="328">
        <f t="shared" si="372"/>
        <v>0.5</v>
      </c>
      <c r="BW223" s="328">
        <f t="shared" si="373"/>
        <v>0.94339622641509435</v>
      </c>
      <c r="BX223" s="373">
        <f t="shared" si="387"/>
        <v>0.59720124847210421</v>
      </c>
      <c r="BY223" s="311">
        <f t="shared" si="374"/>
        <v>131040.79886536907</v>
      </c>
      <c r="BZ223" s="311">
        <f t="shared" si="375"/>
        <v>0</v>
      </c>
      <c r="CA223" s="311">
        <f t="shared" si="388"/>
        <v>170749.43481538218</v>
      </c>
      <c r="CB223" s="307">
        <f t="shared" si="389"/>
        <v>131.04079886536908</v>
      </c>
      <c r="CC223" s="309">
        <f t="shared" si="390"/>
        <v>0.43376629879301248</v>
      </c>
      <c r="CD223" s="379">
        <f t="shared" si="376"/>
        <v>1.3555882882132311</v>
      </c>
    </row>
    <row r="224" spans="1:82" x14ac:dyDescent="0.25">
      <c r="A224" s="305">
        <v>216</v>
      </c>
      <c r="B224" s="298" t="s">
        <v>12</v>
      </c>
      <c r="C224" s="298">
        <v>53</v>
      </c>
      <c r="D224" s="361" t="s">
        <v>597</v>
      </c>
      <c r="E224" s="361" t="s">
        <v>668</v>
      </c>
      <c r="F224" s="298" t="s">
        <v>484</v>
      </c>
      <c r="G224" s="311">
        <v>1200</v>
      </c>
      <c r="H224" s="311">
        <f t="shared" si="400"/>
        <v>1200</v>
      </c>
      <c r="I224" s="311">
        <v>1590</v>
      </c>
      <c r="J224" s="306">
        <f t="shared" si="396"/>
        <v>1908000</v>
      </c>
      <c r="K224" s="311">
        <v>190</v>
      </c>
      <c r="L224" s="312">
        <v>1272</v>
      </c>
      <c r="M224" s="309">
        <f t="shared" si="401"/>
        <v>0.75471698113207553</v>
      </c>
      <c r="N224" s="309">
        <f t="shared" si="377"/>
        <v>0.75471698113207553</v>
      </c>
      <c r="O224" s="309">
        <f t="shared" si="367"/>
        <v>0.75471698113207553</v>
      </c>
      <c r="P224" s="327">
        <f t="shared" si="391"/>
        <v>204900</v>
      </c>
      <c r="Q224" s="306">
        <f t="shared" si="368"/>
        <v>302100</v>
      </c>
      <c r="R224" s="309">
        <f t="shared" si="402"/>
        <v>0.67825223435948356</v>
      </c>
      <c r="S224" s="295">
        <v>1200</v>
      </c>
      <c r="T224" s="295">
        <v>1200</v>
      </c>
      <c r="U224" s="310">
        <v>18.399999999999999</v>
      </c>
      <c r="V224" s="310">
        <v>7.8</v>
      </c>
      <c r="W224" s="387">
        <f t="shared" si="378"/>
        <v>7.8</v>
      </c>
      <c r="X224" s="295" t="s">
        <v>413</v>
      </c>
      <c r="Y224" s="387">
        <f t="shared" si="379"/>
        <v>0</v>
      </c>
      <c r="Z224" s="423" t="s">
        <v>413</v>
      </c>
      <c r="AA224" s="325">
        <v>9.82</v>
      </c>
      <c r="AB224" s="325">
        <v>18.22</v>
      </c>
      <c r="AC224" s="295">
        <v>3</v>
      </c>
      <c r="AD224" s="325">
        <f t="shared" si="360"/>
        <v>3.1052631578947367</v>
      </c>
      <c r="AE224" s="295">
        <v>10</v>
      </c>
      <c r="AF224" s="313">
        <f t="shared" si="392"/>
        <v>0.88507743347731438</v>
      </c>
      <c r="AG224" s="313">
        <f t="shared" si="380"/>
        <v>8.6914603967472281</v>
      </c>
      <c r="AH224" s="313">
        <f t="shared" si="381"/>
        <v>16.126110837956666</v>
      </c>
      <c r="AI224" s="308">
        <f t="shared" si="393"/>
        <v>12.478923829061472</v>
      </c>
      <c r="AJ224" s="361" t="s">
        <v>413</v>
      </c>
      <c r="AK224" s="361" t="s">
        <v>413</v>
      </c>
      <c r="AL224" s="298">
        <v>0</v>
      </c>
      <c r="AM224" s="298">
        <v>0</v>
      </c>
      <c r="AN224" s="340">
        <v>0</v>
      </c>
      <c r="AO224" s="298">
        <v>0</v>
      </c>
      <c r="AP224" s="295">
        <f t="shared" si="397"/>
        <v>0</v>
      </c>
      <c r="AQ224" s="298">
        <v>0</v>
      </c>
      <c r="AR224" s="361" t="s">
        <v>413</v>
      </c>
      <c r="AS224" s="298">
        <v>0</v>
      </c>
      <c r="AT224" s="361" t="s">
        <v>413</v>
      </c>
      <c r="AU224" s="306">
        <f t="shared" si="394"/>
        <v>0</v>
      </c>
      <c r="AV224" s="307">
        <v>0</v>
      </c>
      <c r="AW224" s="327">
        <f t="shared" si="364"/>
        <v>0</v>
      </c>
      <c r="AX224" s="306">
        <f t="shared" si="395"/>
        <v>0</v>
      </c>
      <c r="AY224" s="298">
        <v>0</v>
      </c>
      <c r="AZ224" s="306">
        <f t="shared" si="398"/>
        <v>0</v>
      </c>
      <c r="BA224" s="298">
        <v>0</v>
      </c>
      <c r="BB224" s="298">
        <v>471</v>
      </c>
      <c r="BC224" s="309">
        <f t="shared" si="365"/>
        <v>1.5590863952333665</v>
      </c>
      <c r="BD224" s="313">
        <f t="shared" si="382"/>
        <v>0.12493756806195874</v>
      </c>
      <c r="BE224" s="309">
        <f t="shared" si="366"/>
        <v>2.2986822840409955</v>
      </c>
      <c r="BF224" s="307" t="s">
        <v>413</v>
      </c>
      <c r="BG224" s="311">
        <v>250.8</v>
      </c>
      <c r="BH224" s="307">
        <f t="shared" si="349"/>
        <v>250.8</v>
      </c>
      <c r="BI224" s="373">
        <v>0.94430000000000003</v>
      </c>
      <c r="BJ224" s="361">
        <f t="shared" si="369"/>
        <v>0.81399999999999995</v>
      </c>
      <c r="BK224" s="312">
        <f t="shared" si="370"/>
        <v>1</v>
      </c>
      <c r="BL224" s="311">
        <f t="shared" si="348"/>
        <v>192.77997815999998</v>
      </c>
      <c r="BM224" s="309">
        <f t="shared" si="356"/>
        <v>0.63813299622641506</v>
      </c>
      <c r="BN224" s="309">
        <f t="shared" si="383"/>
        <v>0.94084908814055623</v>
      </c>
      <c r="BO224" s="376"/>
      <c r="BP224" s="328">
        <f t="shared" si="384"/>
        <v>4.6806314368251689</v>
      </c>
      <c r="BQ224" s="328">
        <f t="shared" si="371"/>
        <v>0</v>
      </c>
      <c r="BR224" s="328">
        <v>0</v>
      </c>
      <c r="BS224" s="328">
        <f t="shared" si="385"/>
        <v>0</v>
      </c>
      <c r="BT224" s="328">
        <f t="shared" si="386"/>
        <v>1.5590863952333665</v>
      </c>
      <c r="BU224" s="376"/>
      <c r="BV224" s="328">
        <f t="shared" si="372"/>
        <v>0.5</v>
      </c>
      <c r="BW224" s="328">
        <f t="shared" si="373"/>
        <v>0.94339622641509435</v>
      </c>
      <c r="BX224" s="373">
        <f t="shared" si="387"/>
        <v>0.59720124847210421</v>
      </c>
      <c r="BY224" s="311">
        <f t="shared" si="374"/>
        <v>131040.79886536907</v>
      </c>
      <c r="BZ224" s="311">
        <f t="shared" si="375"/>
        <v>0</v>
      </c>
      <c r="CA224" s="311">
        <f t="shared" si="388"/>
        <v>170749.43481538218</v>
      </c>
      <c r="CB224" s="307">
        <f t="shared" si="389"/>
        <v>131.04079886536908</v>
      </c>
      <c r="CC224" s="309">
        <f t="shared" si="390"/>
        <v>0.43376629879301248</v>
      </c>
      <c r="CD224" s="379">
        <f t="shared" si="376"/>
        <v>1.4711447108778812</v>
      </c>
    </row>
    <row r="225" spans="1:82" x14ac:dyDescent="0.25">
      <c r="A225" s="305">
        <v>217</v>
      </c>
      <c r="B225" s="298" t="s">
        <v>12</v>
      </c>
      <c r="C225" s="298">
        <v>54</v>
      </c>
      <c r="D225" s="361" t="s">
        <v>597</v>
      </c>
      <c r="E225" s="361" t="s">
        <v>668</v>
      </c>
      <c r="F225" s="298" t="s">
        <v>484</v>
      </c>
      <c r="G225" s="311">
        <v>1200</v>
      </c>
      <c r="H225" s="311">
        <f t="shared" si="400"/>
        <v>1200</v>
      </c>
      <c r="I225" s="311">
        <v>1590</v>
      </c>
      <c r="J225" s="306">
        <f t="shared" si="396"/>
        <v>1908000</v>
      </c>
      <c r="K225" s="311">
        <v>190</v>
      </c>
      <c r="L225" s="312">
        <v>1272</v>
      </c>
      <c r="M225" s="309">
        <f t="shared" si="401"/>
        <v>0.75471698113207553</v>
      </c>
      <c r="N225" s="309">
        <f t="shared" si="377"/>
        <v>0.75471698113207553</v>
      </c>
      <c r="O225" s="309">
        <f t="shared" si="367"/>
        <v>0.75471698113207553</v>
      </c>
      <c r="P225" s="327">
        <f t="shared" si="391"/>
        <v>204900</v>
      </c>
      <c r="Q225" s="306">
        <f t="shared" si="368"/>
        <v>302100</v>
      </c>
      <c r="R225" s="309">
        <f t="shared" si="402"/>
        <v>0.67825223435948356</v>
      </c>
      <c r="S225" s="295">
        <v>1200</v>
      </c>
      <c r="T225" s="295">
        <v>1200</v>
      </c>
      <c r="U225" s="310">
        <v>18.399999999999999</v>
      </c>
      <c r="V225" s="310">
        <v>5.5</v>
      </c>
      <c r="W225" s="387">
        <f t="shared" si="378"/>
        <v>5.5</v>
      </c>
      <c r="X225" s="295" t="s">
        <v>413</v>
      </c>
      <c r="Y225" s="387">
        <f t="shared" si="379"/>
        <v>0</v>
      </c>
      <c r="Z225" s="423" t="s">
        <v>413</v>
      </c>
      <c r="AA225" s="325">
        <v>9.82</v>
      </c>
      <c r="AB225" s="325">
        <v>18.22</v>
      </c>
      <c r="AC225" s="295">
        <v>3</v>
      </c>
      <c r="AD225" s="325">
        <f t="shared" si="360"/>
        <v>3.1052631578947367</v>
      </c>
      <c r="AE225" s="295">
        <v>10</v>
      </c>
      <c r="AF225" s="313">
        <f t="shared" si="392"/>
        <v>0.88507743347731438</v>
      </c>
      <c r="AG225" s="313">
        <f t="shared" si="380"/>
        <v>8.6914603967472281</v>
      </c>
      <c r="AH225" s="313">
        <f t="shared" si="381"/>
        <v>16.126110837956666</v>
      </c>
      <c r="AI225" s="308">
        <f t="shared" si="393"/>
        <v>12.478923829061472</v>
      </c>
      <c r="AJ225" s="361" t="s">
        <v>413</v>
      </c>
      <c r="AK225" s="361" t="s">
        <v>413</v>
      </c>
      <c r="AL225" s="298">
        <v>0</v>
      </c>
      <c r="AM225" s="298">
        <v>0</v>
      </c>
      <c r="AN225" s="340">
        <v>0</v>
      </c>
      <c r="AO225" s="298">
        <v>0</v>
      </c>
      <c r="AP225" s="295">
        <f t="shared" si="397"/>
        <v>0</v>
      </c>
      <c r="AQ225" s="298">
        <v>0</v>
      </c>
      <c r="AR225" s="361" t="s">
        <v>413</v>
      </c>
      <c r="AS225" s="298">
        <v>0</v>
      </c>
      <c r="AT225" s="361" t="s">
        <v>413</v>
      </c>
      <c r="AU225" s="306">
        <f t="shared" si="394"/>
        <v>0</v>
      </c>
      <c r="AV225" s="307">
        <v>0</v>
      </c>
      <c r="AW225" s="327">
        <f t="shared" si="364"/>
        <v>0</v>
      </c>
      <c r="AX225" s="306">
        <f t="shared" si="395"/>
        <v>0</v>
      </c>
      <c r="AY225" s="298">
        <v>0</v>
      </c>
      <c r="AZ225" s="306">
        <f t="shared" si="398"/>
        <v>0</v>
      </c>
      <c r="BA225" s="298">
        <v>0</v>
      </c>
      <c r="BB225" s="298">
        <v>471</v>
      </c>
      <c r="BC225" s="309">
        <f t="shared" si="365"/>
        <v>1.5590863952333665</v>
      </c>
      <c r="BD225" s="313">
        <f t="shared" si="382"/>
        <v>0.12493756806195874</v>
      </c>
      <c r="BE225" s="309">
        <f t="shared" si="366"/>
        <v>2.2986822840409955</v>
      </c>
      <c r="BF225" s="307" t="s">
        <v>413</v>
      </c>
      <c r="BG225" s="311">
        <v>237.2</v>
      </c>
      <c r="BH225" s="307">
        <f t="shared" si="349"/>
        <v>237.2</v>
      </c>
      <c r="BI225" s="373">
        <v>0.94430000000000003</v>
      </c>
      <c r="BJ225" s="361">
        <f t="shared" si="369"/>
        <v>0.81399999999999995</v>
      </c>
      <c r="BK225" s="312">
        <f t="shared" si="370"/>
        <v>1</v>
      </c>
      <c r="BL225" s="311">
        <f t="shared" si="348"/>
        <v>182.32619943999998</v>
      </c>
      <c r="BM225" s="309">
        <f t="shared" si="356"/>
        <v>0.60352929308176095</v>
      </c>
      <c r="BN225" s="309">
        <f t="shared" si="383"/>
        <v>0.8898301583211321</v>
      </c>
      <c r="BO225" s="376"/>
      <c r="BP225" s="328">
        <f t="shared" si="384"/>
        <v>4.6806314368251689</v>
      </c>
      <c r="BQ225" s="328">
        <f t="shared" si="371"/>
        <v>0</v>
      </c>
      <c r="BR225" s="328">
        <v>0</v>
      </c>
      <c r="BS225" s="328">
        <f t="shared" si="385"/>
        <v>0</v>
      </c>
      <c r="BT225" s="328">
        <f t="shared" si="386"/>
        <v>1.5590863952333665</v>
      </c>
      <c r="BU225" s="376"/>
      <c r="BV225" s="328">
        <f t="shared" si="372"/>
        <v>0.5</v>
      </c>
      <c r="BW225" s="328">
        <f t="shared" si="373"/>
        <v>0.94339622641509435</v>
      </c>
      <c r="BX225" s="373">
        <f t="shared" si="387"/>
        <v>0.59720124847210421</v>
      </c>
      <c r="BY225" s="311">
        <f t="shared" si="374"/>
        <v>131040.79886536907</v>
      </c>
      <c r="BZ225" s="311">
        <f t="shared" si="375"/>
        <v>0</v>
      </c>
      <c r="CA225" s="311">
        <f t="shared" si="388"/>
        <v>170749.43481538218</v>
      </c>
      <c r="CB225" s="307">
        <f t="shared" si="389"/>
        <v>131.04079886536908</v>
      </c>
      <c r="CC225" s="309">
        <f t="shared" si="390"/>
        <v>0.43376629879301248</v>
      </c>
      <c r="CD225" s="379">
        <f t="shared" si="376"/>
        <v>1.3913697185814728</v>
      </c>
    </row>
    <row r="226" spans="1:82" x14ac:dyDescent="0.25">
      <c r="A226" s="305">
        <v>218</v>
      </c>
      <c r="B226" s="298" t="s">
        <v>12</v>
      </c>
      <c r="C226" s="298">
        <v>55</v>
      </c>
      <c r="D226" s="361" t="s">
        <v>597</v>
      </c>
      <c r="E226" s="361" t="s">
        <v>668</v>
      </c>
      <c r="F226" s="298" t="s">
        <v>484</v>
      </c>
      <c r="G226" s="311">
        <v>1200</v>
      </c>
      <c r="H226" s="311">
        <f t="shared" si="400"/>
        <v>1200</v>
      </c>
      <c r="I226" s="311">
        <v>1590</v>
      </c>
      <c r="J226" s="306">
        <f t="shared" si="396"/>
        <v>1908000</v>
      </c>
      <c r="K226" s="311">
        <v>190</v>
      </c>
      <c r="L226" s="312">
        <v>1272</v>
      </c>
      <c r="M226" s="309">
        <f t="shared" si="401"/>
        <v>0.75471698113207553</v>
      </c>
      <c r="N226" s="309">
        <f t="shared" si="377"/>
        <v>0.75471698113207553</v>
      </c>
      <c r="O226" s="309">
        <f t="shared" si="367"/>
        <v>0.75471698113207553</v>
      </c>
      <c r="P226" s="327">
        <f t="shared" si="391"/>
        <v>204900</v>
      </c>
      <c r="Q226" s="306">
        <f t="shared" si="368"/>
        <v>302100</v>
      </c>
      <c r="R226" s="309">
        <f t="shared" si="402"/>
        <v>0.67825223435948356</v>
      </c>
      <c r="S226" s="295">
        <v>1200</v>
      </c>
      <c r="T226" s="295">
        <v>1200</v>
      </c>
      <c r="U226" s="310">
        <v>18.399999999999999</v>
      </c>
      <c r="V226" s="310">
        <v>12.8</v>
      </c>
      <c r="W226" s="387">
        <f t="shared" si="378"/>
        <v>12.8</v>
      </c>
      <c r="X226" s="310" t="s">
        <v>413</v>
      </c>
      <c r="Y226" s="387">
        <f t="shared" si="379"/>
        <v>0</v>
      </c>
      <c r="Z226" s="423" t="s">
        <v>413</v>
      </c>
      <c r="AA226" s="325">
        <v>9.82</v>
      </c>
      <c r="AB226" s="325">
        <v>18.22</v>
      </c>
      <c r="AC226" s="295">
        <v>3</v>
      </c>
      <c r="AD226" s="325">
        <f t="shared" si="360"/>
        <v>3.1052631578947367</v>
      </c>
      <c r="AE226" s="295">
        <v>10</v>
      </c>
      <c r="AF226" s="313">
        <f t="shared" si="392"/>
        <v>0.88507743347731438</v>
      </c>
      <c r="AG226" s="313">
        <f t="shared" si="380"/>
        <v>8.6914603967472281</v>
      </c>
      <c r="AH226" s="313">
        <f t="shared" si="381"/>
        <v>16.126110837956666</v>
      </c>
      <c r="AI226" s="308">
        <f t="shared" si="393"/>
        <v>12.478923829061472</v>
      </c>
      <c r="AJ226" s="361" t="s">
        <v>413</v>
      </c>
      <c r="AK226" s="361" t="s">
        <v>413</v>
      </c>
      <c r="AL226" s="298">
        <v>0</v>
      </c>
      <c r="AM226" s="298">
        <v>0</v>
      </c>
      <c r="AN226" s="340">
        <v>0</v>
      </c>
      <c r="AO226" s="298">
        <v>0</v>
      </c>
      <c r="AP226" s="295">
        <f t="shared" si="397"/>
        <v>0</v>
      </c>
      <c r="AQ226" s="298">
        <v>0</v>
      </c>
      <c r="AR226" s="361" t="s">
        <v>413</v>
      </c>
      <c r="AS226" s="298">
        <v>0</v>
      </c>
      <c r="AT226" s="361" t="s">
        <v>796</v>
      </c>
      <c r="AU226" s="306">
        <f t="shared" si="394"/>
        <v>128.99999999999997</v>
      </c>
      <c r="AV226" s="307">
        <v>21.5</v>
      </c>
      <c r="AW226" s="327">
        <f t="shared" si="364"/>
        <v>128.99999999999997</v>
      </c>
      <c r="AX226" s="306">
        <f t="shared" si="395"/>
        <v>5.6578947368421048E-4</v>
      </c>
      <c r="AY226" s="298">
        <v>530</v>
      </c>
      <c r="AZ226" s="306">
        <f t="shared" si="398"/>
        <v>0.29986842105263156</v>
      </c>
      <c r="BA226" s="298">
        <v>200</v>
      </c>
      <c r="BB226" s="298">
        <v>315</v>
      </c>
      <c r="BC226" s="309">
        <f t="shared" si="365"/>
        <v>1.0427010923535254</v>
      </c>
      <c r="BD226" s="313">
        <f t="shared" si="382"/>
        <v>8.3556972270736746E-2</v>
      </c>
      <c r="BE226" s="309">
        <f t="shared" si="366"/>
        <v>1.5373352855051245</v>
      </c>
      <c r="BF226" s="307" t="s">
        <v>413</v>
      </c>
      <c r="BG226" s="311">
        <v>186.4</v>
      </c>
      <c r="BH226" s="307">
        <f t="shared" si="349"/>
        <v>186.4</v>
      </c>
      <c r="BI226" s="373">
        <v>0.94430000000000003</v>
      </c>
      <c r="BJ226" s="361">
        <f t="shared" si="369"/>
        <v>0.81399999999999995</v>
      </c>
      <c r="BK226" s="312">
        <f t="shared" si="370"/>
        <v>1</v>
      </c>
      <c r="BL226" s="311">
        <f t="shared" si="348"/>
        <v>143.27826128000001</v>
      </c>
      <c r="BM226" s="309">
        <f t="shared" si="356"/>
        <v>0.47427428427672963</v>
      </c>
      <c r="BN226" s="309">
        <f t="shared" si="383"/>
        <v>0.69925944987798927</v>
      </c>
      <c r="BO226" s="376"/>
      <c r="BP226" s="328">
        <f t="shared" si="384"/>
        <v>4.6806314368251689</v>
      </c>
      <c r="BQ226" s="328">
        <f t="shared" si="371"/>
        <v>0.29986842105263156</v>
      </c>
      <c r="BR226" s="328">
        <v>0</v>
      </c>
      <c r="BS226" s="328">
        <f t="shared" si="385"/>
        <v>0.78722053957914506</v>
      </c>
      <c r="BT226" s="328">
        <f t="shared" si="386"/>
        <v>1.0427010923535254</v>
      </c>
      <c r="BU226" s="376"/>
      <c r="BV226" s="328">
        <f t="shared" si="372"/>
        <v>0.5</v>
      </c>
      <c r="BW226" s="328">
        <f t="shared" si="373"/>
        <v>0.94339622641509435</v>
      </c>
      <c r="BX226" s="373">
        <f t="shared" si="387"/>
        <v>0.59720124847210421</v>
      </c>
      <c r="BY226" s="311">
        <f t="shared" si="374"/>
        <v>111540.79886536907</v>
      </c>
      <c r="BZ226" s="311">
        <f t="shared" si="375"/>
        <v>260899.91999999993</v>
      </c>
      <c r="CA226" s="311">
        <f t="shared" si="388"/>
        <v>170749.43481538218</v>
      </c>
      <c r="CB226" s="307">
        <f t="shared" si="389"/>
        <v>170.74943481538219</v>
      </c>
      <c r="CC226" s="309">
        <f t="shared" si="390"/>
        <v>0.5652083244468129</v>
      </c>
      <c r="CD226" s="379">
        <f t="shared" si="376"/>
        <v>0.83911411733172303</v>
      </c>
    </row>
    <row r="227" spans="1:82" x14ac:dyDescent="0.25">
      <c r="A227" s="305">
        <v>219</v>
      </c>
      <c r="B227" s="298" t="s">
        <v>12</v>
      </c>
      <c r="C227" s="298">
        <v>56</v>
      </c>
      <c r="D227" s="361" t="s">
        <v>597</v>
      </c>
      <c r="E227" s="361" t="s">
        <v>668</v>
      </c>
      <c r="F227" s="298" t="s">
        <v>484</v>
      </c>
      <c r="G227" s="311">
        <v>1200</v>
      </c>
      <c r="H227" s="311">
        <f t="shared" si="400"/>
        <v>1200</v>
      </c>
      <c r="I227" s="311">
        <v>1590</v>
      </c>
      <c r="J227" s="306">
        <f t="shared" si="396"/>
        <v>1908000</v>
      </c>
      <c r="K227" s="311">
        <v>190</v>
      </c>
      <c r="L227" s="312">
        <v>1272</v>
      </c>
      <c r="M227" s="309">
        <f t="shared" si="401"/>
        <v>0.75471698113207553</v>
      </c>
      <c r="N227" s="309">
        <f t="shared" si="377"/>
        <v>0.75471698113207553</v>
      </c>
      <c r="O227" s="309">
        <f t="shared" si="367"/>
        <v>0.75471698113207553</v>
      </c>
      <c r="P227" s="327">
        <f t="shared" si="391"/>
        <v>204900</v>
      </c>
      <c r="Q227" s="306">
        <f t="shared" si="368"/>
        <v>302100</v>
      </c>
      <c r="R227" s="309">
        <f t="shared" si="402"/>
        <v>0.67825223435948356</v>
      </c>
      <c r="S227" s="295">
        <v>1200</v>
      </c>
      <c r="T227" s="295">
        <v>1200</v>
      </c>
      <c r="U227" s="310">
        <v>18.399999999999999</v>
      </c>
      <c r="V227" s="310">
        <v>13.2</v>
      </c>
      <c r="W227" s="387">
        <f t="shared" si="378"/>
        <v>13.2</v>
      </c>
      <c r="X227" s="310" t="s">
        <v>413</v>
      </c>
      <c r="Y227" s="387">
        <f t="shared" si="379"/>
        <v>0</v>
      </c>
      <c r="Z227" s="423" t="s">
        <v>413</v>
      </c>
      <c r="AA227" s="325">
        <v>9.82</v>
      </c>
      <c r="AB227" s="325">
        <v>18.22</v>
      </c>
      <c r="AC227" s="295">
        <v>3</v>
      </c>
      <c r="AD227" s="325">
        <f t="shared" si="360"/>
        <v>3.1052631578947367</v>
      </c>
      <c r="AE227" s="295">
        <v>10</v>
      </c>
      <c r="AF227" s="313">
        <f t="shared" si="392"/>
        <v>0.88507743347731438</v>
      </c>
      <c r="AG227" s="313">
        <f t="shared" si="380"/>
        <v>8.6914603967472281</v>
      </c>
      <c r="AH227" s="313">
        <f t="shared" si="381"/>
        <v>16.126110837956666</v>
      </c>
      <c r="AI227" s="308">
        <f t="shared" si="393"/>
        <v>12.478923829061472</v>
      </c>
      <c r="AJ227" s="361" t="s">
        <v>413</v>
      </c>
      <c r="AK227" s="361" t="s">
        <v>413</v>
      </c>
      <c r="AL227" s="298">
        <v>0</v>
      </c>
      <c r="AM227" s="298">
        <v>0</v>
      </c>
      <c r="AN227" s="340">
        <v>0</v>
      </c>
      <c r="AO227" s="298">
        <v>0</v>
      </c>
      <c r="AP227" s="295">
        <f t="shared" si="397"/>
        <v>0</v>
      </c>
      <c r="AQ227" s="298">
        <v>0</v>
      </c>
      <c r="AR227" s="361" t="s">
        <v>413</v>
      </c>
      <c r="AS227" s="298">
        <v>0</v>
      </c>
      <c r="AT227" s="361" t="s">
        <v>796</v>
      </c>
      <c r="AU227" s="306">
        <f t="shared" si="394"/>
        <v>128.99999999999997</v>
      </c>
      <c r="AV227" s="307">
        <v>21.5</v>
      </c>
      <c r="AW227" s="327">
        <f t="shared" si="364"/>
        <v>128.99999999999997</v>
      </c>
      <c r="AX227" s="306">
        <f t="shared" si="395"/>
        <v>5.6578947368421048E-4</v>
      </c>
      <c r="AY227" s="298">
        <v>530</v>
      </c>
      <c r="AZ227" s="306">
        <f t="shared" si="398"/>
        <v>0.29986842105263156</v>
      </c>
      <c r="BA227" s="298">
        <v>200</v>
      </c>
      <c r="BB227" s="298">
        <v>315</v>
      </c>
      <c r="BC227" s="309">
        <f t="shared" si="365"/>
        <v>1.0427010923535254</v>
      </c>
      <c r="BD227" s="313">
        <f t="shared" si="382"/>
        <v>8.3556972270736746E-2</v>
      </c>
      <c r="BE227" s="309">
        <f t="shared" si="366"/>
        <v>1.5373352855051245</v>
      </c>
      <c r="BF227" s="307" t="s">
        <v>413</v>
      </c>
      <c r="BG227" s="311">
        <v>217.3</v>
      </c>
      <c r="BH227" s="307">
        <f t="shared" si="349"/>
        <v>217.3</v>
      </c>
      <c r="BI227" s="373">
        <v>0.94430000000000003</v>
      </c>
      <c r="BJ227" s="361">
        <f t="shared" si="369"/>
        <v>0.81399999999999995</v>
      </c>
      <c r="BK227" s="312">
        <f t="shared" si="370"/>
        <v>1</v>
      </c>
      <c r="BL227" s="311">
        <f t="shared" si="348"/>
        <v>167.02986146000001</v>
      </c>
      <c r="BM227" s="309">
        <f t="shared" si="356"/>
        <v>0.55289593333333331</v>
      </c>
      <c r="BN227" s="309">
        <f t="shared" si="383"/>
        <v>0.81517745954123966</v>
      </c>
      <c r="BO227" s="376"/>
      <c r="BP227" s="328">
        <f t="shared" si="384"/>
        <v>4.6806314368251689</v>
      </c>
      <c r="BQ227" s="328">
        <f t="shared" si="371"/>
        <v>0.29986842105263156</v>
      </c>
      <c r="BR227" s="328">
        <v>0</v>
      </c>
      <c r="BS227" s="328">
        <f t="shared" si="385"/>
        <v>0.78722053957914506</v>
      </c>
      <c r="BT227" s="328">
        <f t="shared" si="386"/>
        <v>1.0427010923535254</v>
      </c>
      <c r="BU227" s="376"/>
      <c r="BV227" s="328">
        <f t="shared" si="372"/>
        <v>0.5</v>
      </c>
      <c r="BW227" s="328">
        <f t="shared" si="373"/>
        <v>0.94339622641509435</v>
      </c>
      <c r="BX227" s="373">
        <f t="shared" si="387"/>
        <v>0.59720124847210421</v>
      </c>
      <c r="BY227" s="311">
        <f t="shared" si="374"/>
        <v>111540.79886536907</v>
      </c>
      <c r="BZ227" s="311">
        <f t="shared" si="375"/>
        <v>260899.91999999993</v>
      </c>
      <c r="CA227" s="311">
        <f t="shared" si="388"/>
        <v>170749.43481538218</v>
      </c>
      <c r="CB227" s="307">
        <f t="shared" si="389"/>
        <v>170.74943481538219</v>
      </c>
      <c r="CC227" s="309">
        <f t="shared" si="390"/>
        <v>0.5652083244468129</v>
      </c>
      <c r="CD227" s="379">
        <f t="shared" si="376"/>
        <v>0.97821618935720722</v>
      </c>
    </row>
    <row r="228" spans="1:82" x14ac:dyDescent="0.25">
      <c r="A228" s="305">
        <v>220</v>
      </c>
      <c r="B228" s="298" t="s">
        <v>12</v>
      </c>
      <c r="C228" s="298">
        <v>57</v>
      </c>
      <c r="D228" s="361" t="s">
        <v>597</v>
      </c>
      <c r="E228" s="361" t="s">
        <v>668</v>
      </c>
      <c r="F228" s="298" t="s">
        <v>484</v>
      </c>
      <c r="G228" s="311">
        <v>1200</v>
      </c>
      <c r="H228" s="311">
        <f t="shared" si="400"/>
        <v>1200</v>
      </c>
      <c r="I228" s="311">
        <v>1590</v>
      </c>
      <c r="J228" s="306">
        <f t="shared" si="396"/>
        <v>1908000</v>
      </c>
      <c r="K228" s="311">
        <v>190</v>
      </c>
      <c r="L228" s="312">
        <v>1272</v>
      </c>
      <c r="M228" s="309">
        <f t="shared" si="401"/>
        <v>0.75471698113207553</v>
      </c>
      <c r="N228" s="309">
        <f t="shared" si="377"/>
        <v>0.75471698113207553</v>
      </c>
      <c r="O228" s="309">
        <f t="shared" si="367"/>
        <v>0.75471698113207553</v>
      </c>
      <c r="P228" s="327">
        <f t="shared" si="391"/>
        <v>204900</v>
      </c>
      <c r="Q228" s="306">
        <f t="shared" si="368"/>
        <v>302100</v>
      </c>
      <c r="R228" s="309">
        <f t="shared" si="402"/>
        <v>0.67825223435948356</v>
      </c>
      <c r="S228" s="295">
        <v>1200</v>
      </c>
      <c r="T228" s="295">
        <v>1200</v>
      </c>
      <c r="U228" s="310">
        <v>18.399999999999999</v>
      </c>
      <c r="V228" s="310">
        <v>15</v>
      </c>
      <c r="W228" s="387">
        <f t="shared" si="378"/>
        <v>15</v>
      </c>
      <c r="X228" s="310" t="s">
        <v>413</v>
      </c>
      <c r="Y228" s="387">
        <f t="shared" si="379"/>
        <v>0</v>
      </c>
      <c r="Z228" s="423" t="s">
        <v>413</v>
      </c>
      <c r="AA228" s="325">
        <v>9.82</v>
      </c>
      <c r="AB228" s="325">
        <v>18.22</v>
      </c>
      <c r="AC228" s="295">
        <v>3</v>
      </c>
      <c r="AD228" s="325">
        <f t="shared" si="360"/>
        <v>3.1052631578947367</v>
      </c>
      <c r="AE228" s="295">
        <v>10</v>
      </c>
      <c r="AF228" s="313">
        <f t="shared" si="392"/>
        <v>0.88507743347731438</v>
      </c>
      <c r="AG228" s="313">
        <f t="shared" si="380"/>
        <v>8.6914603967472281</v>
      </c>
      <c r="AH228" s="313">
        <f t="shared" si="381"/>
        <v>16.126110837956666</v>
      </c>
      <c r="AI228" s="308">
        <f t="shared" si="393"/>
        <v>12.478923829061472</v>
      </c>
      <c r="AJ228" s="361" t="s">
        <v>413</v>
      </c>
      <c r="AK228" s="361" t="s">
        <v>413</v>
      </c>
      <c r="AL228" s="298">
        <v>0</v>
      </c>
      <c r="AM228" s="298">
        <v>0</v>
      </c>
      <c r="AN228" s="340">
        <v>0</v>
      </c>
      <c r="AO228" s="298">
        <v>0</v>
      </c>
      <c r="AP228" s="295">
        <f t="shared" si="397"/>
        <v>0</v>
      </c>
      <c r="AQ228" s="298">
        <v>0</v>
      </c>
      <c r="AR228" s="361" t="s">
        <v>413</v>
      </c>
      <c r="AS228" s="298">
        <v>0</v>
      </c>
      <c r="AT228" s="361" t="s">
        <v>796</v>
      </c>
      <c r="AU228" s="306">
        <f t="shared" si="394"/>
        <v>128.99999999999997</v>
      </c>
      <c r="AV228" s="307">
        <v>21.5</v>
      </c>
      <c r="AW228" s="327">
        <f t="shared" si="364"/>
        <v>128.99999999999997</v>
      </c>
      <c r="AX228" s="306">
        <f t="shared" si="395"/>
        <v>5.6578947368421048E-4</v>
      </c>
      <c r="AY228" s="298">
        <v>530</v>
      </c>
      <c r="AZ228" s="306">
        <f t="shared" si="398"/>
        <v>0.29986842105263156</v>
      </c>
      <c r="BA228" s="298">
        <v>200</v>
      </c>
      <c r="BB228" s="298">
        <v>315</v>
      </c>
      <c r="BC228" s="309">
        <f t="shared" si="365"/>
        <v>1.0427010923535254</v>
      </c>
      <c r="BD228" s="313">
        <f t="shared" si="382"/>
        <v>8.3556972270736746E-2</v>
      </c>
      <c r="BE228" s="309">
        <f t="shared" si="366"/>
        <v>1.5373352855051245</v>
      </c>
      <c r="BF228" s="307" t="s">
        <v>413</v>
      </c>
      <c r="BG228" s="311">
        <v>208</v>
      </c>
      <c r="BH228" s="307">
        <f t="shared" si="349"/>
        <v>208</v>
      </c>
      <c r="BI228" s="373">
        <v>0.94430000000000003</v>
      </c>
      <c r="BJ228" s="361">
        <f t="shared" si="369"/>
        <v>0.81399999999999995</v>
      </c>
      <c r="BK228" s="312">
        <f t="shared" si="370"/>
        <v>1</v>
      </c>
      <c r="BL228" s="311">
        <f t="shared" si="348"/>
        <v>159.88132159999998</v>
      </c>
      <c r="BM228" s="309">
        <f t="shared" si="356"/>
        <v>0.52923310691823899</v>
      </c>
      <c r="BN228" s="309">
        <f t="shared" si="383"/>
        <v>0.78028951488530984</v>
      </c>
      <c r="BO228" s="376"/>
      <c r="BP228" s="328">
        <f t="shared" si="384"/>
        <v>4.6806314368251689</v>
      </c>
      <c r="BQ228" s="328">
        <f t="shared" si="371"/>
        <v>0.29986842105263156</v>
      </c>
      <c r="BR228" s="328">
        <v>0</v>
      </c>
      <c r="BS228" s="328">
        <f t="shared" si="385"/>
        <v>0.78722053957914506</v>
      </c>
      <c r="BT228" s="328">
        <f t="shared" si="386"/>
        <v>1.0427010923535254</v>
      </c>
      <c r="BU228" s="376"/>
      <c r="BV228" s="328">
        <f t="shared" si="372"/>
        <v>0.5</v>
      </c>
      <c r="BW228" s="328">
        <f t="shared" si="373"/>
        <v>0.94339622641509435</v>
      </c>
      <c r="BX228" s="373">
        <f t="shared" si="387"/>
        <v>0.59720124847210421</v>
      </c>
      <c r="BY228" s="311">
        <f t="shared" si="374"/>
        <v>111540.79886536907</v>
      </c>
      <c r="BZ228" s="311">
        <f t="shared" si="375"/>
        <v>260899.91999999993</v>
      </c>
      <c r="CA228" s="311">
        <f t="shared" si="388"/>
        <v>170749.43481538218</v>
      </c>
      <c r="CB228" s="307">
        <f t="shared" si="389"/>
        <v>170.74943481538219</v>
      </c>
      <c r="CC228" s="309">
        <f t="shared" si="390"/>
        <v>0.5652083244468129</v>
      </c>
      <c r="CD228" s="379">
        <f t="shared" si="376"/>
        <v>0.93635051719419726</v>
      </c>
    </row>
    <row r="229" spans="1:82" x14ac:dyDescent="0.25">
      <c r="A229" s="305">
        <v>221</v>
      </c>
      <c r="B229" s="298" t="s">
        <v>12</v>
      </c>
      <c r="C229" s="298">
        <v>58</v>
      </c>
      <c r="D229" s="361" t="s">
        <v>597</v>
      </c>
      <c r="E229" s="361" t="s">
        <v>668</v>
      </c>
      <c r="F229" s="298" t="s">
        <v>484</v>
      </c>
      <c r="G229" s="311">
        <v>1200</v>
      </c>
      <c r="H229" s="311">
        <f t="shared" si="400"/>
        <v>1200</v>
      </c>
      <c r="I229" s="311">
        <v>1590</v>
      </c>
      <c r="J229" s="306">
        <f t="shared" si="396"/>
        <v>1908000</v>
      </c>
      <c r="K229" s="311">
        <v>190</v>
      </c>
      <c r="L229" s="312">
        <v>1272</v>
      </c>
      <c r="M229" s="309">
        <f t="shared" si="401"/>
        <v>0.75471698113207553</v>
      </c>
      <c r="N229" s="309">
        <f t="shared" si="377"/>
        <v>0.75471698113207553</v>
      </c>
      <c r="O229" s="309">
        <f t="shared" si="367"/>
        <v>0.75471698113207553</v>
      </c>
      <c r="P229" s="327">
        <f t="shared" si="391"/>
        <v>204900</v>
      </c>
      <c r="Q229" s="306">
        <f t="shared" si="368"/>
        <v>302100</v>
      </c>
      <c r="R229" s="309">
        <f t="shared" si="402"/>
        <v>0.67825223435948356</v>
      </c>
      <c r="S229" s="295">
        <v>1200</v>
      </c>
      <c r="T229" s="295">
        <v>1200</v>
      </c>
      <c r="U229" s="310">
        <v>18.399999999999999</v>
      </c>
      <c r="V229" s="310">
        <v>12.5</v>
      </c>
      <c r="W229" s="387">
        <f t="shared" si="378"/>
        <v>12.5</v>
      </c>
      <c r="X229" s="310" t="s">
        <v>413</v>
      </c>
      <c r="Y229" s="387">
        <f t="shared" si="379"/>
        <v>0</v>
      </c>
      <c r="Z229" s="423" t="s">
        <v>413</v>
      </c>
      <c r="AA229" s="325">
        <v>9.82</v>
      </c>
      <c r="AB229" s="325">
        <v>18.22</v>
      </c>
      <c r="AC229" s="295">
        <v>3</v>
      </c>
      <c r="AD229" s="325">
        <f t="shared" si="360"/>
        <v>3.1052631578947367</v>
      </c>
      <c r="AE229" s="295">
        <v>10</v>
      </c>
      <c r="AF229" s="313">
        <f t="shared" si="392"/>
        <v>0.88507743347731438</v>
      </c>
      <c r="AG229" s="313">
        <f t="shared" si="380"/>
        <v>8.6914603967472281</v>
      </c>
      <c r="AH229" s="313">
        <f t="shared" si="381"/>
        <v>16.126110837956666</v>
      </c>
      <c r="AI229" s="308">
        <f t="shared" si="393"/>
        <v>12.478923829061472</v>
      </c>
      <c r="AJ229" s="361" t="s">
        <v>413</v>
      </c>
      <c r="AK229" s="361" t="s">
        <v>413</v>
      </c>
      <c r="AL229" s="298">
        <v>0</v>
      </c>
      <c r="AM229" s="298">
        <v>0</v>
      </c>
      <c r="AN229" s="340">
        <v>0</v>
      </c>
      <c r="AO229" s="298">
        <v>0</v>
      </c>
      <c r="AP229" s="295">
        <f t="shared" si="397"/>
        <v>0</v>
      </c>
      <c r="AQ229" s="298">
        <v>0</v>
      </c>
      <c r="AR229" s="361" t="s">
        <v>413</v>
      </c>
      <c r="AS229" s="298">
        <v>0</v>
      </c>
      <c r="AT229" s="361" t="s">
        <v>796</v>
      </c>
      <c r="AU229" s="306">
        <f t="shared" si="394"/>
        <v>128.99999999999997</v>
      </c>
      <c r="AV229" s="307">
        <v>21.5</v>
      </c>
      <c r="AW229" s="327">
        <f t="shared" si="364"/>
        <v>128.99999999999997</v>
      </c>
      <c r="AX229" s="306">
        <f t="shared" si="395"/>
        <v>5.6578947368421048E-4</v>
      </c>
      <c r="AY229" s="298">
        <v>530</v>
      </c>
      <c r="AZ229" s="306">
        <f t="shared" si="398"/>
        <v>0.29986842105263156</v>
      </c>
      <c r="BA229" s="298">
        <v>200</v>
      </c>
      <c r="BB229" s="298">
        <v>315</v>
      </c>
      <c r="BC229" s="309">
        <f t="shared" si="365"/>
        <v>1.0427010923535254</v>
      </c>
      <c r="BD229" s="313">
        <f t="shared" si="382"/>
        <v>8.3556972270736746E-2</v>
      </c>
      <c r="BE229" s="309">
        <f t="shared" si="366"/>
        <v>1.5373352855051245</v>
      </c>
      <c r="BF229" s="307" t="s">
        <v>413</v>
      </c>
      <c r="BG229" s="311">
        <v>210.1</v>
      </c>
      <c r="BH229" s="307">
        <f t="shared" si="349"/>
        <v>210.1</v>
      </c>
      <c r="BI229" s="373">
        <v>0.94430000000000003</v>
      </c>
      <c r="BJ229" s="361">
        <f t="shared" si="369"/>
        <v>0.81399999999999995</v>
      </c>
      <c r="BK229" s="312">
        <f t="shared" si="370"/>
        <v>1</v>
      </c>
      <c r="BL229" s="311">
        <f t="shared" si="348"/>
        <v>161.49550801999999</v>
      </c>
      <c r="BM229" s="309">
        <f t="shared" si="356"/>
        <v>0.53457632578616354</v>
      </c>
      <c r="BN229" s="309">
        <f t="shared" si="383"/>
        <v>0.78816743787213261</v>
      </c>
      <c r="BO229" s="376"/>
      <c r="BP229" s="328">
        <f t="shared" si="384"/>
        <v>4.6806314368251689</v>
      </c>
      <c r="BQ229" s="328">
        <f t="shared" si="371"/>
        <v>0.29986842105263156</v>
      </c>
      <c r="BR229" s="328">
        <v>0</v>
      </c>
      <c r="BS229" s="328">
        <f t="shared" si="385"/>
        <v>0.78722053957914506</v>
      </c>
      <c r="BT229" s="328">
        <f t="shared" si="386"/>
        <v>1.0427010923535254</v>
      </c>
      <c r="BU229" s="376"/>
      <c r="BV229" s="328">
        <f t="shared" si="372"/>
        <v>0.5</v>
      </c>
      <c r="BW229" s="328">
        <f t="shared" si="373"/>
        <v>0.94339622641509435</v>
      </c>
      <c r="BX229" s="373">
        <f t="shared" si="387"/>
        <v>0.59720124847210421</v>
      </c>
      <c r="BY229" s="311">
        <f t="shared" si="374"/>
        <v>111540.79886536907</v>
      </c>
      <c r="BZ229" s="311">
        <f t="shared" si="375"/>
        <v>260899.91999999993</v>
      </c>
      <c r="CA229" s="311">
        <f t="shared" si="388"/>
        <v>170749.43481538218</v>
      </c>
      <c r="CB229" s="307">
        <f t="shared" si="389"/>
        <v>170.74943481538219</v>
      </c>
      <c r="CC229" s="309">
        <f t="shared" si="390"/>
        <v>0.5652083244468129</v>
      </c>
      <c r="CD229" s="379">
        <f t="shared" si="376"/>
        <v>0.94580405606971563</v>
      </c>
    </row>
    <row r="230" spans="1:82" x14ac:dyDescent="0.25">
      <c r="A230" s="305">
        <v>222</v>
      </c>
      <c r="B230" s="298" t="s">
        <v>12</v>
      </c>
      <c r="C230" s="298">
        <v>59</v>
      </c>
      <c r="D230" s="361" t="s">
        <v>597</v>
      </c>
      <c r="E230" s="361" t="s">
        <v>668</v>
      </c>
      <c r="F230" s="298" t="s">
        <v>484</v>
      </c>
      <c r="G230" s="311">
        <v>1200</v>
      </c>
      <c r="H230" s="311">
        <f t="shared" si="400"/>
        <v>1200</v>
      </c>
      <c r="I230" s="311">
        <v>1590</v>
      </c>
      <c r="J230" s="306">
        <f t="shared" si="396"/>
        <v>1908000</v>
      </c>
      <c r="K230" s="311">
        <v>190</v>
      </c>
      <c r="L230" s="312">
        <v>1272</v>
      </c>
      <c r="M230" s="309">
        <f t="shared" si="401"/>
        <v>0.75471698113207553</v>
      </c>
      <c r="N230" s="309">
        <f t="shared" si="377"/>
        <v>0.75471698113207553</v>
      </c>
      <c r="O230" s="309">
        <f t="shared" si="367"/>
        <v>0.75471698113207553</v>
      </c>
      <c r="P230" s="327">
        <f t="shared" si="391"/>
        <v>204900</v>
      </c>
      <c r="Q230" s="306">
        <f t="shared" si="368"/>
        <v>302100</v>
      </c>
      <c r="R230" s="309">
        <f t="shared" si="402"/>
        <v>0.67825223435948356</v>
      </c>
      <c r="S230" s="295">
        <v>1200</v>
      </c>
      <c r="T230" s="295">
        <v>1200</v>
      </c>
      <c r="U230" s="310">
        <v>18.399999999999999</v>
      </c>
      <c r="V230" s="310">
        <v>13.2</v>
      </c>
      <c r="W230" s="387">
        <f t="shared" si="378"/>
        <v>13.2</v>
      </c>
      <c r="X230" s="310" t="s">
        <v>413</v>
      </c>
      <c r="Y230" s="387">
        <f t="shared" si="379"/>
        <v>0</v>
      </c>
      <c r="Z230" s="423" t="s">
        <v>413</v>
      </c>
      <c r="AA230" s="325">
        <v>9.82</v>
      </c>
      <c r="AB230" s="325">
        <v>18.22</v>
      </c>
      <c r="AC230" s="295">
        <v>3</v>
      </c>
      <c r="AD230" s="325">
        <f t="shared" si="360"/>
        <v>3.1052631578947367</v>
      </c>
      <c r="AE230" s="295">
        <v>10</v>
      </c>
      <c r="AF230" s="313">
        <f t="shared" si="392"/>
        <v>0.88507743347731438</v>
      </c>
      <c r="AG230" s="313">
        <f t="shared" si="380"/>
        <v>8.6914603967472281</v>
      </c>
      <c r="AH230" s="313">
        <f t="shared" si="381"/>
        <v>16.126110837956666</v>
      </c>
      <c r="AI230" s="308">
        <f t="shared" si="393"/>
        <v>12.478923829061472</v>
      </c>
      <c r="AJ230" s="361" t="s">
        <v>413</v>
      </c>
      <c r="AK230" s="361" t="s">
        <v>413</v>
      </c>
      <c r="AL230" s="298">
        <v>0</v>
      </c>
      <c r="AM230" s="298">
        <v>0</v>
      </c>
      <c r="AN230" s="340">
        <v>0</v>
      </c>
      <c r="AO230" s="298">
        <v>0</v>
      </c>
      <c r="AP230" s="295">
        <f t="shared" si="397"/>
        <v>0</v>
      </c>
      <c r="AQ230" s="298">
        <v>0</v>
      </c>
      <c r="AR230" s="361" t="s">
        <v>413</v>
      </c>
      <c r="AS230" s="298">
        <v>0</v>
      </c>
      <c r="AT230" s="361" t="s">
        <v>796</v>
      </c>
      <c r="AU230" s="306">
        <f t="shared" si="394"/>
        <v>128.99999999999997</v>
      </c>
      <c r="AV230" s="307">
        <v>21.5</v>
      </c>
      <c r="AW230" s="327">
        <f t="shared" si="364"/>
        <v>128.99999999999997</v>
      </c>
      <c r="AX230" s="306">
        <f t="shared" si="395"/>
        <v>5.6578947368421048E-4</v>
      </c>
      <c r="AY230" s="298">
        <v>530</v>
      </c>
      <c r="AZ230" s="306">
        <f t="shared" si="398"/>
        <v>0.29986842105263156</v>
      </c>
      <c r="BA230" s="298">
        <v>200</v>
      </c>
      <c r="BB230" s="298">
        <v>315</v>
      </c>
      <c r="BC230" s="309">
        <f t="shared" si="365"/>
        <v>1.0427010923535254</v>
      </c>
      <c r="BD230" s="313">
        <f t="shared" si="382"/>
        <v>8.3556972270736746E-2</v>
      </c>
      <c r="BE230" s="309">
        <f t="shared" si="366"/>
        <v>1.5373352855051245</v>
      </c>
      <c r="BF230" s="307" t="s">
        <v>413</v>
      </c>
      <c r="BG230" s="311">
        <v>206.7</v>
      </c>
      <c r="BH230" s="307">
        <f t="shared" si="349"/>
        <v>206.7</v>
      </c>
      <c r="BI230" s="373">
        <v>0.94430000000000003</v>
      </c>
      <c r="BJ230" s="361">
        <f t="shared" si="369"/>
        <v>0.81399999999999995</v>
      </c>
      <c r="BK230" s="312">
        <f t="shared" si="370"/>
        <v>1</v>
      </c>
      <c r="BL230" s="311">
        <f t="shared" si="348"/>
        <v>158.88206334</v>
      </c>
      <c r="BM230" s="309">
        <f t="shared" si="356"/>
        <v>0.52592539999999999</v>
      </c>
      <c r="BN230" s="309">
        <f t="shared" si="383"/>
        <v>0.77541270541727669</v>
      </c>
      <c r="BO230" s="376"/>
      <c r="BP230" s="328">
        <f t="shared" si="384"/>
        <v>4.6806314368251689</v>
      </c>
      <c r="BQ230" s="328">
        <f t="shared" si="371"/>
        <v>0.29986842105263156</v>
      </c>
      <c r="BR230" s="328">
        <v>0</v>
      </c>
      <c r="BS230" s="328">
        <f t="shared" si="385"/>
        <v>0.78722053957914506</v>
      </c>
      <c r="BT230" s="328">
        <f t="shared" si="386"/>
        <v>1.0427010923535254</v>
      </c>
      <c r="BU230" s="376"/>
      <c r="BV230" s="328">
        <f t="shared" si="372"/>
        <v>0.5</v>
      </c>
      <c r="BW230" s="328">
        <f t="shared" si="373"/>
        <v>0.94339622641509435</v>
      </c>
      <c r="BX230" s="373">
        <f t="shared" si="387"/>
        <v>0.59720124847210421</v>
      </c>
      <c r="BY230" s="311">
        <f t="shared" si="374"/>
        <v>111540.79886536907</v>
      </c>
      <c r="BZ230" s="311">
        <f t="shared" si="375"/>
        <v>260899.91999999993</v>
      </c>
      <c r="CA230" s="311">
        <f t="shared" si="388"/>
        <v>170749.43481538218</v>
      </c>
      <c r="CB230" s="307">
        <f t="shared" si="389"/>
        <v>170.74943481538219</v>
      </c>
      <c r="CC230" s="309">
        <f t="shared" si="390"/>
        <v>0.5652083244468129</v>
      </c>
      <c r="CD230" s="379">
        <f t="shared" si="376"/>
        <v>0.93049832646173358</v>
      </c>
    </row>
    <row r="231" spans="1:82" x14ac:dyDescent="0.25">
      <c r="A231" s="305">
        <v>223</v>
      </c>
      <c r="B231" s="298" t="s">
        <v>12</v>
      </c>
      <c r="C231" s="298">
        <v>60</v>
      </c>
      <c r="D231" s="361" t="s">
        <v>597</v>
      </c>
      <c r="E231" s="361" t="s">
        <v>668</v>
      </c>
      <c r="F231" s="298" t="s">
        <v>484</v>
      </c>
      <c r="G231" s="311">
        <v>1200</v>
      </c>
      <c r="H231" s="311">
        <f t="shared" si="400"/>
        <v>1200</v>
      </c>
      <c r="I231" s="311">
        <v>1590</v>
      </c>
      <c r="J231" s="306">
        <f t="shared" si="396"/>
        <v>1908000</v>
      </c>
      <c r="K231" s="311">
        <v>190</v>
      </c>
      <c r="L231" s="312">
        <v>1280</v>
      </c>
      <c r="M231" s="309">
        <f t="shared" si="401"/>
        <v>0.75471698113207553</v>
      </c>
      <c r="N231" s="309">
        <f t="shared" si="377"/>
        <v>0.75471698113207553</v>
      </c>
      <c r="O231" s="309">
        <f t="shared" si="367"/>
        <v>0.75471698113207553</v>
      </c>
      <c r="P231" s="327">
        <f t="shared" si="391"/>
        <v>204900</v>
      </c>
      <c r="Q231" s="306">
        <f t="shared" si="368"/>
        <v>302100</v>
      </c>
      <c r="R231" s="309">
        <f t="shared" si="402"/>
        <v>0.67825223435948356</v>
      </c>
      <c r="S231" s="295">
        <v>1200</v>
      </c>
      <c r="T231" s="295">
        <v>1200</v>
      </c>
      <c r="U231" s="310">
        <v>18.399999999999999</v>
      </c>
      <c r="V231" s="310">
        <v>15</v>
      </c>
      <c r="W231" s="387">
        <f t="shared" si="378"/>
        <v>15</v>
      </c>
      <c r="X231" s="310" t="s">
        <v>413</v>
      </c>
      <c r="Y231" s="387">
        <f t="shared" si="379"/>
        <v>0</v>
      </c>
      <c r="Z231" s="423" t="s">
        <v>413</v>
      </c>
      <c r="AA231" s="325">
        <v>9.82</v>
      </c>
      <c r="AB231" s="325">
        <v>18.22</v>
      </c>
      <c r="AC231" s="295">
        <v>3</v>
      </c>
      <c r="AD231" s="325">
        <f t="shared" ref="AD231:AD237" si="406">(190+10+190+10+190)/K231</f>
        <v>3.1052631578947367</v>
      </c>
      <c r="AE231" s="295">
        <v>10</v>
      </c>
      <c r="AF231" s="313">
        <f t="shared" si="392"/>
        <v>0.88507743347731438</v>
      </c>
      <c r="AG231" s="313">
        <f t="shared" si="380"/>
        <v>8.6914603967472281</v>
      </c>
      <c r="AH231" s="313">
        <f t="shared" si="381"/>
        <v>16.126110837956666</v>
      </c>
      <c r="AI231" s="308">
        <f t="shared" si="393"/>
        <v>12.478923829061472</v>
      </c>
      <c r="AJ231" s="361" t="s">
        <v>413</v>
      </c>
      <c r="AK231" s="361" t="s">
        <v>413</v>
      </c>
      <c r="AL231" s="298">
        <v>0</v>
      </c>
      <c r="AM231" s="298">
        <v>0</v>
      </c>
      <c r="AN231" s="340">
        <v>0</v>
      </c>
      <c r="AO231" s="298">
        <v>0</v>
      </c>
      <c r="AP231" s="295">
        <f t="shared" si="397"/>
        <v>0</v>
      </c>
      <c r="AQ231" s="298">
        <v>0</v>
      </c>
      <c r="AR231" s="361" t="s">
        <v>413</v>
      </c>
      <c r="AS231" s="298">
        <v>0</v>
      </c>
      <c r="AT231" s="361" t="s">
        <v>796</v>
      </c>
      <c r="AU231" s="306">
        <f t="shared" si="394"/>
        <v>128.99999999999997</v>
      </c>
      <c r="AV231" s="307">
        <v>21.5</v>
      </c>
      <c r="AW231" s="327">
        <f t="shared" ref="AW231:AW290" si="407">AS231+AU231</f>
        <v>128.99999999999997</v>
      </c>
      <c r="AX231" s="306">
        <f t="shared" si="395"/>
        <v>5.6578947368421048E-4</v>
      </c>
      <c r="AY231" s="298">
        <v>530</v>
      </c>
      <c r="AZ231" s="306">
        <f t="shared" si="398"/>
        <v>0.29986842105263156</v>
      </c>
      <c r="BA231" s="298">
        <v>200</v>
      </c>
      <c r="BB231" s="298">
        <v>315</v>
      </c>
      <c r="BC231" s="309">
        <f t="shared" ref="BC231:BC237" si="408">BB231/Q231*1000</f>
        <v>1.0427010923535254</v>
      </c>
      <c r="BD231" s="313">
        <f t="shared" si="382"/>
        <v>8.3556972270736746E-2</v>
      </c>
      <c r="BE231" s="309">
        <f t="shared" ref="BE231:BE262" si="409">BB231/P231*1000</f>
        <v>1.5373352855051245</v>
      </c>
      <c r="BF231" s="307" t="s">
        <v>413</v>
      </c>
      <c r="BG231" s="311">
        <v>212</v>
      </c>
      <c r="BH231" s="307">
        <f t="shared" si="349"/>
        <v>212</v>
      </c>
      <c r="BI231" s="373">
        <v>0.94430000000000003</v>
      </c>
      <c r="BJ231" s="361">
        <f t="shared" si="369"/>
        <v>0.81399999999999995</v>
      </c>
      <c r="BK231" s="312">
        <f t="shared" si="370"/>
        <v>1</v>
      </c>
      <c r="BL231" s="311">
        <f t="shared" si="348"/>
        <v>162.95596239999998</v>
      </c>
      <c r="BM231" s="309">
        <f t="shared" si="356"/>
        <v>0.53941066666666659</v>
      </c>
      <c r="BN231" s="309">
        <f t="shared" si="383"/>
        <v>0.79529508247925806</v>
      </c>
      <c r="BO231" s="376"/>
      <c r="BP231" s="328">
        <f t="shared" si="384"/>
        <v>4.6806314368251689</v>
      </c>
      <c r="BQ231" s="328">
        <f t="shared" si="371"/>
        <v>0.29986842105263156</v>
      </c>
      <c r="BR231" s="328">
        <v>0</v>
      </c>
      <c r="BS231" s="328">
        <f t="shared" si="385"/>
        <v>0.78722053957914506</v>
      </c>
      <c r="BT231" s="328">
        <f t="shared" si="386"/>
        <v>1.0427010923535254</v>
      </c>
      <c r="BU231" s="376"/>
      <c r="BV231" s="328">
        <f t="shared" si="372"/>
        <v>0.5</v>
      </c>
      <c r="BW231" s="328">
        <f t="shared" si="373"/>
        <v>0.9375</v>
      </c>
      <c r="BX231" s="373">
        <f t="shared" si="387"/>
        <v>0.6005338447247387</v>
      </c>
      <c r="BY231" s="311">
        <f t="shared" si="374"/>
        <v>112399.91551852823</v>
      </c>
      <c r="BZ231" s="311">
        <f t="shared" si="375"/>
        <v>262540.79999999993</v>
      </c>
      <c r="CA231" s="311">
        <f t="shared" si="388"/>
        <v>171823.33063183114</v>
      </c>
      <c r="CB231" s="307">
        <f t="shared" si="389"/>
        <v>171.82333063183114</v>
      </c>
      <c r="CC231" s="309">
        <f t="shared" si="390"/>
        <v>0.56876309378295642</v>
      </c>
      <c r="CD231" s="379">
        <f t="shared" si="376"/>
        <v>0.94839252504753602</v>
      </c>
    </row>
    <row r="232" spans="1:82" x14ac:dyDescent="0.25">
      <c r="A232" s="305">
        <v>224</v>
      </c>
      <c r="B232" s="298" t="s">
        <v>12</v>
      </c>
      <c r="C232" s="298">
        <v>61</v>
      </c>
      <c r="D232" s="361" t="s">
        <v>597</v>
      </c>
      <c r="E232" s="361" t="s">
        <v>668</v>
      </c>
      <c r="F232" s="298" t="s">
        <v>484</v>
      </c>
      <c r="G232" s="311">
        <v>1200</v>
      </c>
      <c r="H232" s="311">
        <f t="shared" si="400"/>
        <v>1200</v>
      </c>
      <c r="I232" s="311">
        <v>1590</v>
      </c>
      <c r="J232" s="306">
        <f t="shared" si="396"/>
        <v>1908000</v>
      </c>
      <c r="K232" s="311">
        <v>190</v>
      </c>
      <c r="L232" s="312">
        <v>1272</v>
      </c>
      <c r="M232" s="309">
        <f t="shared" si="401"/>
        <v>0.75471698113207553</v>
      </c>
      <c r="N232" s="309">
        <f t="shared" si="377"/>
        <v>0.75471698113207553</v>
      </c>
      <c r="O232" s="309">
        <f t="shared" si="367"/>
        <v>0.75471698113207553</v>
      </c>
      <c r="P232" s="327">
        <f t="shared" si="391"/>
        <v>204900</v>
      </c>
      <c r="Q232" s="306">
        <f t="shared" si="368"/>
        <v>302100</v>
      </c>
      <c r="R232" s="309">
        <f t="shared" si="402"/>
        <v>0.67825223435948356</v>
      </c>
      <c r="S232" s="295">
        <v>1200</v>
      </c>
      <c r="T232" s="295">
        <v>1200</v>
      </c>
      <c r="U232" s="310">
        <v>18.399999999999999</v>
      </c>
      <c r="V232" s="310">
        <v>13.7</v>
      </c>
      <c r="W232" s="387">
        <f t="shared" si="378"/>
        <v>13.7</v>
      </c>
      <c r="X232" s="310">
        <v>11.3</v>
      </c>
      <c r="Y232" s="387">
        <f t="shared" si="379"/>
        <v>11.3</v>
      </c>
      <c r="Z232" s="423" t="s">
        <v>413</v>
      </c>
      <c r="AA232" s="325">
        <v>9.82</v>
      </c>
      <c r="AB232" s="325">
        <v>18.22</v>
      </c>
      <c r="AC232" s="295">
        <v>3</v>
      </c>
      <c r="AD232" s="325">
        <f t="shared" si="406"/>
        <v>3.1052631578947367</v>
      </c>
      <c r="AE232" s="295">
        <v>10</v>
      </c>
      <c r="AF232" s="313">
        <f t="shared" si="392"/>
        <v>0.88507743347731438</v>
      </c>
      <c r="AG232" s="313">
        <f t="shared" si="380"/>
        <v>8.6914603967472281</v>
      </c>
      <c r="AH232" s="313">
        <f t="shared" si="381"/>
        <v>16.126110837956666</v>
      </c>
      <c r="AI232" s="308">
        <f t="shared" si="393"/>
        <v>12.478923829061472</v>
      </c>
      <c r="AJ232" s="361" t="s">
        <v>413</v>
      </c>
      <c r="AK232" s="361" t="s">
        <v>413</v>
      </c>
      <c r="AL232" s="298">
        <v>0</v>
      </c>
      <c r="AM232" s="298">
        <v>0</v>
      </c>
      <c r="AN232" s="340">
        <v>0</v>
      </c>
      <c r="AO232" s="298">
        <v>0</v>
      </c>
      <c r="AP232" s="295">
        <f t="shared" si="397"/>
        <v>0</v>
      </c>
      <c r="AQ232" s="298">
        <v>0</v>
      </c>
      <c r="AR232" s="361" t="s">
        <v>413</v>
      </c>
      <c r="AS232" s="298">
        <v>0</v>
      </c>
      <c r="AT232" s="361" t="s">
        <v>796</v>
      </c>
      <c r="AU232" s="306">
        <f t="shared" si="394"/>
        <v>128.99999999999997</v>
      </c>
      <c r="AV232" s="307">
        <v>21.5</v>
      </c>
      <c r="AW232" s="327">
        <f t="shared" si="407"/>
        <v>128.99999999999997</v>
      </c>
      <c r="AX232" s="306">
        <f t="shared" si="395"/>
        <v>5.6578947368421048E-4</v>
      </c>
      <c r="AY232" s="298">
        <v>530</v>
      </c>
      <c r="AZ232" s="306">
        <f t="shared" si="398"/>
        <v>0.29986842105263156</v>
      </c>
      <c r="BA232" s="298">
        <v>200</v>
      </c>
      <c r="BB232" s="298">
        <v>608</v>
      </c>
      <c r="BC232" s="309">
        <f t="shared" si="408"/>
        <v>2.0125786163522013</v>
      </c>
      <c r="BD232" s="313">
        <f t="shared" si="382"/>
        <v>0.16127821949399346</v>
      </c>
      <c r="BE232" s="309">
        <f t="shared" si="409"/>
        <v>2.96730112249878</v>
      </c>
      <c r="BF232" s="307" t="s">
        <v>413</v>
      </c>
      <c r="BG232" s="311">
        <v>350.7</v>
      </c>
      <c r="BH232" s="307">
        <f t="shared" si="349"/>
        <v>350.7</v>
      </c>
      <c r="BI232" s="373">
        <v>0.94430000000000003</v>
      </c>
      <c r="BJ232" s="361">
        <f t="shared" si="369"/>
        <v>0.81399999999999995</v>
      </c>
      <c r="BK232" s="312">
        <f t="shared" si="370"/>
        <v>1</v>
      </c>
      <c r="BL232" s="311">
        <f t="shared" si="348"/>
        <v>269.56913213999997</v>
      </c>
      <c r="BM232" s="309">
        <f t="shared" si="356"/>
        <v>0.89231755094339615</v>
      </c>
      <c r="BN232" s="309">
        <f t="shared" si="383"/>
        <v>1.3156131387994143</v>
      </c>
      <c r="BO232" s="376"/>
      <c r="BP232" s="328">
        <f t="shared" si="384"/>
        <v>4.6806314368251689</v>
      </c>
      <c r="BQ232" s="328">
        <f t="shared" si="371"/>
        <v>0.29986842105263156</v>
      </c>
      <c r="BR232" s="328">
        <f t="shared" ref="BR232:BR237" si="410">IF(X232="-",G232*SQRT(0*(AP232/AN232)),IF(AN232=0,0,AN232*SQRT(X232*(AP232/AN232))))</f>
        <v>0</v>
      </c>
      <c r="BS232" s="328">
        <f t="shared" si="385"/>
        <v>0.78722053957914506</v>
      </c>
      <c r="BT232" s="328">
        <f t="shared" si="386"/>
        <v>2.0125786163522013</v>
      </c>
      <c r="BU232" s="376"/>
      <c r="BV232" s="328">
        <f t="shared" si="372"/>
        <v>0.5</v>
      </c>
      <c r="BW232" s="328">
        <f t="shared" si="373"/>
        <v>0.94339622641509435</v>
      </c>
      <c r="BX232" s="373">
        <f t="shared" si="387"/>
        <v>0.59720124847210421</v>
      </c>
      <c r="BY232" s="311">
        <f t="shared" si="374"/>
        <v>148165.79886536906</v>
      </c>
      <c r="BZ232" s="311">
        <f t="shared" si="375"/>
        <v>260899.91999999993</v>
      </c>
      <c r="CA232" s="311">
        <f t="shared" si="388"/>
        <v>170749.43481538218</v>
      </c>
      <c r="CB232" s="307">
        <f t="shared" si="389"/>
        <v>170.74943481538219</v>
      </c>
      <c r="CC232" s="309">
        <f t="shared" si="390"/>
        <v>0.5652083244468129</v>
      </c>
      <c r="CD232" s="379">
        <f t="shared" si="376"/>
        <v>1.5787409922115623</v>
      </c>
    </row>
    <row r="233" spans="1:82" x14ac:dyDescent="0.25">
      <c r="A233" s="305">
        <v>225</v>
      </c>
      <c r="B233" s="298" t="s">
        <v>12</v>
      </c>
      <c r="C233" s="298">
        <v>62</v>
      </c>
      <c r="D233" s="361" t="s">
        <v>597</v>
      </c>
      <c r="E233" s="361" t="s">
        <v>668</v>
      </c>
      <c r="F233" s="298" t="s">
        <v>484</v>
      </c>
      <c r="G233" s="311">
        <v>1200</v>
      </c>
      <c r="H233" s="311">
        <f t="shared" si="400"/>
        <v>1200</v>
      </c>
      <c r="I233" s="311">
        <v>1590</v>
      </c>
      <c r="J233" s="306">
        <f t="shared" si="396"/>
        <v>1908000</v>
      </c>
      <c r="K233" s="311">
        <v>190</v>
      </c>
      <c r="L233" s="312">
        <v>1272</v>
      </c>
      <c r="M233" s="309">
        <f t="shared" si="401"/>
        <v>0.75471698113207553</v>
      </c>
      <c r="N233" s="309">
        <f t="shared" si="377"/>
        <v>0.75471698113207553</v>
      </c>
      <c r="O233" s="309">
        <f t="shared" si="367"/>
        <v>0.75471698113207553</v>
      </c>
      <c r="P233" s="327">
        <f t="shared" si="391"/>
        <v>204900</v>
      </c>
      <c r="Q233" s="306">
        <f t="shared" si="368"/>
        <v>302100</v>
      </c>
      <c r="R233" s="309">
        <f t="shared" si="402"/>
        <v>0.67825223435948356</v>
      </c>
      <c r="S233" s="295">
        <v>1200</v>
      </c>
      <c r="T233" s="295">
        <v>1200</v>
      </c>
      <c r="U233" s="310">
        <v>18.399999999999999</v>
      </c>
      <c r="V233" s="310">
        <v>15.3</v>
      </c>
      <c r="W233" s="387">
        <f t="shared" si="378"/>
        <v>15.3</v>
      </c>
      <c r="X233" s="310">
        <v>11.1</v>
      </c>
      <c r="Y233" s="387">
        <f t="shared" si="379"/>
        <v>11.1</v>
      </c>
      <c r="Z233" s="423" t="s">
        <v>413</v>
      </c>
      <c r="AA233" s="325">
        <v>9.82</v>
      </c>
      <c r="AB233" s="325">
        <v>18.22</v>
      </c>
      <c r="AC233" s="295">
        <v>3</v>
      </c>
      <c r="AD233" s="325">
        <f t="shared" si="406"/>
        <v>3.1052631578947367</v>
      </c>
      <c r="AE233" s="295">
        <v>10</v>
      </c>
      <c r="AF233" s="313">
        <f t="shared" si="392"/>
        <v>0.88507743347731438</v>
      </c>
      <c r="AG233" s="313">
        <f t="shared" si="380"/>
        <v>8.6914603967472281</v>
      </c>
      <c r="AH233" s="313">
        <f t="shared" si="381"/>
        <v>16.126110837956666</v>
      </c>
      <c r="AI233" s="308">
        <f t="shared" si="393"/>
        <v>12.478923829061472</v>
      </c>
      <c r="AJ233" s="361" t="s">
        <v>413</v>
      </c>
      <c r="AK233" s="361" t="s">
        <v>413</v>
      </c>
      <c r="AL233" s="298">
        <v>0</v>
      </c>
      <c r="AM233" s="298">
        <v>0</v>
      </c>
      <c r="AN233" s="340">
        <v>0</v>
      </c>
      <c r="AO233" s="298">
        <v>0</v>
      </c>
      <c r="AP233" s="295">
        <f t="shared" si="397"/>
        <v>0</v>
      </c>
      <c r="AQ233" s="298">
        <v>0</v>
      </c>
      <c r="AR233" s="361" t="s">
        <v>413</v>
      </c>
      <c r="AS233" s="298">
        <v>0</v>
      </c>
      <c r="AT233" s="361" t="s">
        <v>796</v>
      </c>
      <c r="AU233" s="306">
        <f t="shared" si="394"/>
        <v>128.99999999999997</v>
      </c>
      <c r="AV233" s="307">
        <v>21.5</v>
      </c>
      <c r="AW233" s="327">
        <f t="shared" si="407"/>
        <v>128.99999999999997</v>
      </c>
      <c r="AX233" s="306">
        <f t="shared" si="395"/>
        <v>5.6578947368421048E-4</v>
      </c>
      <c r="AY233" s="298">
        <v>530</v>
      </c>
      <c r="AZ233" s="306">
        <f t="shared" si="398"/>
        <v>0.29986842105263156</v>
      </c>
      <c r="BA233" s="298">
        <v>200</v>
      </c>
      <c r="BB233" s="298">
        <v>608</v>
      </c>
      <c r="BC233" s="309">
        <f t="shared" si="408"/>
        <v>2.0125786163522013</v>
      </c>
      <c r="BD233" s="313">
        <f t="shared" si="382"/>
        <v>0.16127821949399346</v>
      </c>
      <c r="BE233" s="309">
        <f t="shared" si="409"/>
        <v>2.96730112249878</v>
      </c>
      <c r="BF233" s="307" t="s">
        <v>413</v>
      </c>
      <c r="BG233" s="311">
        <v>323.10000000000002</v>
      </c>
      <c r="BH233" s="307">
        <f t="shared" si="349"/>
        <v>323.10000000000002</v>
      </c>
      <c r="BI233" s="373">
        <v>0.94430000000000003</v>
      </c>
      <c r="BJ233" s="361">
        <f t="shared" si="369"/>
        <v>0.81399999999999995</v>
      </c>
      <c r="BK233" s="312">
        <f t="shared" si="370"/>
        <v>1</v>
      </c>
      <c r="BL233" s="311">
        <f t="shared" si="348"/>
        <v>248.35411062</v>
      </c>
      <c r="BM233" s="309">
        <f t="shared" si="356"/>
        <v>0.82209238867924528</v>
      </c>
      <c r="BN233" s="309">
        <f t="shared" si="383"/>
        <v>1.2120747224011712</v>
      </c>
      <c r="BO233" s="376"/>
      <c r="BP233" s="328">
        <f t="shared" si="384"/>
        <v>4.6806314368251689</v>
      </c>
      <c r="BQ233" s="328">
        <f t="shared" si="371"/>
        <v>0.29986842105263156</v>
      </c>
      <c r="BR233" s="328">
        <f t="shared" si="410"/>
        <v>0</v>
      </c>
      <c r="BS233" s="328">
        <f t="shared" si="385"/>
        <v>0.78722053957914506</v>
      </c>
      <c r="BT233" s="328">
        <f t="shared" si="386"/>
        <v>2.0125786163522013</v>
      </c>
      <c r="BU233" s="376"/>
      <c r="BV233" s="328">
        <f t="shared" si="372"/>
        <v>0.5</v>
      </c>
      <c r="BW233" s="328">
        <f t="shared" si="373"/>
        <v>0.94339622641509435</v>
      </c>
      <c r="BX233" s="373">
        <f t="shared" si="387"/>
        <v>0.59720124847210421</v>
      </c>
      <c r="BY233" s="311">
        <f t="shared" si="374"/>
        <v>148165.79886536906</v>
      </c>
      <c r="BZ233" s="311">
        <f t="shared" si="375"/>
        <v>260899.91999999993</v>
      </c>
      <c r="CA233" s="311">
        <f t="shared" si="388"/>
        <v>170749.43481538218</v>
      </c>
      <c r="CB233" s="307">
        <f t="shared" si="389"/>
        <v>170.74943481538219</v>
      </c>
      <c r="CC233" s="309">
        <f t="shared" si="390"/>
        <v>0.5652083244468129</v>
      </c>
      <c r="CD233" s="379">
        <f t="shared" si="376"/>
        <v>1.4544944812761786</v>
      </c>
    </row>
    <row r="234" spans="1:82" x14ac:dyDescent="0.25">
      <c r="A234" s="305">
        <v>226</v>
      </c>
      <c r="B234" s="298" t="s">
        <v>12</v>
      </c>
      <c r="C234" s="298">
        <v>63</v>
      </c>
      <c r="D234" s="361" t="s">
        <v>597</v>
      </c>
      <c r="E234" s="361" t="s">
        <v>668</v>
      </c>
      <c r="F234" s="298" t="s">
        <v>484</v>
      </c>
      <c r="G234" s="311">
        <v>1200</v>
      </c>
      <c r="H234" s="311">
        <f t="shared" si="400"/>
        <v>1200</v>
      </c>
      <c r="I234" s="311">
        <v>1590</v>
      </c>
      <c r="J234" s="306">
        <f t="shared" si="396"/>
        <v>1908000</v>
      </c>
      <c r="K234" s="311">
        <v>190</v>
      </c>
      <c r="L234" s="312">
        <v>1272</v>
      </c>
      <c r="M234" s="309">
        <f t="shared" si="401"/>
        <v>0.75471698113207553</v>
      </c>
      <c r="N234" s="309">
        <f t="shared" si="377"/>
        <v>0.75471698113207553</v>
      </c>
      <c r="O234" s="309">
        <f t="shared" si="367"/>
        <v>0.75471698113207553</v>
      </c>
      <c r="P234" s="327">
        <f t="shared" si="391"/>
        <v>204900</v>
      </c>
      <c r="Q234" s="306">
        <f t="shared" si="368"/>
        <v>302100</v>
      </c>
      <c r="R234" s="309">
        <f t="shared" si="402"/>
        <v>0.67825223435948356</v>
      </c>
      <c r="S234" s="295">
        <v>1200</v>
      </c>
      <c r="T234" s="295">
        <v>1200</v>
      </c>
      <c r="U234" s="310">
        <v>18.399999999999999</v>
      </c>
      <c r="V234" s="310">
        <v>13</v>
      </c>
      <c r="W234" s="387">
        <f t="shared" si="378"/>
        <v>13</v>
      </c>
      <c r="X234" s="310">
        <v>15.4</v>
      </c>
      <c r="Y234" s="387">
        <f t="shared" si="379"/>
        <v>15.4</v>
      </c>
      <c r="Z234" s="423" t="s">
        <v>413</v>
      </c>
      <c r="AA234" s="325">
        <v>9.82</v>
      </c>
      <c r="AB234" s="325">
        <v>18.22</v>
      </c>
      <c r="AC234" s="295">
        <v>3</v>
      </c>
      <c r="AD234" s="325">
        <f t="shared" si="406"/>
        <v>3.1052631578947367</v>
      </c>
      <c r="AE234" s="295">
        <v>10</v>
      </c>
      <c r="AF234" s="313">
        <f t="shared" si="392"/>
        <v>0.88507743347731438</v>
      </c>
      <c r="AG234" s="313">
        <f t="shared" si="380"/>
        <v>8.6914603967472281</v>
      </c>
      <c r="AH234" s="313">
        <f t="shared" si="381"/>
        <v>16.126110837956666</v>
      </c>
      <c r="AI234" s="308">
        <f t="shared" si="393"/>
        <v>12.478923829061472</v>
      </c>
      <c r="AJ234" s="361" t="s">
        <v>413</v>
      </c>
      <c r="AK234" s="361" t="s">
        <v>413</v>
      </c>
      <c r="AL234" s="298">
        <v>0</v>
      </c>
      <c r="AM234" s="298">
        <v>0</v>
      </c>
      <c r="AN234" s="340">
        <v>0</v>
      </c>
      <c r="AO234" s="298">
        <v>0</v>
      </c>
      <c r="AP234" s="295">
        <f t="shared" si="397"/>
        <v>0</v>
      </c>
      <c r="AQ234" s="298">
        <v>0</v>
      </c>
      <c r="AR234" s="361" t="s">
        <v>413</v>
      </c>
      <c r="AS234" s="298">
        <v>0</v>
      </c>
      <c r="AT234" s="361" t="s">
        <v>796</v>
      </c>
      <c r="AU234" s="306">
        <f t="shared" si="394"/>
        <v>128.99999999999997</v>
      </c>
      <c r="AV234" s="307">
        <v>21.5</v>
      </c>
      <c r="AW234" s="327">
        <f t="shared" si="407"/>
        <v>128.99999999999997</v>
      </c>
      <c r="AX234" s="306">
        <f t="shared" si="395"/>
        <v>5.6578947368421048E-4</v>
      </c>
      <c r="AY234" s="298">
        <v>530</v>
      </c>
      <c r="AZ234" s="306">
        <f t="shared" si="398"/>
        <v>0.29986842105263156</v>
      </c>
      <c r="BA234" s="298">
        <v>200</v>
      </c>
      <c r="BB234" s="298">
        <v>608</v>
      </c>
      <c r="BC234" s="309">
        <f t="shared" si="408"/>
        <v>2.0125786163522013</v>
      </c>
      <c r="BD234" s="313">
        <f t="shared" si="382"/>
        <v>0.16127821949399346</v>
      </c>
      <c r="BE234" s="309">
        <f t="shared" si="409"/>
        <v>2.96730112249878</v>
      </c>
      <c r="BF234" s="307" t="s">
        <v>413</v>
      </c>
      <c r="BG234" s="311">
        <v>339.2</v>
      </c>
      <c r="BH234" s="307">
        <f t="shared" si="349"/>
        <v>339.2</v>
      </c>
      <c r="BI234" s="373">
        <v>0.94430000000000003</v>
      </c>
      <c r="BJ234" s="361">
        <f t="shared" si="369"/>
        <v>0.81399999999999995</v>
      </c>
      <c r="BK234" s="312">
        <f t="shared" si="370"/>
        <v>1</v>
      </c>
      <c r="BL234" s="311">
        <f t="shared" si="348"/>
        <v>260.72953983999997</v>
      </c>
      <c r="BM234" s="309">
        <f t="shared" si="356"/>
        <v>0.86305706666666659</v>
      </c>
      <c r="BN234" s="309">
        <f t="shared" ref="BN234:BN265" si="411">BL234/P234*1000</f>
        <v>1.2724721319668129</v>
      </c>
      <c r="BO234" s="376"/>
      <c r="BP234" s="328">
        <f t="shared" si="384"/>
        <v>4.6806314368251689</v>
      </c>
      <c r="BQ234" s="328">
        <f t="shared" si="371"/>
        <v>0.29986842105263156</v>
      </c>
      <c r="BR234" s="328">
        <f t="shared" si="410"/>
        <v>0</v>
      </c>
      <c r="BS234" s="328">
        <f t="shared" si="385"/>
        <v>0.78722053957914506</v>
      </c>
      <c r="BT234" s="328">
        <f t="shared" si="386"/>
        <v>2.0125786163522013</v>
      </c>
      <c r="BU234" s="376"/>
      <c r="BV234" s="328">
        <f t="shared" si="372"/>
        <v>0.5</v>
      </c>
      <c r="BW234" s="328">
        <f t="shared" si="373"/>
        <v>0.94339622641509435</v>
      </c>
      <c r="BX234" s="373">
        <f t="shared" si="387"/>
        <v>0.59720124847210421</v>
      </c>
      <c r="BY234" s="311">
        <f t="shared" si="374"/>
        <v>148165.79886536906</v>
      </c>
      <c r="BZ234" s="311">
        <f t="shared" si="375"/>
        <v>260899.91999999993</v>
      </c>
      <c r="CA234" s="311">
        <f t="shared" si="388"/>
        <v>170749.43481538218</v>
      </c>
      <c r="CB234" s="307">
        <f t="shared" si="389"/>
        <v>170.74943481538219</v>
      </c>
      <c r="CC234" s="309">
        <f t="shared" si="390"/>
        <v>0.5652083244468129</v>
      </c>
      <c r="CD234" s="379">
        <f t="shared" si="376"/>
        <v>1.5269716126551525</v>
      </c>
    </row>
    <row r="235" spans="1:82" x14ac:dyDescent="0.25">
      <c r="A235" s="305">
        <v>227</v>
      </c>
      <c r="B235" s="298" t="s">
        <v>12</v>
      </c>
      <c r="C235" s="298">
        <v>64</v>
      </c>
      <c r="D235" s="361" t="s">
        <v>597</v>
      </c>
      <c r="E235" s="361" t="s">
        <v>668</v>
      </c>
      <c r="F235" s="298" t="s">
        <v>484</v>
      </c>
      <c r="G235" s="311">
        <v>1200</v>
      </c>
      <c r="H235" s="311">
        <f t="shared" si="400"/>
        <v>1200</v>
      </c>
      <c r="I235" s="311">
        <v>1590</v>
      </c>
      <c r="J235" s="306">
        <f t="shared" si="396"/>
        <v>1908000</v>
      </c>
      <c r="K235" s="311">
        <v>190</v>
      </c>
      <c r="L235" s="312">
        <v>1272</v>
      </c>
      <c r="M235" s="309">
        <f t="shared" si="401"/>
        <v>0.75471698113207553</v>
      </c>
      <c r="N235" s="309">
        <f t="shared" si="377"/>
        <v>0.75471698113207553</v>
      </c>
      <c r="O235" s="309">
        <f t="shared" si="367"/>
        <v>0.75471698113207553</v>
      </c>
      <c r="P235" s="327">
        <f t="shared" si="391"/>
        <v>204900</v>
      </c>
      <c r="Q235" s="306">
        <f t="shared" si="368"/>
        <v>302100</v>
      </c>
      <c r="R235" s="309">
        <f t="shared" si="402"/>
        <v>0.67825223435948356</v>
      </c>
      <c r="S235" s="295">
        <v>1200</v>
      </c>
      <c r="T235" s="295">
        <v>1200</v>
      </c>
      <c r="U235" s="310">
        <v>18.399999999999999</v>
      </c>
      <c r="V235" s="310">
        <v>15.3</v>
      </c>
      <c r="W235" s="387">
        <f t="shared" si="378"/>
        <v>15.3</v>
      </c>
      <c r="X235" s="310">
        <v>11.5</v>
      </c>
      <c r="Y235" s="387">
        <f t="shared" si="379"/>
        <v>11.5</v>
      </c>
      <c r="Z235" s="423" t="s">
        <v>413</v>
      </c>
      <c r="AA235" s="325">
        <v>9.82</v>
      </c>
      <c r="AB235" s="325">
        <v>18.22</v>
      </c>
      <c r="AC235" s="295">
        <v>3</v>
      </c>
      <c r="AD235" s="325">
        <f t="shared" si="406"/>
        <v>3.1052631578947367</v>
      </c>
      <c r="AE235" s="295">
        <v>10</v>
      </c>
      <c r="AF235" s="313">
        <f t="shared" si="392"/>
        <v>0.88507743347731438</v>
      </c>
      <c r="AG235" s="313">
        <f t="shared" si="380"/>
        <v>8.6914603967472281</v>
      </c>
      <c r="AH235" s="313">
        <f t="shared" si="381"/>
        <v>16.126110837956666</v>
      </c>
      <c r="AI235" s="308">
        <f t="shared" si="393"/>
        <v>12.478923829061472</v>
      </c>
      <c r="AJ235" s="361" t="s">
        <v>413</v>
      </c>
      <c r="AK235" s="361" t="s">
        <v>413</v>
      </c>
      <c r="AL235" s="298">
        <v>0</v>
      </c>
      <c r="AM235" s="298">
        <v>0</v>
      </c>
      <c r="AN235" s="340">
        <v>0</v>
      </c>
      <c r="AO235" s="298">
        <v>0</v>
      </c>
      <c r="AP235" s="295">
        <f t="shared" si="397"/>
        <v>0</v>
      </c>
      <c r="AQ235" s="298">
        <v>0</v>
      </c>
      <c r="AR235" s="361" t="s">
        <v>413</v>
      </c>
      <c r="AS235" s="298">
        <v>0</v>
      </c>
      <c r="AT235" s="361" t="s">
        <v>796</v>
      </c>
      <c r="AU235" s="306">
        <f t="shared" si="394"/>
        <v>128.99999999999997</v>
      </c>
      <c r="AV235" s="307">
        <v>21.5</v>
      </c>
      <c r="AW235" s="327">
        <f t="shared" si="407"/>
        <v>128.99999999999997</v>
      </c>
      <c r="AX235" s="306">
        <f t="shared" si="395"/>
        <v>5.6578947368421048E-4</v>
      </c>
      <c r="AY235" s="298">
        <v>530</v>
      </c>
      <c r="AZ235" s="306">
        <f t="shared" si="398"/>
        <v>0.29986842105263156</v>
      </c>
      <c r="BA235" s="298">
        <v>200</v>
      </c>
      <c r="BB235" s="298">
        <v>608</v>
      </c>
      <c r="BC235" s="309">
        <f t="shared" si="408"/>
        <v>2.0125786163522013</v>
      </c>
      <c r="BD235" s="313">
        <f t="shared" si="382"/>
        <v>0.16127821949399346</v>
      </c>
      <c r="BE235" s="309">
        <f t="shared" si="409"/>
        <v>2.96730112249878</v>
      </c>
      <c r="BF235" s="307" t="s">
        <v>413</v>
      </c>
      <c r="BG235" s="311">
        <v>320.39999999999998</v>
      </c>
      <c r="BH235" s="307">
        <f t="shared" si="349"/>
        <v>320.39999999999998</v>
      </c>
      <c r="BI235" s="373">
        <v>0.94430000000000003</v>
      </c>
      <c r="BJ235" s="361">
        <f t="shared" si="369"/>
        <v>0.81399999999999995</v>
      </c>
      <c r="BK235" s="312">
        <f t="shared" si="370"/>
        <v>1</v>
      </c>
      <c r="BL235" s="311">
        <f t="shared" si="348"/>
        <v>246.27872807999998</v>
      </c>
      <c r="BM235" s="309">
        <f t="shared" si="356"/>
        <v>0.81522253584905657</v>
      </c>
      <c r="BN235" s="309">
        <f t="shared" si="411"/>
        <v>1.2019459642752561</v>
      </c>
      <c r="BO235" s="376"/>
      <c r="BP235" s="328">
        <f t="shared" si="384"/>
        <v>4.6806314368251689</v>
      </c>
      <c r="BQ235" s="328">
        <f t="shared" si="371"/>
        <v>0.29986842105263156</v>
      </c>
      <c r="BR235" s="328">
        <f t="shared" si="410"/>
        <v>0</v>
      </c>
      <c r="BS235" s="328">
        <f t="shared" si="385"/>
        <v>0.78722053957914506</v>
      </c>
      <c r="BT235" s="328">
        <f t="shared" si="386"/>
        <v>2.0125786163522013</v>
      </c>
      <c r="BU235" s="376"/>
      <c r="BV235" s="328">
        <f t="shared" si="372"/>
        <v>0.5</v>
      </c>
      <c r="BW235" s="328">
        <f t="shared" si="373"/>
        <v>0.94339622641509435</v>
      </c>
      <c r="BX235" s="373">
        <f t="shared" si="387"/>
        <v>0.59720124847210421</v>
      </c>
      <c r="BY235" s="311">
        <f t="shared" si="374"/>
        <v>148165.79886536906</v>
      </c>
      <c r="BZ235" s="311">
        <f t="shared" si="375"/>
        <v>260899.91999999993</v>
      </c>
      <c r="CA235" s="311">
        <f t="shared" si="388"/>
        <v>170749.43481538218</v>
      </c>
      <c r="CB235" s="307">
        <f t="shared" si="389"/>
        <v>170.74943481538219</v>
      </c>
      <c r="CC235" s="309">
        <f t="shared" si="390"/>
        <v>0.5652083244468129</v>
      </c>
      <c r="CD235" s="379">
        <f t="shared" si="376"/>
        <v>1.4423399312933693</v>
      </c>
    </row>
    <row r="236" spans="1:82" x14ac:dyDescent="0.25">
      <c r="A236" s="305">
        <v>228</v>
      </c>
      <c r="B236" s="298" t="s">
        <v>12</v>
      </c>
      <c r="C236" s="298">
        <v>65</v>
      </c>
      <c r="D236" s="361" t="s">
        <v>597</v>
      </c>
      <c r="E236" s="361" t="s">
        <v>668</v>
      </c>
      <c r="F236" s="298" t="s">
        <v>484</v>
      </c>
      <c r="G236" s="311">
        <v>1200</v>
      </c>
      <c r="H236" s="311">
        <f t="shared" si="400"/>
        <v>1200</v>
      </c>
      <c r="I236" s="311">
        <v>1590</v>
      </c>
      <c r="J236" s="306">
        <f t="shared" si="396"/>
        <v>1908000</v>
      </c>
      <c r="K236" s="311">
        <v>190</v>
      </c>
      <c r="L236" s="312">
        <v>1272</v>
      </c>
      <c r="M236" s="309">
        <f t="shared" si="401"/>
        <v>0.75471698113207553</v>
      </c>
      <c r="N236" s="309">
        <f t="shared" si="377"/>
        <v>0.75471698113207553</v>
      </c>
      <c r="O236" s="309">
        <f t="shared" si="367"/>
        <v>0.75471698113207553</v>
      </c>
      <c r="P236" s="327">
        <f t="shared" si="391"/>
        <v>204900</v>
      </c>
      <c r="Q236" s="306">
        <f t="shared" si="368"/>
        <v>302100</v>
      </c>
      <c r="R236" s="309">
        <f t="shared" si="402"/>
        <v>0.67825223435948356</v>
      </c>
      <c r="S236" s="295">
        <v>1200</v>
      </c>
      <c r="T236" s="295">
        <v>1200</v>
      </c>
      <c r="U236" s="310">
        <v>18.399999999999999</v>
      </c>
      <c r="V236" s="310">
        <v>13.7</v>
      </c>
      <c r="W236" s="387">
        <f t="shared" si="378"/>
        <v>13.7</v>
      </c>
      <c r="X236" s="310">
        <v>11.3</v>
      </c>
      <c r="Y236" s="387">
        <f t="shared" si="379"/>
        <v>11.3</v>
      </c>
      <c r="Z236" s="423" t="s">
        <v>413</v>
      </c>
      <c r="AA236" s="325">
        <v>9.82</v>
      </c>
      <c r="AB236" s="325">
        <v>18.22</v>
      </c>
      <c r="AC236" s="295">
        <v>3</v>
      </c>
      <c r="AD236" s="325">
        <f t="shared" si="406"/>
        <v>3.1052631578947367</v>
      </c>
      <c r="AE236" s="295">
        <v>10</v>
      </c>
      <c r="AF236" s="313">
        <f t="shared" si="392"/>
        <v>0.88507743347731438</v>
      </c>
      <c r="AG236" s="313">
        <f t="shared" si="380"/>
        <v>8.6914603967472281</v>
      </c>
      <c r="AH236" s="313">
        <f t="shared" si="381"/>
        <v>16.126110837956666</v>
      </c>
      <c r="AI236" s="308">
        <f t="shared" ref="AI236:AI237" si="412">((4*390/2)*AG236+(I236-4*390/2)*AH236)/I236</f>
        <v>12.478923829061472</v>
      </c>
      <c r="AJ236" s="361" t="s">
        <v>413</v>
      </c>
      <c r="AK236" s="361" t="s">
        <v>413</v>
      </c>
      <c r="AL236" s="298">
        <v>0</v>
      </c>
      <c r="AM236" s="298">
        <v>0</v>
      </c>
      <c r="AN236" s="340">
        <v>0</v>
      </c>
      <c r="AO236" s="298">
        <v>0</v>
      </c>
      <c r="AP236" s="295">
        <f t="shared" si="397"/>
        <v>0</v>
      </c>
      <c r="AQ236" s="298">
        <v>0</v>
      </c>
      <c r="AR236" s="361" t="s">
        <v>413</v>
      </c>
      <c r="AS236" s="298">
        <v>0</v>
      </c>
      <c r="AT236" s="361" t="s">
        <v>796</v>
      </c>
      <c r="AU236" s="306">
        <f t="shared" si="394"/>
        <v>128.99999999999997</v>
      </c>
      <c r="AV236" s="307">
        <v>21.5</v>
      </c>
      <c r="AW236" s="327">
        <f t="shared" si="407"/>
        <v>128.99999999999997</v>
      </c>
      <c r="AX236" s="306">
        <f t="shared" ref="AX236:AX267" si="413">IF(AV236=0,0,AV236/(BA236*K236))</f>
        <v>5.6578947368421048E-4</v>
      </c>
      <c r="AY236" s="298">
        <v>530</v>
      </c>
      <c r="AZ236" s="306">
        <f t="shared" si="398"/>
        <v>0.29986842105263156</v>
      </c>
      <c r="BA236" s="298">
        <v>200</v>
      </c>
      <c r="BB236" s="298">
        <v>608</v>
      </c>
      <c r="BC236" s="309">
        <f t="shared" si="408"/>
        <v>2.0125786163522013</v>
      </c>
      <c r="BD236" s="313">
        <f t="shared" si="382"/>
        <v>0.16127821949399346</v>
      </c>
      <c r="BE236" s="309">
        <f t="shared" si="409"/>
        <v>2.96730112249878</v>
      </c>
      <c r="BF236" s="307" t="s">
        <v>413</v>
      </c>
      <c r="BG236" s="311">
        <v>334.6</v>
      </c>
      <c r="BH236" s="307">
        <f t="shared" si="349"/>
        <v>334.6</v>
      </c>
      <c r="BI236" s="373">
        <v>0.94430000000000003</v>
      </c>
      <c r="BJ236" s="361">
        <f t="shared" si="369"/>
        <v>0.81399999999999995</v>
      </c>
      <c r="BK236" s="312">
        <f t="shared" si="370"/>
        <v>1</v>
      </c>
      <c r="BL236" s="311">
        <f t="shared" ref="BL236:BL300" si="414">BH236*BI236*BJ236*BK236</f>
        <v>257.19370291999996</v>
      </c>
      <c r="BM236" s="309">
        <f t="shared" si="356"/>
        <v>0.85135287295597473</v>
      </c>
      <c r="BN236" s="309">
        <f t="shared" si="411"/>
        <v>1.2552157292337724</v>
      </c>
      <c r="BO236" s="376"/>
      <c r="BP236" s="328">
        <f t="shared" si="384"/>
        <v>4.6806314368251689</v>
      </c>
      <c r="BQ236" s="328">
        <f t="shared" si="371"/>
        <v>0.29986842105263156</v>
      </c>
      <c r="BR236" s="328">
        <f t="shared" si="410"/>
        <v>0</v>
      </c>
      <c r="BS236" s="328">
        <f t="shared" si="385"/>
        <v>0.78722053957914506</v>
      </c>
      <c r="BT236" s="328">
        <f t="shared" si="386"/>
        <v>2.0125786163522013</v>
      </c>
      <c r="BU236" s="376"/>
      <c r="BV236" s="328">
        <f t="shared" si="372"/>
        <v>0.5</v>
      </c>
      <c r="BW236" s="328">
        <f t="shared" si="373"/>
        <v>0.94339622641509435</v>
      </c>
      <c r="BX236" s="373">
        <f t="shared" si="387"/>
        <v>0.59720124847210421</v>
      </c>
      <c r="BY236" s="311">
        <f t="shared" si="374"/>
        <v>148165.79886536906</v>
      </c>
      <c r="BZ236" s="311">
        <f t="shared" si="375"/>
        <v>260899.91999999993</v>
      </c>
      <c r="CA236" s="311">
        <f t="shared" si="388"/>
        <v>170749.43481538218</v>
      </c>
      <c r="CB236" s="307">
        <f t="shared" si="389"/>
        <v>170.74943481538219</v>
      </c>
      <c r="CC236" s="309">
        <f t="shared" si="390"/>
        <v>0.5652083244468129</v>
      </c>
      <c r="CD236" s="379">
        <f t="shared" si="376"/>
        <v>1.5062638608325885</v>
      </c>
    </row>
    <row r="237" spans="1:82" x14ac:dyDescent="0.25">
      <c r="A237" s="315">
        <v>229</v>
      </c>
      <c r="B237" s="315" t="s">
        <v>12</v>
      </c>
      <c r="C237" s="315">
        <v>66</v>
      </c>
      <c r="D237" s="315" t="s">
        <v>597</v>
      </c>
      <c r="E237" s="315" t="s">
        <v>668</v>
      </c>
      <c r="F237" s="315" t="s">
        <v>484</v>
      </c>
      <c r="G237" s="321">
        <v>1200</v>
      </c>
      <c r="H237" s="321">
        <f t="shared" si="400"/>
        <v>1200</v>
      </c>
      <c r="I237" s="321">
        <v>1590</v>
      </c>
      <c r="J237" s="316">
        <f t="shared" si="396"/>
        <v>1908000</v>
      </c>
      <c r="K237" s="321">
        <v>190</v>
      </c>
      <c r="L237" s="322">
        <v>1272</v>
      </c>
      <c r="M237" s="319">
        <f t="shared" si="401"/>
        <v>0.75471698113207553</v>
      </c>
      <c r="N237" s="319">
        <f t="shared" si="377"/>
        <v>0.75471698113207553</v>
      </c>
      <c r="O237" s="319">
        <f t="shared" si="367"/>
        <v>0.75471698113207553</v>
      </c>
      <c r="P237" s="329">
        <f t="shared" si="391"/>
        <v>204900</v>
      </c>
      <c r="Q237" s="316">
        <f t="shared" si="368"/>
        <v>302100</v>
      </c>
      <c r="R237" s="319">
        <f t="shared" si="402"/>
        <v>0.67825223435948356</v>
      </c>
      <c r="S237" s="294">
        <v>1200</v>
      </c>
      <c r="T237" s="294">
        <v>1200</v>
      </c>
      <c r="U237" s="320">
        <v>18.399999999999999</v>
      </c>
      <c r="V237" s="320">
        <v>13</v>
      </c>
      <c r="W237" s="387">
        <f t="shared" si="378"/>
        <v>13</v>
      </c>
      <c r="X237" s="320">
        <v>15.4</v>
      </c>
      <c r="Y237" s="387">
        <f t="shared" si="379"/>
        <v>15.4</v>
      </c>
      <c r="Z237" s="419" t="s">
        <v>413</v>
      </c>
      <c r="AA237" s="326">
        <v>9.82</v>
      </c>
      <c r="AB237" s="326">
        <v>18.22</v>
      </c>
      <c r="AC237" s="294">
        <v>3</v>
      </c>
      <c r="AD237" s="326">
        <f t="shared" si="406"/>
        <v>3.1052631578947367</v>
      </c>
      <c r="AE237" s="294">
        <v>10</v>
      </c>
      <c r="AF237" s="324">
        <f t="shared" si="392"/>
        <v>0.88507743347731438</v>
      </c>
      <c r="AG237" s="324">
        <f t="shared" si="380"/>
        <v>8.6914603967472281</v>
      </c>
      <c r="AH237" s="324">
        <f t="shared" si="381"/>
        <v>16.126110837956666</v>
      </c>
      <c r="AI237" s="318">
        <f t="shared" si="412"/>
        <v>12.478923829061472</v>
      </c>
      <c r="AJ237" s="315" t="s">
        <v>413</v>
      </c>
      <c r="AK237" s="315" t="s">
        <v>413</v>
      </c>
      <c r="AL237" s="315">
        <v>0</v>
      </c>
      <c r="AM237" s="315">
        <v>0</v>
      </c>
      <c r="AN237" s="349">
        <v>0</v>
      </c>
      <c r="AO237" s="315">
        <v>0</v>
      </c>
      <c r="AP237" s="294">
        <f t="shared" si="397"/>
        <v>0</v>
      </c>
      <c r="AQ237" s="315">
        <v>0</v>
      </c>
      <c r="AR237" s="315" t="s">
        <v>413</v>
      </c>
      <c r="AS237" s="315">
        <v>0</v>
      </c>
      <c r="AT237" s="315" t="s">
        <v>796</v>
      </c>
      <c r="AU237" s="316">
        <f t="shared" si="394"/>
        <v>128.99999999999997</v>
      </c>
      <c r="AV237" s="317">
        <v>21.5</v>
      </c>
      <c r="AW237" s="329">
        <f t="shared" si="407"/>
        <v>128.99999999999997</v>
      </c>
      <c r="AX237" s="316">
        <f t="shared" si="413"/>
        <v>5.6578947368421048E-4</v>
      </c>
      <c r="AY237" s="315">
        <v>530</v>
      </c>
      <c r="AZ237" s="316">
        <f t="shared" si="398"/>
        <v>0.29986842105263156</v>
      </c>
      <c r="BA237" s="315">
        <v>200</v>
      </c>
      <c r="BB237" s="315">
        <v>608</v>
      </c>
      <c r="BC237" s="319">
        <f t="shared" si="408"/>
        <v>2.0125786163522013</v>
      </c>
      <c r="BD237" s="324">
        <f t="shared" si="382"/>
        <v>0.16127821949399346</v>
      </c>
      <c r="BE237" s="319">
        <f t="shared" si="409"/>
        <v>2.96730112249878</v>
      </c>
      <c r="BF237" s="317" t="s">
        <v>413</v>
      </c>
      <c r="BG237" s="321">
        <v>333.2</v>
      </c>
      <c r="BH237" s="317">
        <f t="shared" ref="BH237:BH253" si="415">BG237</f>
        <v>333.2</v>
      </c>
      <c r="BI237" s="315">
        <v>0.94430000000000003</v>
      </c>
      <c r="BJ237" s="315">
        <f t="shared" si="369"/>
        <v>0.81399999999999995</v>
      </c>
      <c r="BK237" s="322">
        <f t="shared" si="370"/>
        <v>1</v>
      </c>
      <c r="BL237" s="321">
        <f t="shared" si="414"/>
        <v>256.11757863999998</v>
      </c>
      <c r="BM237" s="319">
        <f t="shared" si="356"/>
        <v>0.84779072704402514</v>
      </c>
      <c r="BN237" s="319">
        <f t="shared" si="411"/>
        <v>1.2499637805758905</v>
      </c>
      <c r="BO237" s="376"/>
      <c r="BP237" s="330">
        <f t="shared" si="384"/>
        <v>4.6806314368251689</v>
      </c>
      <c r="BQ237" s="330">
        <f t="shared" si="371"/>
        <v>0.29986842105263156</v>
      </c>
      <c r="BR237" s="330">
        <f t="shared" si="410"/>
        <v>0</v>
      </c>
      <c r="BS237" s="330">
        <f t="shared" si="385"/>
        <v>0.78722053957914506</v>
      </c>
      <c r="BT237" s="330">
        <f t="shared" si="386"/>
        <v>2.0125786163522013</v>
      </c>
      <c r="BU237" s="376"/>
      <c r="BV237" s="328">
        <f t="shared" si="372"/>
        <v>0.5</v>
      </c>
      <c r="BW237" s="328">
        <f t="shared" si="373"/>
        <v>0.94339622641509435</v>
      </c>
      <c r="BX237" s="373">
        <f t="shared" si="387"/>
        <v>0.59720124847210421</v>
      </c>
      <c r="BY237" s="311">
        <f t="shared" si="374"/>
        <v>148165.79886536906</v>
      </c>
      <c r="BZ237" s="311">
        <f t="shared" si="375"/>
        <v>260899.91999999993</v>
      </c>
      <c r="CA237" s="311">
        <f t="shared" si="388"/>
        <v>170749.43481538218</v>
      </c>
      <c r="CB237" s="307">
        <f t="shared" si="389"/>
        <v>170.74943481538219</v>
      </c>
      <c r="CC237" s="309">
        <f t="shared" si="390"/>
        <v>0.5652083244468129</v>
      </c>
      <c r="CD237" s="379">
        <f t="shared" si="376"/>
        <v>1.499961501582243</v>
      </c>
    </row>
    <row r="238" spans="1:82" x14ac:dyDescent="0.25">
      <c r="A238" s="373">
        <v>230</v>
      </c>
      <c r="B238" s="286" t="s">
        <v>954</v>
      </c>
      <c r="C238" s="286" t="s">
        <v>286</v>
      </c>
      <c r="D238" s="286" t="s">
        <v>598</v>
      </c>
      <c r="E238" s="286" t="s">
        <v>668</v>
      </c>
      <c r="F238" s="286" t="s">
        <v>485</v>
      </c>
      <c r="G238" s="286">
        <v>1800</v>
      </c>
      <c r="H238" s="286">
        <f t="shared" si="400"/>
        <v>900</v>
      </c>
      <c r="I238" s="286">
        <v>1800</v>
      </c>
      <c r="J238" s="393">
        <f t="shared" si="396"/>
        <v>3240000</v>
      </c>
      <c r="K238" s="286">
        <v>190</v>
      </c>
      <c r="L238" s="395">
        <f t="shared" ref="L238:L255" si="416">0.8*I238</f>
        <v>1440</v>
      </c>
      <c r="M238" s="397">
        <f t="shared" si="401"/>
        <v>1</v>
      </c>
      <c r="N238" s="397">
        <f t="shared" si="377"/>
        <v>0.5</v>
      </c>
      <c r="O238" s="397">
        <f t="shared" si="367"/>
        <v>0.5</v>
      </c>
      <c r="P238" s="393">
        <f>(3*390/2*K238)+(I238-3*390/2)*(32)*2</f>
        <v>188910</v>
      </c>
      <c r="Q238" s="393">
        <f>K238*I238</f>
        <v>342000</v>
      </c>
      <c r="R238" s="408">
        <f t="shared" si="402"/>
        <v>0.55236842105263162</v>
      </c>
      <c r="S238" s="286">
        <v>800</v>
      </c>
      <c r="T238" s="286">
        <v>800</v>
      </c>
      <c r="U238" s="286">
        <v>16.5</v>
      </c>
      <c r="V238" s="286">
        <v>5.7</v>
      </c>
      <c r="W238" s="385">
        <f t="shared" si="378"/>
        <v>5.7</v>
      </c>
      <c r="X238" s="286">
        <v>30.1</v>
      </c>
      <c r="Y238" s="385">
        <f t="shared" si="379"/>
        <v>30.1</v>
      </c>
      <c r="Z238" s="423" t="s">
        <v>413</v>
      </c>
      <c r="AA238" s="400">
        <v>8.5</v>
      </c>
      <c r="AB238" s="286">
        <v>20.399999999999999</v>
      </c>
      <c r="AC238" s="286">
        <v>5</v>
      </c>
      <c r="AD238" s="286">
        <f t="shared" ref="AD238:AD255" si="417">(190+10+190+10+190+10+190+10+190)/K238</f>
        <v>5.2105263157894735</v>
      </c>
      <c r="AE238" s="286">
        <v>5</v>
      </c>
      <c r="AF238" s="401">
        <v>1</v>
      </c>
      <c r="AG238" s="401">
        <f t="shared" si="380"/>
        <v>8.5</v>
      </c>
      <c r="AH238" s="401">
        <f t="shared" si="381"/>
        <v>20.399999999999999</v>
      </c>
      <c r="AI238" s="403">
        <f t="shared" ref="AI238:AI255" si="418">((3*390/2)*AG238+(I238-3*390/2)*AH238)/I238</f>
        <v>16.532499999999999</v>
      </c>
      <c r="AJ238" s="396" t="s">
        <v>798</v>
      </c>
      <c r="AK238" s="396" t="s">
        <v>798</v>
      </c>
      <c r="AL238" s="396">
        <v>200</v>
      </c>
      <c r="AM238" s="396">
        <f>3*AL238</f>
        <v>600</v>
      </c>
      <c r="AN238" s="406">
        <f t="shared" ref="AN238:AN269" si="419">AM238/K238/L238</f>
        <v>2.1929824561403508E-3</v>
      </c>
      <c r="AO238" s="286">
        <v>450</v>
      </c>
      <c r="AP238" s="406">
        <f t="shared" ref="AP238:AP255" si="420">AO238/O238/K238</f>
        <v>4.7368421052631575</v>
      </c>
      <c r="AQ238" s="396">
        <v>800</v>
      </c>
      <c r="AR238" s="286" t="s">
        <v>798</v>
      </c>
      <c r="AS238" s="286">
        <f t="shared" ref="AS238:AS246" si="421">3*AV238</f>
        <v>600</v>
      </c>
      <c r="AT238" s="286" t="s">
        <v>413</v>
      </c>
      <c r="AU238" s="286">
        <v>0</v>
      </c>
      <c r="AV238" s="286">
        <v>200</v>
      </c>
      <c r="AW238" s="395">
        <f t="shared" si="407"/>
        <v>600</v>
      </c>
      <c r="AX238" s="406">
        <f t="shared" si="413"/>
        <v>1.3157894736842105E-3</v>
      </c>
      <c r="AY238" s="286">
        <v>450</v>
      </c>
      <c r="AZ238" s="397">
        <f t="shared" si="398"/>
        <v>0.59210526315789469</v>
      </c>
      <c r="BA238" s="286">
        <v>800</v>
      </c>
      <c r="BB238" s="393">
        <f t="shared" ref="BB238:BB269" si="422">BC238*Q238/1000</f>
        <v>684</v>
      </c>
      <c r="BC238" s="286">
        <v>2</v>
      </c>
      <c r="BD238" s="401">
        <f>BC238/AI238</f>
        <v>0.1209738394072282</v>
      </c>
      <c r="BE238" s="371">
        <f t="shared" si="409"/>
        <v>3.6207717960933778</v>
      </c>
      <c r="BF238" s="400">
        <v>189</v>
      </c>
      <c r="BG238" s="400">
        <v>229.6</v>
      </c>
      <c r="BH238" s="286">
        <f t="shared" si="415"/>
        <v>229.6</v>
      </c>
      <c r="BI238" s="370">
        <v>1</v>
      </c>
      <c r="BJ238" s="370">
        <f t="shared" si="369"/>
        <v>1</v>
      </c>
      <c r="BK238" s="368">
        <f t="shared" si="370"/>
        <v>1</v>
      </c>
      <c r="BL238" s="364">
        <f t="shared" ref="BL238:BL255" si="423">BH238*BI238*BJ238*BK238</f>
        <v>229.6</v>
      </c>
      <c r="BM238" s="371">
        <f t="shared" si="356"/>
        <v>0.67134502923976602</v>
      </c>
      <c r="BN238" s="371">
        <f t="shared" si="411"/>
        <v>1.2153935736594144</v>
      </c>
      <c r="BP238" s="365">
        <f t="shared" ref="BP238:BP300" si="424">SQRT(AI238)/N238</f>
        <v>8.1320354155647898</v>
      </c>
      <c r="BQ238" s="365">
        <f t="shared" ref="BQ238:BQ300" si="425">AZ238</f>
        <v>0.59210526315789469</v>
      </c>
      <c r="BR238" s="365">
        <f t="shared" ref="BR238:BR300" si="426">IF(X238="-",G238*SQRT(0*(AP238/AN238)),IF(AN238=0,0,AN238*SQRT(X238*(AP238/AN238))))</f>
        <v>0.55917182528620468</v>
      </c>
      <c r="BS238" s="365">
        <f t="shared" ref="BS238:BS300" si="427">IF(F238="Cantilever",0.6*R238*SQRT(AZ238*AI238),R238*SQRT(AZ238*AI238))</f>
        <v>1.7282141967137878</v>
      </c>
      <c r="BT238" s="365">
        <f t="shared" ref="BT238:BT300" si="428">BC238</f>
        <v>2</v>
      </c>
      <c r="BV238" s="328">
        <f t="shared" ref="BV238:BV300" si="429">IF(R238&gt;0.5,0.5,R238)</f>
        <v>0.5</v>
      </c>
      <c r="BW238" s="328">
        <f t="shared" ref="BW238:BW300" si="430">IF(N238*I238/L238&gt;1,1,IF(N238*I238/L238&lt;0.25,0.25,N238*I238/L238))</f>
        <v>0.625</v>
      </c>
      <c r="BX238" s="373">
        <f t="shared" si="387"/>
        <v>0.89452389571212687</v>
      </c>
      <c r="BY238" s="311">
        <f t="shared" ref="BY238:BY300" si="431">(BX238*K238*L238+0.25*BB238*1000)*BV238</f>
        <v>207870.86893341894</v>
      </c>
      <c r="BZ238" s="311">
        <f t="shared" ref="BZ238:BZ300" si="432">IF(BA238=0,0,0.6*1*AW238*AY238*L238/BA238)</f>
        <v>291600</v>
      </c>
      <c r="CA238" s="311">
        <f t="shared" ref="CA238:CA300" si="433">0.4*SQRT(AI238)*K238*L238*BV238</f>
        <v>222492.48896985268</v>
      </c>
      <c r="CB238" s="307">
        <f t="shared" ref="CB238:CB300" si="434">IF((BY238+BZ238)&lt;CA238,(BY238+BZ238)/1000,CA238/1000)</f>
        <v>222.49248896985267</v>
      </c>
      <c r="CC238" s="309">
        <f t="shared" si="390"/>
        <v>0.65056283324518327</v>
      </c>
      <c r="CD238" s="379">
        <f t="shared" ref="CD238:CD300" si="435">BL238/CB238</f>
        <v>1.03194494817805</v>
      </c>
    </row>
    <row r="239" spans="1:82" x14ac:dyDescent="0.25">
      <c r="A239" s="373">
        <v>231</v>
      </c>
      <c r="B239" s="286" t="s">
        <v>954</v>
      </c>
      <c r="C239" s="286" t="s">
        <v>958</v>
      </c>
      <c r="D239" s="286" t="s">
        <v>598</v>
      </c>
      <c r="E239" s="286" t="s">
        <v>668</v>
      </c>
      <c r="F239" s="286" t="s">
        <v>485</v>
      </c>
      <c r="G239" s="286">
        <v>1800</v>
      </c>
      <c r="H239" s="286">
        <f t="shared" si="400"/>
        <v>900</v>
      </c>
      <c r="I239" s="286">
        <v>1800</v>
      </c>
      <c r="J239" s="393">
        <f t="shared" si="396"/>
        <v>3240000</v>
      </c>
      <c r="K239" s="286">
        <v>190</v>
      </c>
      <c r="L239" s="327">
        <f t="shared" si="416"/>
        <v>1440</v>
      </c>
      <c r="M239" s="393">
        <f t="shared" ref="M239:M255" si="436">G239/I239</f>
        <v>1</v>
      </c>
      <c r="N239" s="393">
        <f t="shared" ref="N239:N255" si="437">O239</f>
        <v>0.5</v>
      </c>
      <c r="O239" s="393">
        <f t="shared" ref="O239:O255" si="438">H239/I239</f>
        <v>0.5</v>
      </c>
      <c r="P239" s="393">
        <f t="shared" ref="P239:P246" si="439">(3*390/2*K239)+(I239-3*390/2)*(32)*2</f>
        <v>188910</v>
      </c>
      <c r="Q239" s="393">
        <f t="shared" si="368"/>
        <v>342000</v>
      </c>
      <c r="R239" s="408">
        <f t="shared" si="402"/>
        <v>0.55236842105263162</v>
      </c>
      <c r="S239" s="286">
        <v>800</v>
      </c>
      <c r="T239" s="286">
        <v>800</v>
      </c>
      <c r="U239" s="286">
        <v>16.5</v>
      </c>
      <c r="V239" s="286">
        <v>5.7</v>
      </c>
      <c r="W239" s="385">
        <f t="shared" ref="W239:W254" si="440">IF(V239="-",0,V239)</f>
        <v>5.7</v>
      </c>
      <c r="X239" s="286">
        <v>31.1</v>
      </c>
      <c r="Y239" s="385">
        <f t="shared" ref="Y239:Y254" si="441">IF(X239="-",0,X239)</f>
        <v>31.1</v>
      </c>
      <c r="Z239" s="423" t="s">
        <v>413</v>
      </c>
      <c r="AA239" s="400">
        <v>8.5</v>
      </c>
      <c r="AB239" s="286">
        <v>20.399999999999999</v>
      </c>
      <c r="AC239" s="286">
        <v>5</v>
      </c>
      <c r="AD239" s="286">
        <f t="shared" si="417"/>
        <v>5.2105263157894735</v>
      </c>
      <c r="AE239" s="286">
        <v>5</v>
      </c>
      <c r="AF239" s="398">
        <v>1</v>
      </c>
      <c r="AG239" s="398">
        <f t="shared" ref="AG239:AG255" si="442">AF239*AA239</f>
        <v>8.5</v>
      </c>
      <c r="AH239" s="398">
        <f t="shared" ref="AH239:AH255" si="443">AF239*AB239</f>
        <v>20.399999999999999</v>
      </c>
      <c r="AI239" s="403">
        <f t="shared" si="418"/>
        <v>16.532499999999999</v>
      </c>
      <c r="AJ239" s="286" t="s">
        <v>798</v>
      </c>
      <c r="AK239" s="286" t="s">
        <v>798</v>
      </c>
      <c r="AL239" s="286">
        <v>200</v>
      </c>
      <c r="AM239" s="286">
        <f t="shared" ref="AM239:AM255" si="444">3*AL239</f>
        <v>600</v>
      </c>
      <c r="AN239" s="306">
        <f t="shared" si="419"/>
        <v>2.1929824561403508E-3</v>
      </c>
      <c r="AO239" s="286">
        <v>450</v>
      </c>
      <c r="AP239" s="306">
        <f t="shared" si="420"/>
        <v>4.7368421052631575</v>
      </c>
      <c r="AQ239" s="286">
        <v>800</v>
      </c>
      <c r="AR239" s="286" t="s">
        <v>798</v>
      </c>
      <c r="AS239" s="286">
        <f t="shared" si="421"/>
        <v>600</v>
      </c>
      <c r="AT239" s="286" t="s">
        <v>413</v>
      </c>
      <c r="AU239" s="286">
        <v>0</v>
      </c>
      <c r="AV239" s="286">
        <v>200</v>
      </c>
      <c r="AW239" s="327">
        <f t="shared" si="407"/>
        <v>600</v>
      </c>
      <c r="AX239" s="306">
        <f t="shared" si="413"/>
        <v>1.3157894736842105E-3</v>
      </c>
      <c r="AY239" s="286">
        <v>450</v>
      </c>
      <c r="AZ239" s="393">
        <f t="shared" si="398"/>
        <v>0.59210526315789469</v>
      </c>
      <c r="BA239" s="286">
        <v>800</v>
      </c>
      <c r="BB239" s="393">
        <f t="shared" si="422"/>
        <v>684</v>
      </c>
      <c r="BC239" s="286">
        <v>2</v>
      </c>
      <c r="BD239" s="398">
        <f t="shared" ref="BD239:BD300" si="445">BC239/AI239</f>
        <v>0.1209738394072282</v>
      </c>
      <c r="BE239" s="309">
        <f t="shared" si="409"/>
        <v>3.6207717960933778</v>
      </c>
      <c r="BF239" s="400">
        <v>225.6</v>
      </c>
      <c r="BG239" s="400">
        <v>227.1</v>
      </c>
      <c r="BH239" s="286">
        <f t="shared" si="415"/>
        <v>227.1</v>
      </c>
      <c r="BI239" s="373">
        <v>1</v>
      </c>
      <c r="BJ239" s="373">
        <f t="shared" si="369"/>
        <v>1</v>
      </c>
      <c r="BK239" s="312">
        <f t="shared" si="370"/>
        <v>1</v>
      </c>
      <c r="BL239" s="311">
        <f t="shared" si="423"/>
        <v>227.1</v>
      </c>
      <c r="BM239" s="309">
        <f t="shared" si="356"/>
        <v>0.6640350877192982</v>
      </c>
      <c r="BN239" s="309">
        <f t="shared" si="411"/>
        <v>1.2021597586152135</v>
      </c>
      <c r="BP239" s="328">
        <f t="shared" si="424"/>
        <v>8.1320354155647898</v>
      </c>
      <c r="BQ239" s="328">
        <f t="shared" si="425"/>
        <v>0.59210526315789469</v>
      </c>
      <c r="BR239" s="328">
        <f t="shared" si="426"/>
        <v>0.56838450174882038</v>
      </c>
      <c r="BS239" s="328">
        <f t="shared" si="427"/>
        <v>1.7282141967137878</v>
      </c>
      <c r="BT239" s="328">
        <f t="shared" si="428"/>
        <v>2</v>
      </c>
      <c r="BV239" s="328">
        <f t="shared" si="429"/>
        <v>0.5</v>
      </c>
      <c r="BW239" s="328">
        <f t="shared" si="430"/>
        <v>0.625</v>
      </c>
      <c r="BX239" s="373">
        <f t="shared" si="387"/>
        <v>0.89452389571212687</v>
      </c>
      <c r="BY239" s="311">
        <f t="shared" si="431"/>
        <v>207870.86893341894</v>
      </c>
      <c r="BZ239" s="311">
        <f t="shared" si="432"/>
        <v>291600</v>
      </c>
      <c r="CA239" s="311">
        <f t="shared" si="433"/>
        <v>222492.48896985268</v>
      </c>
      <c r="CB239" s="307">
        <f t="shared" si="434"/>
        <v>222.49248896985267</v>
      </c>
      <c r="CC239" s="309">
        <f t="shared" si="390"/>
        <v>0.65056283324518327</v>
      </c>
      <c r="CD239" s="379">
        <f t="shared" si="435"/>
        <v>1.0207086138119998</v>
      </c>
    </row>
    <row r="240" spans="1:82" x14ac:dyDescent="0.25">
      <c r="A240" s="373">
        <v>232</v>
      </c>
      <c r="B240" s="286" t="s">
        <v>954</v>
      </c>
      <c r="C240" s="286" t="s">
        <v>332</v>
      </c>
      <c r="D240" s="286" t="s">
        <v>598</v>
      </c>
      <c r="E240" s="286" t="s">
        <v>668</v>
      </c>
      <c r="F240" s="286" t="s">
        <v>485</v>
      </c>
      <c r="G240" s="286">
        <v>1800</v>
      </c>
      <c r="H240" s="286">
        <f t="shared" si="400"/>
        <v>900</v>
      </c>
      <c r="I240" s="286">
        <v>1800</v>
      </c>
      <c r="J240" s="393">
        <f t="shared" si="396"/>
        <v>3240000</v>
      </c>
      <c r="K240" s="286">
        <v>190</v>
      </c>
      <c r="L240" s="327">
        <f t="shared" si="416"/>
        <v>1440</v>
      </c>
      <c r="M240" s="393">
        <f t="shared" si="436"/>
        <v>1</v>
      </c>
      <c r="N240" s="393">
        <f t="shared" si="437"/>
        <v>0.5</v>
      </c>
      <c r="O240" s="393">
        <f t="shared" si="438"/>
        <v>0.5</v>
      </c>
      <c r="P240" s="393">
        <f t="shared" si="439"/>
        <v>188910</v>
      </c>
      <c r="Q240" s="393">
        <f t="shared" si="368"/>
        <v>342000</v>
      </c>
      <c r="R240" s="408">
        <f t="shared" ref="R240:R242" si="446">P240/Q240</f>
        <v>0.55236842105263162</v>
      </c>
      <c r="S240" s="286">
        <v>800</v>
      </c>
      <c r="T240" s="286">
        <v>800</v>
      </c>
      <c r="U240" s="286">
        <v>16.5</v>
      </c>
      <c r="V240" s="286">
        <v>5.7</v>
      </c>
      <c r="W240" s="385">
        <f t="shared" si="440"/>
        <v>5.7</v>
      </c>
      <c r="X240" s="286">
        <v>32.1</v>
      </c>
      <c r="Y240" s="385">
        <f t="shared" si="441"/>
        <v>32.1</v>
      </c>
      <c r="Z240" s="423" t="s">
        <v>413</v>
      </c>
      <c r="AA240" s="400">
        <v>8.5</v>
      </c>
      <c r="AB240" s="286">
        <v>20.399999999999999</v>
      </c>
      <c r="AC240" s="286">
        <v>5</v>
      </c>
      <c r="AD240" s="286">
        <f t="shared" si="417"/>
        <v>5.2105263157894735</v>
      </c>
      <c r="AE240" s="286">
        <v>5</v>
      </c>
      <c r="AF240" s="398">
        <v>1</v>
      </c>
      <c r="AG240" s="398">
        <f t="shared" si="442"/>
        <v>8.5</v>
      </c>
      <c r="AH240" s="398">
        <f t="shared" si="443"/>
        <v>20.399999999999999</v>
      </c>
      <c r="AI240" s="403">
        <f t="shared" si="418"/>
        <v>16.532499999999999</v>
      </c>
      <c r="AJ240" s="286" t="s">
        <v>798</v>
      </c>
      <c r="AK240" s="286" t="s">
        <v>798</v>
      </c>
      <c r="AL240" s="286">
        <v>200</v>
      </c>
      <c r="AM240" s="286">
        <f t="shared" si="444"/>
        <v>600</v>
      </c>
      <c r="AN240" s="306">
        <f t="shared" si="419"/>
        <v>2.1929824561403508E-3</v>
      </c>
      <c r="AO240" s="286">
        <v>450</v>
      </c>
      <c r="AP240" s="306">
        <f t="shared" si="420"/>
        <v>4.7368421052631575</v>
      </c>
      <c r="AQ240" s="286">
        <v>800</v>
      </c>
      <c r="AR240" s="286" t="s">
        <v>798</v>
      </c>
      <c r="AS240" s="286">
        <f t="shared" si="421"/>
        <v>600</v>
      </c>
      <c r="AT240" s="286" t="s">
        <v>413</v>
      </c>
      <c r="AU240" s="286">
        <v>0</v>
      </c>
      <c r="AV240" s="286">
        <v>200</v>
      </c>
      <c r="AW240" s="327">
        <f t="shared" si="407"/>
        <v>600</v>
      </c>
      <c r="AX240" s="306">
        <f t="shared" si="413"/>
        <v>1.3157894736842105E-3</v>
      </c>
      <c r="AY240" s="286">
        <v>450</v>
      </c>
      <c r="AZ240" s="393">
        <f t="shared" si="398"/>
        <v>0.59210526315789469</v>
      </c>
      <c r="BA240" s="286">
        <v>800</v>
      </c>
      <c r="BB240" s="393">
        <f t="shared" si="422"/>
        <v>684</v>
      </c>
      <c r="BC240" s="286">
        <v>2</v>
      </c>
      <c r="BD240" s="398">
        <f t="shared" si="445"/>
        <v>0.1209738394072282</v>
      </c>
      <c r="BE240" s="309">
        <f t="shared" si="409"/>
        <v>3.6207717960933778</v>
      </c>
      <c r="BF240" s="400">
        <v>250.7</v>
      </c>
      <c r="BG240" s="400">
        <v>254.1</v>
      </c>
      <c r="BH240" s="286">
        <f t="shared" si="415"/>
        <v>254.1</v>
      </c>
      <c r="BI240" s="373">
        <v>1</v>
      </c>
      <c r="BJ240" s="373">
        <f t="shared" si="369"/>
        <v>1</v>
      </c>
      <c r="BK240" s="312">
        <f t="shared" si="370"/>
        <v>1</v>
      </c>
      <c r="BL240" s="311">
        <f t="shared" si="423"/>
        <v>254.1</v>
      </c>
      <c r="BM240" s="309">
        <f t="shared" ref="BM240:BM300" si="447">BL240/(K240*I240)*1000</f>
        <v>0.74298245614035086</v>
      </c>
      <c r="BN240" s="309">
        <f t="shared" si="411"/>
        <v>1.3450849610925837</v>
      </c>
      <c r="BP240" s="328">
        <f t="shared" si="424"/>
        <v>8.1320354155647898</v>
      </c>
      <c r="BQ240" s="328">
        <f t="shared" si="425"/>
        <v>0.59210526315789469</v>
      </c>
      <c r="BR240" s="328">
        <f t="shared" si="426"/>
        <v>0.57745021730241286</v>
      </c>
      <c r="BS240" s="328">
        <f t="shared" si="427"/>
        <v>1.7282141967137878</v>
      </c>
      <c r="BT240" s="328">
        <f t="shared" si="428"/>
        <v>2</v>
      </c>
      <c r="BV240" s="328">
        <f t="shared" si="429"/>
        <v>0.5</v>
      </c>
      <c r="BW240" s="328">
        <f t="shared" si="430"/>
        <v>0.625</v>
      </c>
      <c r="BX240" s="373">
        <f t="shared" si="387"/>
        <v>0.89452389571212687</v>
      </c>
      <c r="BY240" s="311">
        <f t="shared" si="431"/>
        <v>207870.86893341894</v>
      </c>
      <c r="BZ240" s="311">
        <f t="shared" si="432"/>
        <v>291600</v>
      </c>
      <c r="CA240" s="311">
        <f t="shared" si="433"/>
        <v>222492.48896985268</v>
      </c>
      <c r="CB240" s="307">
        <f t="shared" si="434"/>
        <v>222.49248896985267</v>
      </c>
      <c r="CC240" s="309">
        <f t="shared" si="390"/>
        <v>0.65056283324518327</v>
      </c>
      <c r="CD240" s="379">
        <f t="shared" si="435"/>
        <v>1.142061024965342</v>
      </c>
    </row>
    <row r="241" spans="1:82" x14ac:dyDescent="0.25">
      <c r="A241" s="373">
        <v>233</v>
      </c>
      <c r="B241" s="286" t="s">
        <v>954</v>
      </c>
      <c r="C241" s="286" t="s">
        <v>959</v>
      </c>
      <c r="D241" s="286" t="s">
        <v>598</v>
      </c>
      <c r="E241" s="286" t="s">
        <v>668</v>
      </c>
      <c r="F241" s="286" t="s">
        <v>485</v>
      </c>
      <c r="G241" s="286">
        <v>1800</v>
      </c>
      <c r="H241" s="286">
        <f t="shared" si="400"/>
        <v>900</v>
      </c>
      <c r="I241" s="286">
        <v>1800</v>
      </c>
      <c r="J241" s="393">
        <f t="shared" si="396"/>
        <v>3240000</v>
      </c>
      <c r="K241" s="286">
        <v>190</v>
      </c>
      <c r="L241" s="327">
        <f t="shared" si="416"/>
        <v>1440</v>
      </c>
      <c r="M241" s="393">
        <f t="shared" si="436"/>
        <v>1</v>
      </c>
      <c r="N241" s="393">
        <f t="shared" si="437"/>
        <v>0.5</v>
      </c>
      <c r="O241" s="393">
        <f t="shared" si="438"/>
        <v>0.5</v>
      </c>
      <c r="P241" s="393">
        <f t="shared" si="439"/>
        <v>188910</v>
      </c>
      <c r="Q241" s="393">
        <f t="shared" si="368"/>
        <v>342000</v>
      </c>
      <c r="R241" s="408">
        <f t="shared" si="446"/>
        <v>0.55236842105263162</v>
      </c>
      <c r="S241" s="286">
        <v>800</v>
      </c>
      <c r="T241" s="286">
        <v>800</v>
      </c>
      <c r="U241" s="286">
        <v>16.5</v>
      </c>
      <c r="V241" s="286">
        <v>5.7</v>
      </c>
      <c r="W241" s="385">
        <f t="shared" si="440"/>
        <v>5.7</v>
      </c>
      <c r="X241" s="286">
        <v>33.1</v>
      </c>
      <c r="Y241" s="385">
        <f t="shared" si="441"/>
        <v>33.1</v>
      </c>
      <c r="Z241" s="423" t="s">
        <v>413</v>
      </c>
      <c r="AA241" s="400">
        <v>8.5</v>
      </c>
      <c r="AB241" s="286">
        <v>20.399999999999999</v>
      </c>
      <c r="AC241" s="286">
        <v>5</v>
      </c>
      <c r="AD241" s="286">
        <f t="shared" si="417"/>
        <v>5.2105263157894735</v>
      </c>
      <c r="AE241" s="286">
        <v>5</v>
      </c>
      <c r="AF241" s="398">
        <v>1</v>
      </c>
      <c r="AG241" s="398">
        <f t="shared" si="442"/>
        <v>8.5</v>
      </c>
      <c r="AH241" s="398">
        <f t="shared" si="443"/>
        <v>20.399999999999999</v>
      </c>
      <c r="AI241" s="403">
        <f t="shared" si="418"/>
        <v>16.532499999999999</v>
      </c>
      <c r="AJ241" s="286" t="s">
        <v>798</v>
      </c>
      <c r="AK241" s="286" t="s">
        <v>798</v>
      </c>
      <c r="AL241" s="286">
        <v>200</v>
      </c>
      <c r="AM241" s="286">
        <f t="shared" si="444"/>
        <v>600</v>
      </c>
      <c r="AN241" s="306">
        <f t="shared" si="419"/>
        <v>2.1929824561403508E-3</v>
      </c>
      <c r="AO241" s="286">
        <v>450</v>
      </c>
      <c r="AP241" s="306">
        <f t="shared" si="420"/>
        <v>4.7368421052631575</v>
      </c>
      <c r="AQ241" s="286">
        <v>800</v>
      </c>
      <c r="AR241" s="286" t="s">
        <v>798</v>
      </c>
      <c r="AS241" s="286">
        <f t="shared" si="421"/>
        <v>600</v>
      </c>
      <c r="AT241" s="286" t="s">
        <v>413</v>
      </c>
      <c r="AU241" s="286">
        <v>0</v>
      </c>
      <c r="AV241" s="286">
        <v>200</v>
      </c>
      <c r="AW241" s="327">
        <f t="shared" si="407"/>
        <v>600</v>
      </c>
      <c r="AX241" s="306">
        <f t="shared" si="413"/>
        <v>1.3157894736842105E-3</v>
      </c>
      <c r="AY241" s="286">
        <v>450</v>
      </c>
      <c r="AZ241" s="393">
        <f t="shared" si="398"/>
        <v>0.59210526315789469</v>
      </c>
      <c r="BA241" s="286">
        <v>800</v>
      </c>
      <c r="BB241" s="393">
        <f t="shared" si="422"/>
        <v>684</v>
      </c>
      <c r="BC241" s="286">
        <v>2</v>
      </c>
      <c r="BD241" s="398">
        <f t="shared" si="445"/>
        <v>0.1209738394072282</v>
      </c>
      <c r="BE241" s="309">
        <f t="shared" si="409"/>
        <v>3.6207717960933778</v>
      </c>
      <c r="BF241" s="400">
        <v>224.7</v>
      </c>
      <c r="BG241" s="400">
        <v>232.4</v>
      </c>
      <c r="BH241" s="286">
        <f t="shared" si="415"/>
        <v>232.4</v>
      </c>
      <c r="BI241" s="373">
        <v>1</v>
      </c>
      <c r="BJ241" s="373">
        <f t="shared" si="369"/>
        <v>1</v>
      </c>
      <c r="BK241" s="312">
        <f t="shared" si="370"/>
        <v>1</v>
      </c>
      <c r="BL241" s="311">
        <f t="shared" si="423"/>
        <v>232.4</v>
      </c>
      <c r="BM241" s="309">
        <f t="shared" si="447"/>
        <v>0.67953216374268999</v>
      </c>
      <c r="BN241" s="309">
        <f t="shared" si="411"/>
        <v>1.2302154465089197</v>
      </c>
      <c r="BP241" s="328">
        <f t="shared" si="424"/>
        <v>8.1320354155647898</v>
      </c>
      <c r="BQ241" s="328">
        <f t="shared" si="425"/>
        <v>0.59210526315789469</v>
      </c>
      <c r="BR241" s="328">
        <f t="shared" si="426"/>
        <v>0.58637578829361037</v>
      </c>
      <c r="BS241" s="328">
        <f t="shared" si="427"/>
        <v>1.7282141967137878</v>
      </c>
      <c r="BT241" s="328">
        <f t="shared" si="428"/>
        <v>2</v>
      </c>
      <c r="BV241" s="328">
        <f t="shared" si="429"/>
        <v>0.5</v>
      </c>
      <c r="BW241" s="328">
        <f t="shared" si="430"/>
        <v>0.625</v>
      </c>
      <c r="BX241" s="373">
        <f t="shared" si="387"/>
        <v>0.89452389571212687</v>
      </c>
      <c r="BY241" s="311">
        <f t="shared" si="431"/>
        <v>207870.86893341894</v>
      </c>
      <c r="BZ241" s="311">
        <f t="shared" si="432"/>
        <v>291600</v>
      </c>
      <c r="CA241" s="311">
        <f t="shared" si="433"/>
        <v>222492.48896985268</v>
      </c>
      <c r="CB241" s="307">
        <f t="shared" si="434"/>
        <v>222.49248896985267</v>
      </c>
      <c r="CC241" s="309">
        <f t="shared" si="390"/>
        <v>0.65056283324518327</v>
      </c>
      <c r="CD241" s="379">
        <f t="shared" si="435"/>
        <v>1.0445296426680264</v>
      </c>
    </row>
    <row r="242" spans="1:82" x14ac:dyDescent="0.25">
      <c r="A242" s="373">
        <v>234</v>
      </c>
      <c r="B242" s="286" t="s">
        <v>954</v>
      </c>
      <c r="C242" s="286" t="s">
        <v>333</v>
      </c>
      <c r="D242" s="286" t="s">
        <v>598</v>
      </c>
      <c r="E242" s="286" t="s">
        <v>668</v>
      </c>
      <c r="F242" s="286" t="s">
        <v>485</v>
      </c>
      <c r="G242" s="286">
        <v>1800</v>
      </c>
      <c r="H242" s="286">
        <f t="shared" si="400"/>
        <v>900</v>
      </c>
      <c r="I242" s="286">
        <v>1800</v>
      </c>
      <c r="J242" s="393">
        <f t="shared" si="396"/>
        <v>3240000</v>
      </c>
      <c r="K242" s="286">
        <v>190</v>
      </c>
      <c r="L242" s="327">
        <f t="shared" si="416"/>
        <v>1440</v>
      </c>
      <c r="M242" s="393">
        <f t="shared" si="436"/>
        <v>1</v>
      </c>
      <c r="N242" s="393">
        <f t="shared" si="437"/>
        <v>0.5</v>
      </c>
      <c r="O242" s="393">
        <f t="shared" si="438"/>
        <v>0.5</v>
      </c>
      <c r="P242" s="393">
        <f t="shared" si="439"/>
        <v>188910</v>
      </c>
      <c r="Q242" s="393">
        <f t="shared" si="368"/>
        <v>342000</v>
      </c>
      <c r="R242" s="408">
        <f t="shared" si="446"/>
        <v>0.55236842105263162</v>
      </c>
      <c r="S242" s="286">
        <v>800</v>
      </c>
      <c r="T242" s="286">
        <v>800</v>
      </c>
      <c r="U242" s="286">
        <v>16.5</v>
      </c>
      <c r="V242" s="286">
        <v>5.7</v>
      </c>
      <c r="W242" s="385">
        <f t="shared" si="440"/>
        <v>5.7</v>
      </c>
      <c r="X242" s="286">
        <v>34.1</v>
      </c>
      <c r="Y242" s="385">
        <f t="shared" si="441"/>
        <v>34.1</v>
      </c>
      <c r="Z242" s="423" t="s">
        <v>413</v>
      </c>
      <c r="AA242" s="400">
        <v>8.5</v>
      </c>
      <c r="AB242" s="286">
        <v>20.399999999999999</v>
      </c>
      <c r="AC242" s="286">
        <v>5</v>
      </c>
      <c r="AD242" s="286">
        <f t="shared" si="417"/>
        <v>5.2105263157894735</v>
      </c>
      <c r="AE242" s="286">
        <v>5</v>
      </c>
      <c r="AF242" s="398">
        <v>1</v>
      </c>
      <c r="AG242" s="398">
        <f t="shared" si="442"/>
        <v>8.5</v>
      </c>
      <c r="AH242" s="398">
        <f t="shared" si="443"/>
        <v>20.399999999999999</v>
      </c>
      <c r="AI242" s="403">
        <f t="shared" si="418"/>
        <v>16.532499999999999</v>
      </c>
      <c r="AJ242" s="286" t="s">
        <v>798</v>
      </c>
      <c r="AK242" s="286" t="s">
        <v>798</v>
      </c>
      <c r="AL242" s="286">
        <v>200</v>
      </c>
      <c r="AM242" s="286">
        <f t="shared" si="444"/>
        <v>600</v>
      </c>
      <c r="AN242" s="306">
        <f t="shared" si="419"/>
        <v>2.1929824561403508E-3</v>
      </c>
      <c r="AO242" s="286">
        <v>450</v>
      </c>
      <c r="AP242" s="306">
        <f t="shared" si="420"/>
        <v>4.7368421052631575</v>
      </c>
      <c r="AQ242" s="286">
        <v>800</v>
      </c>
      <c r="AR242" s="286" t="s">
        <v>798</v>
      </c>
      <c r="AS242" s="286">
        <f t="shared" si="421"/>
        <v>600</v>
      </c>
      <c r="AT242" s="286" t="s">
        <v>413</v>
      </c>
      <c r="AU242" s="286">
        <v>0</v>
      </c>
      <c r="AV242" s="286">
        <v>200</v>
      </c>
      <c r="AW242" s="327">
        <f t="shared" si="407"/>
        <v>600</v>
      </c>
      <c r="AX242" s="306">
        <f t="shared" si="413"/>
        <v>1.3157894736842105E-3</v>
      </c>
      <c r="AY242" s="286">
        <v>450</v>
      </c>
      <c r="AZ242" s="393">
        <f t="shared" si="398"/>
        <v>0.59210526315789469</v>
      </c>
      <c r="BA242" s="286">
        <v>800</v>
      </c>
      <c r="BB242" s="393">
        <f t="shared" si="422"/>
        <v>684</v>
      </c>
      <c r="BC242" s="286">
        <v>2</v>
      </c>
      <c r="BD242" s="398">
        <f t="shared" si="445"/>
        <v>0.1209738394072282</v>
      </c>
      <c r="BE242" s="309">
        <f t="shared" si="409"/>
        <v>3.6207717960933778</v>
      </c>
      <c r="BF242" s="400">
        <v>233.5</v>
      </c>
      <c r="BG242" s="400">
        <v>251.4</v>
      </c>
      <c r="BH242" s="286">
        <f t="shared" si="415"/>
        <v>251.4</v>
      </c>
      <c r="BI242" s="373">
        <v>1</v>
      </c>
      <c r="BJ242" s="373">
        <f t="shared" si="369"/>
        <v>1</v>
      </c>
      <c r="BK242" s="312">
        <f t="shared" si="370"/>
        <v>1</v>
      </c>
      <c r="BL242" s="311">
        <f t="shared" si="423"/>
        <v>251.4</v>
      </c>
      <c r="BM242" s="309">
        <f t="shared" si="447"/>
        <v>0.73508771929824557</v>
      </c>
      <c r="BN242" s="309">
        <f t="shared" si="411"/>
        <v>1.3307924408448468</v>
      </c>
      <c r="BP242" s="328">
        <f t="shared" si="424"/>
        <v>8.1320354155647898</v>
      </c>
      <c r="BQ242" s="328">
        <f t="shared" si="425"/>
        <v>0.59210526315789469</v>
      </c>
      <c r="BR242" s="328">
        <f t="shared" si="426"/>
        <v>0.5951675198894022</v>
      </c>
      <c r="BS242" s="328">
        <f t="shared" si="427"/>
        <v>1.7282141967137878</v>
      </c>
      <c r="BT242" s="328">
        <f t="shared" si="428"/>
        <v>2</v>
      </c>
      <c r="BV242" s="328">
        <f t="shared" si="429"/>
        <v>0.5</v>
      </c>
      <c r="BW242" s="328">
        <f t="shared" si="430"/>
        <v>0.625</v>
      </c>
      <c r="BX242" s="373">
        <f t="shared" si="387"/>
        <v>0.89452389571212687</v>
      </c>
      <c r="BY242" s="311">
        <f t="shared" si="431"/>
        <v>207870.86893341894</v>
      </c>
      <c r="BZ242" s="311">
        <f t="shared" si="432"/>
        <v>291600</v>
      </c>
      <c r="CA242" s="311">
        <f t="shared" si="433"/>
        <v>222492.48896985268</v>
      </c>
      <c r="CB242" s="307">
        <f t="shared" si="434"/>
        <v>222.49248896985267</v>
      </c>
      <c r="CC242" s="309">
        <f t="shared" si="390"/>
        <v>0.65056283324518327</v>
      </c>
      <c r="CD242" s="379">
        <f t="shared" si="435"/>
        <v>1.1299257838500079</v>
      </c>
    </row>
    <row r="243" spans="1:82" x14ac:dyDescent="0.25">
      <c r="A243" s="373">
        <v>235</v>
      </c>
      <c r="B243" s="286" t="s">
        <v>954</v>
      </c>
      <c r="C243" s="286" t="s">
        <v>960</v>
      </c>
      <c r="D243" s="286" t="s">
        <v>598</v>
      </c>
      <c r="E243" s="286" t="s">
        <v>668</v>
      </c>
      <c r="F243" s="286" t="s">
        <v>485</v>
      </c>
      <c r="G243" s="286">
        <v>1800</v>
      </c>
      <c r="H243" s="286">
        <f t="shared" si="400"/>
        <v>900</v>
      </c>
      <c r="I243" s="286">
        <v>1800</v>
      </c>
      <c r="J243" s="393">
        <f t="shared" si="396"/>
        <v>3240000</v>
      </c>
      <c r="K243" s="286">
        <v>190</v>
      </c>
      <c r="L243" s="327">
        <f t="shared" si="416"/>
        <v>1440</v>
      </c>
      <c r="M243" s="393">
        <f t="shared" si="436"/>
        <v>1</v>
      </c>
      <c r="N243" s="393">
        <f t="shared" si="437"/>
        <v>0.5</v>
      </c>
      <c r="O243" s="393">
        <f t="shared" si="438"/>
        <v>0.5</v>
      </c>
      <c r="P243" s="393">
        <f t="shared" si="439"/>
        <v>188910</v>
      </c>
      <c r="Q243" s="393">
        <f t="shared" ref="Q243:Q246" si="448">K243*I243</f>
        <v>342000</v>
      </c>
      <c r="R243" s="408">
        <f t="shared" ref="R243:R246" si="449">P243/Q243</f>
        <v>0.55236842105263162</v>
      </c>
      <c r="S243" s="286">
        <v>800</v>
      </c>
      <c r="T243" s="286">
        <v>800</v>
      </c>
      <c r="U243" s="286">
        <v>16.5</v>
      </c>
      <c r="V243" s="286">
        <v>5.7</v>
      </c>
      <c r="W243" s="385">
        <f t="shared" si="440"/>
        <v>5.7</v>
      </c>
      <c r="X243" s="286">
        <v>35.1</v>
      </c>
      <c r="Y243" s="385">
        <f t="shared" si="441"/>
        <v>35.1</v>
      </c>
      <c r="Z243" s="423" t="s">
        <v>413</v>
      </c>
      <c r="AA243" s="400">
        <v>8.5</v>
      </c>
      <c r="AB243" s="286">
        <v>20.399999999999999</v>
      </c>
      <c r="AC243" s="286">
        <v>5</v>
      </c>
      <c r="AD243" s="286">
        <f t="shared" si="417"/>
        <v>5.2105263157894735</v>
      </c>
      <c r="AE243" s="286">
        <v>5</v>
      </c>
      <c r="AF243" s="398">
        <v>1</v>
      </c>
      <c r="AG243" s="398">
        <f t="shared" si="442"/>
        <v>8.5</v>
      </c>
      <c r="AH243" s="398">
        <f t="shared" si="443"/>
        <v>20.399999999999999</v>
      </c>
      <c r="AI243" s="403">
        <f t="shared" si="418"/>
        <v>16.532499999999999</v>
      </c>
      <c r="AJ243" s="286" t="s">
        <v>798</v>
      </c>
      <c r="AK243" s="286" t="s">
        <v>798</v>
      </c>
      <c r="AL243" s="286">
        <v>200</v>
      </c>
      <c r="AM243" s="286">
        <f t="shared" si="444"/>
        <v>600</v>
      </c>
      <c r="AN243" s="306">
        <f t="shared" si="419"/>
        <v>2.1929824561403508E-3</v>
      </c>
      <c r="AO243" s="286">
        <v>450</v>
      </c>
      <c r="AP243" s="306">
        <f t="shared" si="420"/>
        <v>4.7368421052631575</v>
      </c>
      <c r="AQ243" s="286">
        <v>800</v>
      </c>
      <c r="AR243" s="286" t="s">
        <v>798</v>
      </c>
      <c r="AS243" s="286">
        <f t="shared" si="421"/>
        <v>600</v>
      </c>
      <c r="AT243" s="286" t="s">
        <v>413</v>
      </c>
      <c r="AU243" s="286">
        <v>0</v>
      </c>
      <c r="AV243" s="286">
        <v>200</v>
      </c>
      <c r="AW243" s="327">
        <f t="shared" si="407"/>
        <v>600</v>
      </c>
      <c r="AX243" s="306">
        <f t="shared" si="413"/>
        <v>1.3157894736842105E-3</v>
      </c>
      <c r="AY243" s="286">
        <v>450</v>
      </c>
      <c r="AZ243" s="393">
        <f t="shared" si="398"/>
        <v>0.59210526315789469</v>
      </c>
      <c r="BA243" s="286">
        <v>800</v>
      </c>
      <c r="BB243" s="393">
        <f t="shared" si="422"/>
        <v>684</v>
      </c>
      <c r="BC243" s="286">
        <v>2</v>
      </c>
      <c r="BD243" s="398">
        <f t="shared" si="445"/>
        <v>0.1209738394072282</v>
      </c>
      <c r="BE243" s="309">
        <f t="shared" si="409"/>
        <v>3.6207717960933778</v>
      </c>
      <c r="BF243" s="400">
        <v>225.6</v>
      </c>
      <c r="BG243" s="400">
        <v>246.3</v>
      </c>
      <c r="BH243" s="286">
        <f t="shared" si="415"/>
        <v>246.3</v>
      </c>
      <c r="BI243" s="373">
        <v>1</v>
      </c>
      <c r="BJ243" s="373">
        <f t="shared" si="369"/>
        <v>1</v>
      </c>
      <c r="BK243" s="312">
        <f t="shared" si="370"/>
        <v>1</v>
      </c>
      <c r="BL243" s="311">
        <f t="shared" si="423"/>
        <v>246.3</v>
      </c>
      <c r="BM243" s="309">
        <f t="shared" si="447"/>
        <v>0.72017543859649125</v>
      </c>
      <c r="BN243" s="309">
        <f t="shared" si="411"/>
        <v>1.3037954581546769</v>
      </c>
      <c r="BP243" s="328">
        <f t="shared" si="424"/>
        <v>8.1320354155647898</v>
      </c>
      <c r="BQ243" s="328">
        <f t="shared" si="425"/>
        <v>0.59210526315789469</v>
      </c>
      <c r="BR243" s="328">
        <f t="shared" si="426"/>
        <v>0.60383125818861927</v>
      </c>
      <c r="BS243" s="328">
        <f t="shared" si="427"/>
        <v>1.7282141967137878</v>
      </c>
      <c r="BT243" s="328">
        <f t="shared" si="428"/>
        <v>2</v>
      </c>
      <c r="BV243" s="328">
        <f t="shared" si="429"/>
        <v>0.5</v>
      </c>
      <c r="BW243" s="328">
        <f t="shared" si="430"/>
        <v>0.625</v>
      </c>
      <c r="BX243" s="373">
        <f t="shared" si="387"/>
        <v>0.89452389571212687</v>
      </c>
      <c r="BY243" s="311">
        <f t="shared" si="431"/>
        <v>207870.86893341894</v>
      </c>
      <c r="BZ243" s="311">
        <f t="shared" si="432"/>
        <v>291600</v>
      </c>
      <c r="CA243" s="311">
        <f t="shared" si="433"/>
        <v>222492.48896985268</v>
      </c>
      <c r="CB243" s="307">
        <f t="shared" si="434"/>
        <v>222.49248896985267</v>
      </c>
      <c r="CC243" s="309">
        <f t="shared" si="390"/>
        <v>0.65056283324518327</v>
      </c>
      <c r="CD243" s="379">
        <f t="shared" si="435"/>
        <v>1.1070036617432655</v>
      </c>
    </row>
    <row r="244" spans="1:82" x14ac:dyDescent="0.25">
      <c r="A244" s="373">
        <v>236</v>
      </c>
      <c r="B244" s="286" t="s">
        <v>954</v>
      </c>
      <c r="C244" s="286" t="s">
        <v>980</v>
      </c>
      <c r="D244" s="286" t="s">
        <v>598</v>
      </c>
      <c r="E244" s="286" t="s">
        <v>668</v>
      </c>
      <c r="F244" s="286" t="s">
        <v>485</v>
      </c>
      <c r="G244" s="286">
        <v>1800</v>
      </c>
      <c r="H244" s="286">
        <f t="shared" ref="H244" si="450">IF(F244="Cantilever",G244,0.5*G244)</f>
        <v>900</v>
      </c>
      <c r="I244" s="286">
        <v>1800</v>
      </c>
      <c r="J244" s="393">
        <f t="shared" ref="J244" si="451">I244*G244</f>
        <v>3240000</v>
      </c>
      <c r="K244" s="286">
        <v>190</v>
      </c>
      <c r="L244" s="327">
        <f t="shared" ref="L244" si="452">0.8*I244</f>
        <v>1440</v>
      </c>
      <c r="M244" s="393">
        <f t="shared" ref="M244" si="453">G244/I244</f>
        <v>1</v>
      </c>
      <c r="N244" s="393">
        <f t="shared" ref="N244" si="454">O244</f>
        <v>0.5</v>
      </c>
      <c r="O244" s="393">
        <f t="shared" ref="O244" si="455">H244/I244</f>
        <v>0.5</v>
      </c>
      <c r="P244" s="393">
        <f t="shared" ref="P244" si="456">(3*390/2*K244)+(I244-3*390/2)*(32)*2</f>
        <v>188910</v>
      </c>
      <c r="Q244" s="393">
        <f t="shared" ref="Q244" si="457">K244*I244</f>
        <v>342000</v>
      </c>
      <c r="R244" s="408">
        <f t="shared" ref="R244" si="458">P244/Q244</f>
        <v>0.55236842105263162</v>
      </c>
      <c r="S244" s="286">
        <v>800</v>
      </c>
      <c r="T244" s="286">
        <v>800</v>
      </c>
      <c r="U244" s="286">
        <v>16.5</v>
      </c>
      <c r="V244" s="286">
        <v>5.7</v>
      </c>
      <c r="W244" s="385">
        <f t="shared" ref="W244" si="459">IF(V244="-",0,V244)</f>
        <v>5.7</v>
      </c>
      <c r="X244" s="286">
        <v>35.1</v>
      </c>
      <c r="Y244" s="385">
        <f t="shared" ref="Y244" si="460">IF(X244="-",0,X244)</f>
        <v>35.1</v>
      </c>
      <c r="Z244" s="423" t="s">
        <v>413</v>
      </c>
      <c r="AA244" s="400">
        <v>8.5</v>
      </c>
      <c r="AB244" s="286">
        <v>20.399999999999999</v>
      </c>
      <c r="AC244" s="286">
        <v>5</v>
      </c>
      <c r="AD244" s="286">
        <f t="shared" si="417"/>
        <v>5.2105263157894735</v>
      </c>
      <c r="AE244" s="286">
        <v>5</v>
      </c>
      <c r="AF244" s="398">
        <v>1</v>
      </c>
      <c r="AG244" s="398">
        <f t="shared" ref="AG244" si="461">AF244*AA244</f>
        <v>8.5</v>
      </c>
      <c r="AH244" s="398">
        <f t="shared" ref="AH244" si="462">AF244*AB244</f>
        <v>20.399999999999999</v>
      </c>
      <c r="AI244" s="403">
        <f t="shared" si="418"/>
        <v>16.532499999999999</v>
      </c>
      <c r="AJ244" s="286" t="s">
        <v>798</v>
      </c>
      <c r="AK244" s="286" t="s">
        <v>798</v>
      </c>
      <c r="AL244" s="286">
        <v>200</v>
      </c>
      <c r="AM244" s="286">
        <f t="shared" ref="AM244" si="463">3*AL244</f>
        <v>600</v>
      </c>
      <c r="AN244" s="306">
        <f t="shared" si="419"/>
        <v>2.1929824561403508E-3</v>
      </c>
      <c r="AO244" s="286">
        <v>450</v>
      </c>
      <c r="AP244" s="306">
        <f t="shared" si="420"/>
        <v>4.7368421052631575</v>
      </c>
      <c r="AQ244" s="286">
        <v>800</v>
      </c>
      <c r="AR244" s="286" t="s">
        <v>798</v>
      </c>
      <c r="AS244" s="286">
        <f t="shared" ref="AS244" si="464">3*AV244</f>
        <v>600</v>
      </c>
      <c r="AT244" s="286" t="s">
        <v>413</v>
      </c>
      <c r="AU244" s="286">
        <v>0</v>
      </c>
      <c r="AV244" s="286">
        <v>200</v>
      </c>
      <c r="AW244" s="327">
        <f t="shared" ref="AW244" si="465">AS244+AU244</f>
        <v>600</v>
      </c>
      <c r="AX244" s="306">
        <f t="shared" si="413"/>
        <v>1.3157894736842105E-3</v>
      </c>
      <c r="AY244" s="286">
        <v>450</v>
      </c>
      <c r="AZ244" s="393">
        <f t="shared" ref="AZ244" si="466">AX244*AY244</f>
        <v>0.59210526315789469</v>
      </c>
      <c r="BA244" s="286">
        <v>800</v>
      </c>
      <c r="BB244" s="393">
        <f t="shared" si="422"/>
        <v>684</v>
      </c>
      <c r="BC244" s="286">
        <v>2</v>
      </c>
      <c r="BD244" s="398">
        <f t="shared" ref="BD244" si="467">BC244/AI244</f>
        <v>0.1209738394072282</v>
      </c>
      <c r="BE244" s="309">
        <f t="shared" si="409"/>
        <v>3.6207717960933778</v>
      </c>
      <c r="BF244" s="400">
        <v>160.1</v>
      </c>
      <c r="BG244" s="400">
        <v>168.6</v>
      </c>
      <c r="BH244" s="286">
        <f t="shared" si="415"/>
        <v>168.6</v>
      </c>
      <c r="BI244" s="373">
        <v>1</v>
      </c>
      <c r="BJ244" s="373">
        <f t="shared" si="369"/>
        <v>1</v>
      </c>
      <c r="BK244" s="312">
        <f t="shared" si="370"/>
        <v>1</v>
      </c>
      <c r="BL244" s="311">
        <f t="shared" si="423"/>
        <v>168.6</v>
      </c>
      <c r="BM244" s="309">
        <f t="shared" si="447"/>
        <v>0.49298245614035086</v>
      </c>
      <c r="BN244" s="309">
        <f t="shared" si="411"/>
        <v>0.89248848658091151</v>
      </c>
      <c r="BP244" s="328">
        <f t="shared" si="424"/>
        <v>8.1320354155647898</v>
      </c>
      <c r="BQ244" s="328">
        <f t="shared" si="425"/>
        <v>0.59210526315789469</v>
      </c>
      <c r="BR244" s="328">
        <f t="shared" si="426"/>
        <v>0.60383125818861927</v>
      </c>
      <c r="BS244" s="328">
        <f t="shared" si="427"/>
        <v>1.7282141967137878</v>
      </c>
      <c r="BT244" s="328">
        <f t="shared" si="428"/>
        <v>2</v>
      </c>
      <c r="BV244" s="328">
        <f t="shared" si="429"/>
        <v>0.5</v>
      </c>
      <c r="BW244" s="328">
        <f t="shared" si="430"/>
        <v>0.625</v>
      </c>
      <c r="BX244" s="373">
        <f t="shared" si="387"/>
        <v>0.89452389571212687</v>
      </c>
      <c r="BY244" s="311">
        <f t="shared" si="431"/>
        <v>207870.86893341894</v>
      </c>
      <c r="BZ244" s="311">
        <f t="shared" si="432"/>
        <v>291600</v>
      </c>
      <c r="CA244" s="311">
        <f t="shared" si="433"/>
        <v>222492.48896985268</v>
      </c>
      <c r="CB244" s="307">
        <f t="shared" si="434"/>
        <v>222.49248896985267</v>
      </c>
      <c r="CC244" s="309">
        <f t="shared" si="390"/>
        <v>0.65056283324518327</v>
      </c>
      <c r="CD244" s="379">
        <f t="shared" si="435"/>
        <v>0.7577783896464253</v>
      </c>
    </row>
    <row r="245" spans="1:82" x14ac:dyDescent="0.25">
      <c r="A245" s="373">
        <v>237</v>
      </c>
      <c r="B245" s="286" t="s">
        <v>954</v>
      </c>
      <c r="C245" s="286" t="s">
        <v>334</v>
      </c>
      <c r="D245" s="286" t="s">
        <v>598</v>
      </c>
      <c r="E245" s="286" t="s">
        <v>668</v>
      </c>
      <c r="F245" s="286" t="s">
        <v>485</v>
      </c>
      <c r="G245" s="286">
        <v>1800</v>
      </c>
      <c r="H245" s="286">
        <f t="shared" si="400"/>
        <v>900</v>
      </c>
      <c r="I245" s="286">
        <v>1800</v>
      </c>
      <c r="J245" s="393">
        <f t="shared" si="396"/>
        <v>3240000</v>
      </c>
      <c r="K245" s="286">
        <v>190</v>
      </c>
      <c r="L245" s="327">
        <f t="shared" si="416"/>
        <v>1440</v>
      </c>
      <c r="M245" s="393">
        <f t="shared" si="436"/>
        <v>1</v>
      </c>
      <c r="N245" s="393">
        <f t="shared" si="437"/>
        <v>0.5</v>
      </c>
      <c r="O245" s="393">
        <f t="shared" si="438"/>
        <v>0.5</v>
      </c>
      <c r="P245" s="393">
        <f t="shared" si="439"/>
        <v>188910</v>
      </c>
      <c r="Q245" s="393">
        <f t="shared" si="448"/>
        <v>342000</v>
      </c>
      <c r="R245" s="408">
        <f t="shared" si="449"/>
        <v>0.55236842105263162</v>
      </c>
      <c r="S245" s="286">
        <v>800</v>
      </c>
      <c r="T245" s="286">
        <v>800</v>
      </c>
      <c r="U245" s="286">
        <v>16.5</v>
      </c>
      <c r="V245" s="286">
        <v>5.7</v>
      </c>
      <c r="W245" s="385">
        <f t="shared" si="440"/>
        <v>5.7</v>
      </c>
      <c r="X245" s="286">
        <v>36.1</v>
      </c>
      <c r="Y245" s="385">
        <f t="shared" si="441"/>
        <v>36.1</v>
      </c>
      <c r="Z245" s="423" t="s">
        <v>413</v>
      </c>
      <c r="AA245" s="400">
        <v>8.5</v>
      </c>
      <c r="AB245" s="286">
        <v>20.399999999999999</v>
      </c>
      <c r="AC245" s="286">
        <v>5</v>
      </c>
      <c r="AD245" s="286">
        <f t="shared" si="417"/>
        <v>5.2105263157894735</v>
      </c>
      <c r="AE245" s="286">
        <v>5</v>
      </c>
      <c r="AF245" s="398">
        <v>1</v>
      </c>
      <c r="AG245" s="398">
        <f t="shared" si="442"/>
        <v>8.5</v>
      </c>
      <c r="AH245" s="398">
        <f t="shared" si="443"/>
        <v>20.399999999999999</v>
      </c>
      <c r="AI245" s="403">
        <f t="shared" si="418"/>
        <v>16.532499999999999</v>
      </c>
      <c r="AJ245" s="286" t="s">
        <v>798</v>
      </c>
      <c r="AK245" s="286" t="s">
        <v>798</v>
      </c>
      <c r="AL245" s="286">
        <v>200</v>
      </c>
      <c r="AM245" s="286">
        <f t="shared" si="444"/>
        <v>600</v>
      </c>
      <c r="AN245" s="306">
        <f t="shared" si="419"/>
        <v>2.1929824561403508E-3</v>
      </c>
      <c r="AO245" s="286">
        <v>450</v>
      </c>
      <c r="AP245" s="306">
        <f t="shared" si="420"/>
        <v>4.7368421052631575</v>
      </c>
      <c r="AQ245" s="286">
        <v>800</v>
      </c>
      <c r="AR245" s="286" t="s">
        <v>798</v>
      </c>
      <c r="AS245" s="286">
        <f t="shared" si="421"/>
        <v>600</v>
      </c>
      <c r="AT245" s="286" t="s">
        <v>413</v>
      </c>
      <c r="AU245" s="286">
        <v>0</v>
      </c>
      <c r="AV245" s="286">
        <v>200</v>
      </c>
      <c r="AW245" s="327">
        <f t="shared" si="407"/>
        <v>600</v>
      </c>
      <c r="AX245" s="306">
        <f t="shared" si="413"/>
        <v>1.7543859649122807E-3</v>
      </c>
      <c r="AY245" s="286">
        <v>450</v>
      </c>
      <c r="AZ245" s="393">
        <f t="shared" si="398"/>
        <v>0.78947368421052633</v>
      </c>
      <c r="BA245" s="286">
        <v>600</v>
      </c>
      <c r="BB245" s="393">
        <f t="shared" si="422"/>
        <v>684</v>
      </c>
      <c r="BC245" s="286">
        <v>2</v>
      </c>
      <c r="BD245" s="398">
        <f t="shared" si="445"/>
        <v>0.1209738394072282</v>
      </c>
      <c r="BE245" s="309">
        <f t="shared" si="409"/>
        <v>3.6207717960933778</v>
      </c>
      <c r="BF245" s="400">
        <v>195</v>
      </c>
      <c r="BG245" s="400">
        <v>236.8</v>
      </c>
      <c r="BH245" s="286">
        <f>BG245</f>
        <v>236.8</v>
      </c>
      <c r="BI245" s="373">
        <v>1</v>
      </c>
      <c r="BJ245" s="373">
        <f t="shared" si="369"/>
        <v>1</v>
      </c>
      <c r="BK245" s="312">
        <f t="shared" si="370"/>
        <v>1</v>
      </c>
      <c r="BL245" s="311">
        <f t="shared" si="423"/>
        <v>236.8</v>
      </c>
      <c r="BM245" s="309">
        <f t="shared" si="447"/>
        <v>0.69239766081871357</v>
      </c>
      <c r="BN245" s="309">
        <f t="shared" si="411"/>
        <v>1.2535069609867133</v>
      </c>
      <c r="BP245" s="328">
        <f t="shared" si="424"/>
        <v>8.1320354155647898</v>
      </c>
      <c r="BQ245" s="328">
        <f t="shared" si="425"/>
        <v>0.78947368421052633</v>
      </c>
      <c r="BR245" s="328">
        <f t="shared" si="426"/>
        <v>0.61237243569579447</v>
      </c>
      <c r="BS245" s="328">
        <f t="shared" si="427"/>
        <v>1.9955698633800765</v>
      </c>
      <c r="BT245" s="328">
        <f t="shared" si="428"/>
        <v>2</v>
      </c>
      <c r="BV245" s="328">
        <f t="shared" si="429"/>
        <v>0.5</v>
      </c>
      <c r="BW245" s="328">
        <f t="shared" si="430"/>
        <v>0.625</v>
      </c>
      <c r="BX245" s="373">
        <f t="shared" si="387"/>
        <v>0.89452389571212687</v>
      </c>
      <c r="BY245" s="311">
        <f t="shared" si="431"/>
        <v>207870.86893341894</v>
      </c>
      <c r="BZ245" s="311">
        <f t="shared" si="432"/>
        <v>388800</v>
      </c>
      <c r="CA245" s="311">
        <f t="shared" si="433"/>
        <v>222492.48896985268</v>
      </c>
      <c r="CB245" s="307">
        <f t="shared" si="434"/>
        <v>222.49248896985267</v>
      </c>
      <c r="CC245" s="309">
        <f t="shared" si="390"/>
        <v>0.65056283324518327</v>
      </c>
      <c r="CD245" s="379">
        <f t="shared" si="435"/>
        <v>1.0643055911522747</v>
      </c>
    </row>
    <row r="246" spans="1:82" x14ac:dyDescent="0.25">
      <c r="A246" s="373">
        <v>238</v>
      </c>
      <c r="B246" s="286" t="s">
        <v>954</v>
      </c>
      <c r="C246" s="286" t="s">
        <v>961</v>
      </c>
      <c r="D246" s="286" t="s">
        <v>598</v>
      </c>
      <c r="E246" s="286" t="s">
        <v>668</v>
      </c>
      <c r="F246" s="286" t="s">
        <v>485</v>
      </c>
      <c r="G246" s="286">
        <v>1800</v>
      </c>
      <c r="H246" s="286">
        <f t="shared" si="400"/>
        <v>900</v>
      </c>
      <c r="I246" s="286">
        <v>1800</v>
      </c>
      <c r="J246" s="393">
        <f t="shared" si="396"/>
        <v>3240000</v>
      </c>
      <c r="K246" s="286">
        <v>190</v>
      </c>
      <c r="L246" s="327">
        <f t="shared" si="416"/>
        <v>1440</v>
      </c>
      <c r="M246" s="393">
        <f t="shared" si="436"/>
        <v>1</v>
      </c>
      <c r="N246" s="393">
        <f t="shared" si="437"/>
        <v>0.5</v>
      </c>
      <c r="O246" s="393">
        <f t="shared" si="438"/>
        <v>0.5</v>
      </c>
      <c r="P246" s="393">
        <f t="shared" si="439"/>
        <v>188910</v>
      </c>
      <c r="Q246" s="393">
        <f t="shared" si="448"/>
        <v>342000</v>
      </c>
      <c r="R246" s="408">
        <f t="shared" si="449"/>
        <v>0.55236842105263162</v>
      </c>
      <c r="S246" s="286">
        <v>800</v>
      </c>
      <c r="T246" s="286">
        <v>800</v>
      </c>
      <c r="U246" s="286">
        <v>16.5</v>
      </c>
      <c r="V246" s="286">
        <v>5.7</v>
      </c>
      <c r="W246" s="385">
        <f t="shared" si="440"/>
        <v>5.7</v>
      </c>
      <c r="X246" s="286">
        <v>37.1</v>
      </c>
      <c r="Y246" s="385">
        <f t="shared" si="441"/>
        <v>37.1</v>
      </c>
      <c r="Z246" s="423" t="s">
        <v>413</v>
      </c>
      <c r="AA246" s="400">
        <v>8.5</v>
      </c>
      <c r="AB246" s="286">
        <v>20.399999999999999</v>
      </c>
      <c r="AC246" s="286">
        <v>5</v>
      </c>
      <c r="AD246" s="286">
        <f t="shared" si="417"/>
        <v>5.2105263157894735</v>
      </c>
      <c r="AE246" s="286">
        <v>5</v>
      </c>
      <c r="AF246" s="398">
        <v>1</v>
      </c>
      <c r="AG246" s="398">
        <f t="shared" si="442"/>
        <v>8.5</v>
      </c>
      <c r="AH246" s="398">
        <f t="shared" si="443"/>
        <v>20.399999999999999</v>
      </c>
      <c r="AI246" s="403">
        <f t="shared" si="418"/>
        <v>16.532499999999999</v>
      </c>
      <c r="AJ246" s="286" t="s">
        <v>798</v>
      </c>
      <c r="AK246" s="286" t="s">
        <v>798</v>
      </c>
      <c r="AL246" s="286">
        <v>200</v>
      </c>
      <c r="AM246" s="286">
        <f t="shared" ref="AM246:AM247" si="468">3*AL246</f>
        <v>600</v>
      </c>
      <c r="AN246" s="306">
        <f t="shared" si="419"/>
        <v>2.1929824561403508E-3</v>
      </c>
      <c r="AO246" s="286">
        <v>450</v>
      </c>
      <c r="AP246" s="306">
        <f t="shared" si="420"/>
        <v>4.7368421052631575</v>
      </c>
      <c r="AQ246" s="286">
        <v>800</v>
      </c>
      <c r="AR246" s="286" t="s">
        <v>798</v>
      </c>
      <c r="AS246" s="286">
        <f t="shared" si="421"/>
        <v>600</v>
      </c>
      <c r="AT246" s="286" t="s">
        <v>413</v>
      </c>
      <c r="AU246" s="286">
        <v>0</v>
      </c>
      <c r="AV246" s="286">
        <v>200</v>
      </c>
      <c r="AW246" s="327">
        <f t="shared" si="407"/>
        <v>600</v>
      </c>
      <c r="AX246" s="306">
        <f t="shared" si="413"/>
        <v>1.7543859649122807E-3</v>
      </c>
      <c r="AY246" s="286">
        <v>450</v>
      </c>
      <c r="AZ246" s="393">
        <f t="shared" si="398"/>
        <v>0.78947368421052633</v>
      </c>
      <c r="BA246" s="286">
        <v>600</v>
      </c>
      <c r="BB246" s="393">
        <f t="shared" si="422"/>
        <v>684</v>
      </c>
      <c r="BC246" s="286">
        <v>2</v>
      </c>
      <c r="BD246" s="398">
        <f t="shared" si="445"/>
        <v>0.1209738394072282</v>
      </c>
      <c r="BE246" s="309">
        <f t="shared" si="409"/>
        <v>3.6207717960933778</v>
      </c>
      <c r="BF246" s="400">
        <v>230.8</v>
      </c>
      <c r="BG246" s="400">
        <v>250.5</v>
      </c>
      <c r="BH246" s="286">
        <f t="shared" si="415"/>
        <v>250.5</v>
      </c>
      <c r="BI246" s="373">
        <v>1</v>
      </c>
      <c r="BJ246" s="373">
        <f t="shared" si="369"/>
        <v>1</v>
      </c>
      <c r="BK246" s="312">
        <f t="shared" si="370"/>
        <v>1</v>
      </c>
      <c r="BL246" s="311">
        <f t="shared" si="423"/>
        <v>250.5</v>
      </c>
      <c r="BM246" s="309">
        <f t="shared" si="447"/>
        <v>0.73245614035087725</v>
      </c>
      <c r="BN246" s="309">
        <f t="shared" si="411"/>
        <v>1.3260282674289343</v>
      </c>
      <c r="BP246" s="328">
        <f t="shared" si="424"/>
        <v>8.1320354155647898</v>
      </c>
      <c r="BQ246" s="328">
        <f t="shared" si="425"/>
        <v>0.78947368421052633</v>
      </c>
      <c r="BR246" s="328">
        <f t="shared" si="426"/>
        <v>0.62079611116239197</v>
      </c>
      <c r="BS246" s="328">
        <f t="shared" si="427"/>
        <v>1.9955698633800765</v>
      </c>
      <c r="BT246" s="328">
        <f t="shared" si="428"/>
        <v>2</v>
      </c>
      <c r="BV246" s="328">
        <f t="shared" si="429"/>
        <v>0.5</v>
      </c>
      <c r="BW246" s="328">
        <f t="shared" si="430"/>
        <v>0.625</v>
      </c>
      <c r="BX246" s="373">
        <f t="shared" si="387"/>
        <v>0.89452389571212687</v>
      </c>
      <c r="BY246" s="311">
        <f t="shared" si="431"/>
        <v>207870.86893341894</v>
      </c>
      <c r="BZ246" s="311">
        <f t="shared" si="432"/>
        <v>388800</v>
      </c>
      <c r="CA246" s="311">
        <f t="shared" si="433"/>
        <v>222492.48896985268</v>
      </c>
      <c r="CB246" s="307">
        <f t="shared" si="434"/>
        <v>222.49248896985267</v>
      </c>
      <c r="CC246" s="309">
        <f t="shared" si="390"/>
        <v>0.65056283324518327</v>
      </c>
      <c r="CD246" s="379">
        <f t="shared" si="435"/>
        <v>1.1258807034782297</v>
      </c>
    </row>
    <row r="247" spans="1:82" x14ac:dyDescent="0.25">
      <c r="A247" s="373">
        <v>239</v>
      </c>
      <c r="B247" s="286" t="s">
        <v>954</v>
      </c>
      <c r="C247" s="286" t="s">
        <v>981</v>
      </c>
      <c r="D247" s="286" t="s">
        <v>598</v>
      </c>
      <c r="E247" s="286" t="s">
        <v>668</v>
      </c>
      <c r="F247" s="286" t="s">
        <v>485</v>
      </c>
      <c r="G247" s="286">
        <v>1800</v>
      </c>
      <c r="H247" s="286">
        <f t="shared" ref="H247" si="469">IF(F247="Cantilever",G247,0.5*G247)</f>
        <v>900</v>
      </c>
      <c r="I247" s="286">
        <v>1800</v>
      </c>
      <c r="J247" s="393">
        <f t="shared" ref="J247" si="470">I247*G247</f>
        <v>3240000</v>
      </c>
      <c r="K247" s="286">
        <v>190</v>
      </c>
      <c r="L247" s="327">
        <f t="shared" ref="L247" si="471">0.8*I247</f>
        <v>1440</v>
      </c>
      <c r="M247" s="393">
        <f t="shared" ref="M247" si="472">G247/I247</f>
        <v>1</v>
      </c>
      <c r="N247" s="393">
        <f t="shared" ref="N247" si="473">O247</f>
        <v>0.5</v>
      </c>
      <c r="O247" s="393">
        <f t="shared" ref="O247" si="474">H247/I247</f>
        <v>0.5</v>
      </c>
      <c r="P247" s="393">
        <f t="shared" ref="P247" si="475">(3*390/2*K247)+(I247-3*390/2)*(32)*2</f>
        <v>188910</v>
      </c>
      <c r="Q247" s="393">
        <f t="shared" ref="Q247" si="476">K247*I247</f>
        <v>342000</v>
      </c>
      <c r="R247" s="408">
        <f t="shared" ref="R247" si="477">P247/Q247</f>
        <v>0.55236842105263162</v>
      </c>
      <c r="S247" s="286">
        <v>800</v>
      </c>
      <c r="T247" s="286">
        <v>800</v>
      </c>
      <c r="U247" s="286">
        <v>16.5</v>
      </c>
      <c r="V247" s="286">
        <v>5.7</v>
      </c>
      <c r="W247" s="385">
        <f t="shared" ref="W247" si="478">IF(V247="-",0,V247)</f>
        <v>5.7</v>
      </c>
      <c r="X247" s="286">
        <v>35.1</v>
      </c>
      <c r="Y247" s="385">
        <f t="shared" ref="Y247" si="479">IF(X247="-",0,X247)</f>
        <v>35.1</v>
      </c>
      <c r="Z247" s="423" t="s">
        <v>413</v>
      </c>
      <c r="AA247" s="400">
        <v>8.5</v>
      </c>
      <c r="AB247" s="286">
        <v>20.399999999999999</v>
      </c>
      <c r="AC247" s="286">
        <v>5</v>
      </c>
      <c r="AD247" s="286">
        <f t="shared" si="417"/>
        <v>5.2105263157894735</v>
      </c>
      <c r="AE247" s="286">
        <v>5</v>
      </c>
      <c r="AF247" s="398">
        <v>1</v>
      </c>
      <c r="AG247" s="398">
        <f t="shared" ref="AG247" si="480">AF247*AA247</f>
        <v>8.5</v>
      </c>
      <c r="AH247" s="398">
        <f t="shared" ref="AH247" si="481">AF247*AB247</f>
        <v>20.399999999999999</v>
      </c>
      <c r="AI247" s="403">
        <f t="shared" si="418"/>
        <v>16.532499999999999</v>
      </c>
      <c r="AJ247" s="286" t="s">
        <v>798</v>
      </c>
      <c r="AK247" s="286" t="s">
        <v>798</v>
      </c>
      <c r="AL247" s="286">
        <v>200</v>
      </c>
      <c r="AM247" s="286">
        <f t="shared" si="468"/>
        <v>600</v>
      </c>
      <c r="AN247" s="306">
        <f t="shared" si="419"/>
        <v>2.1929824561403508E-3</v>
      </c>
      <c r="AO247" s="286">
        <v>450</v>
      </c>
      <c r="AP247" s="306">
        <f t="shared" si="420"/>
        <v>4.7368421052631575</v>
      </c>
      <c r="AQ247" s="286">
        <v>800</v>
      </c>
      <c r="AR247" s="286" t="s">
        <v>798</v>
      </c>
      <c r="AS247" s="286">
        <f t="shared" ref="AS247" si="482">3*AV247</f>
        <v>600</v>
      </c>
      <c r="AT247" s="286" t="s">
        <v>413</v>
      </c>
      <c r="AU247" s="286">
        <v>0</v>
      </c>
      <c r="AV247" s="286">
        <v>200</v>
      </c>
      <c r="AW247" s="327">
        <f t="shared" ref="AW247" si="483">AS247+AU247</f>
        <v>600</v>
      </c>
      <c r="AX247" s="306">
        <f t="shared" si="413"/>
        <v>1.3157894736842105E-3</v>
      </c>
      <c r="AY247" s="286">
        <v>450</v>
      </c>
      <c r="AZ247" s="393">
        <f t="shared" ref="AZ247" si="484">AX247*AY247</f>
        <v>0.59210526315789469</v>
      </c>
      <c r="BA247" s="286">
        <v>800</v>
      </c>
      <c r="BB247" s="393">
        <f t="shared" si="422"/>
        <v>684</v>
      </c>
      <c r="BC247" s="286">
        <v>2</v>
      </c>
      <c r="BD247" s="398">
        <f t="shared" ref="BD247" si="485">BC247/AI247</f>
        <v>0.1209738394072282</v>
      </c>
      <c r="BE247" s="309">
        <f t="shared" si="409"/>
        <v>3.6207717960933778</v>
      </c>
      <c r="BF247" s="400">
        <v>186.7</v>
      </c>
      <c r="BG247" s="400">
        <v>194.6</v>
      </c>
      <c r="BH247" s="286">
        <f t="shared" si="415"/>
        <v>194.6</v>
      </c>
      <c r="BI247" s="373">
        <v>1</v>
      </c>
      <c r="BJ247" s="373">
        <f t="shared" si="369"/>
        <v>1</v>
      </c>
      <c r="BK247" s="312">
        <f t="shared" si="370"/>
        <v>1</v>
      </c>
      <c r="BL247" s="311">
        <f t="shared" si="423"/>
        <v>194.6</v>
      </c>
      <c r="BM247" s="309">
        <f t="shared" si="447"/>
        <v>0.5690058479532164</v>
      </c>
      <c r="BN247" s="309">
        <f t="shared" si="411"/>
        <v>1.0301201630406012</v>
      </c>
      <c r="BP247" s="328">
        <f t="shared" si="424"/>
        <v>8.1320354155647898</v>
      </c>
      <c r="BQ247" s="328">
        <f t="shared" si="425"/>
        <v>0.59210526315789469</v>
      </c>
      <c r="BR247" s="328">
        <f t="shared" si="426"/>
        <v>0.60383125818861927</v>
      </c>
      <c r="BS247" s="328">
        <f t="shared" si="427"/>
        <v>1.7282141967137878</v>
      </c>
      <c r="BT247" s="328">
        <f t="shared" si="428"/>
        <v>2</v>
      </c>
      <c r="BV247" s="328">
        <f t="shared" si="429"/>
        <v>0.5</v>
      </c>
      <c r="BW247" s="328">
        <f t="shared" si="430"/>
        <v>0.625</v>
      </c>
      <c r="BX247" s="373">
        <f t="shared" si="387"/>
        <v>0.89452389571212687</v>
      </c>
      <c r="BY247" s="311">
        <f t="shared" si="431"/>
        <v>207870.86893341894</v>
      </c>
      <c r="BZ247" s="311">
        <f t="shared" si="432"/>
        <v>291600</v>
      </c>
      <c r="CA247" s="311">
        <f t="shared" si="433"/>
        <v>222492.48896985268</v>
      </c>
      <c r="CB247" s="307">
        <f t="shared" si="434"/>
        <v>222.49248896985267</v>
      </c>
      <c r="CC247" s="309">
        <f t="shared" si="390"/>
        <v>0.65056283324518327</v>
      </c>
      <c r="CD247" s="379">
        <f t="shared" si="435"/>
        <v>0.87463626705334729</v>
      </c>
    </row>
    <row r="248" spans="1:82" x14ac:dyDescent="0.25">
      <c r="A248" s="373">
        <v>240</v>
      </c>
      <c r="B248" s="286" t="s">
        <v>954</v>
      </c>
      <c r="C248" s="286" t="s">
        <v>962</v>
      </c>
      <c r="D248" s="286" t="s">
        <v>598</v>
      </c>
      <c r="E248" s="286" t="s">
        <v>668</v>
      </c>
      <c r="F248" s="286" t="s">
        <v>485</v>
      </c>
      <c r="G248" s="286">
        <v>1800</v>
      </c>
      <c r="H248" s="286">
        <f t="shared" si="400"/>
        <v>900</v>
      </c>
      <c r="I248" s="286">
        <v>1800</v>
      </c>
      <c r="J248" s="393">
        <f t="shared" si="396"/>
        <v>3240000</v>
      </c>
      <c r="K248" s="286">
        <v>190</v>
      </c>
      <c r="L248" s="327">
        <f t="shared" si="416"/>
        <v>1440</v>
      </c>
      <c r="M248" s="393">
        <f t="shared" si="436"/>
        <v>1</v>
      </c>
      <c r="N248" s="393">
        <f t="shared" si="437"/>
        <v>0.5</v>
      </c>
      <c r="O248" s="393">
        <f t="shared" si="438"/>
        <v>0.5</v>
      </c>
      <c r="P248" s="393">
        <f t="shared" ref="P248:P251" si="486">(3*390/2*K248)+(I248-3*390/2)*(32)*2</f>
        <v>188910</v>
      </c>
      <c r="Q248" s="393">
        <f t="shared" ref="Q248:Q251" si="487">K248*I248</f>
        <v>342000</v>
      </c>
      <c r="R248" s="408">
        <f t="shared" ref="R248:R251" si="488">P248/Q248</f>
        <v>0.55236842105263162</v>
      </c>
      <c r="S248" s="286">
        <v>800</v>
      </c>
      <c r="T248" s="286">
        <v>600</v>
      </c>
      <c r="U248" s="286">
        <v>16.5</v>
      </c>
      <c r="V248" s="286">
        <v>5.7</v>
      </c>
      <c r="W248" s="385">
        <f t="shared" si="440"/>
        <v>5.7</v>
      </c>
      <c r="X248" s="286">
        <v>38.1</v>
      </c>
      <c r="Y248" s="385">
        <f t="shared" si="441"/>
        <v>38.1</v>
      </c>
      <c r="Z248" s="423" t="s">
        <v>413</v>
      </c>
      <c r="AA248" s="400">
        <v>8.5</v>
      </c>
      <c r="AB248" s="286">
        <v>20.399999999999999</v>
      </c>
      <c r="AC248" s="286">
        <v>5</v>
      </c>
      <c r="AD248" s="286">
        <f t="shared" si="417"/>
        <v>5.2105263157894735</v>
      </c>
      <c r="AE248" s="286">
        <v>5</v>
      </c>
      <c r="AF248" s="398">
        <v>1</v>
      </c>
      <c r="AG248" s="398">
        <f t="shared" si="442"/>
        <v>8.5</v>
      </c>
      <c r="AH248" s="398">
        <f t="shared" si="443"/>
        <v>20.399999999999999</v>
      </c>
      <c r="AI248" s="403">
        <f t="shared" si="418"/>
        <v>16.532499999999999</v>
      </c>
      <c r="AJ248" s="286" t="s">
        <v>977</v>
      </c>
      <c r="AK248" s="286" t="s">
        <v>977</v>
      </c>
      <c r="AL248" s="286">
        <v>200</v>
      </c>
      <c r="AM248" s="286">
        <f t="shared" si="444"/>
        <v>600</v>
      </c>
      <c r="AN248" s="306">
        <f t="shared" si="419"/>
        <v>2.1929824561403508E-3</v>
      </c>
      <c r="AO248" s="286">
        <v>450</v>
      </c>
      <c r="AP248" s="306">
        <f t="shared" si="420"/>
        <v>4.7368421052631575</v>
      </c>
      <c r="AQ248" s="286">
        <v>800</v>
      </c>
      <c r="AR248" s="286" t="s">
        <v>413</v>
      </c>
      <c r="AS248" s="286">
        <v>0</v>
      </c>
      <c r="AT248" s="286" t="s">
        <v>979</v>
      </c>
      <c r="AU248" s="286">
        <f>4*21.5</f>
        <v>86</v>
      </c>
      <c r="AV248" s="286">
        <v>21.5</v>
      </c>
      <c r="AW248" s="327">
        <f t="shared" si="407"/>
        <v>86</v>
      </c>
      <c r="AX248" s="306">
        <f t="shared" si="413"/>
        <v>2.8289473684210524E-4</v>
      </c>
      <c r="AY248" s="286">
        <v>520.79999999999995</v>
      </c>
      <c r="AZ248" s="393">
        <f t="shared" si="398"/>
        <v>0.1473315789473684</v>
      </c>
      <c r="BA248" s="286">
        <v>400</v>
      </c>
      <c r="BB248" s="393">
        <f t="shared" si="422"/>
        <v>684</v>
      </c>
      <c r="BC248" s="286">
        <v>2</v>
      </c>
      <c r="BD248" s="398">
        <f t="shared" si="445"/>
        <v>0.1209738394072282</v>
      </c>
      <c r="BE248" s="309">
        <f t="shared" si="409"/>
        <v>3.6207717960933778</v>
      </c>
      <c r="BF248" s="400">
        <v>204.9</v>
      </c>
      <c r="BG248" s="400">
        <v>208.1</v>
      </c>
      <c r="BH248" s="286">
        <f t="shared" si="415"/>
        <v>208.1</v>
      </c>
      <c r="BI248" s="373">
        <v>1</v>
      </c>
      <c r="BJ248" s="373">
        <f t="shared" si="369"/>
        <v>1</v>
      </c>
      <c r="BK248" s="312">
        <f t="shared" si="370"/>
        <v>1</v>
      </c>
      <c r="BL248" s="311">
        <f t="shared" si="423"/>
        <v>208.1</v>
      </c>
      <c r="BM248" s="309">
        <f t="shared" si="447"/>
        <v>0.60847953216374262</v>
      </c>
      <c r="BN248" s="309">
        <f t="shared" si="411"/>
        <v>1.1015827642792864</v>
      </c>
      <c r="BP248" s="328">
        <f t="shared" si="424"/>
        <v>8.1320354155647898</v>
      </c>
      <c r="BQ248" s="328">
        <f t="shared" si="425"/>
        <v>0.1473315789473684</v>
      </c>
      <c r="BR248" s="328">
        <f t="shared" si="426"/>
        <v>0.62910700462536417</v>
      </c>
      <c r="BS248" s="328">
        <f t="shared" si="427"/>
        <v>0.86207694218132036</v>
      </c>
      <c r="BT248" s="328">
        <f t="shared" si="428"/>
        <v>2</v>
      </c>
      <c r="BV248" s="328">
        <f t="shared" si="429"/>
        <v>0.5</v>
      </c>
      <c r="BW248" s="328">
        <f t="shared" si="430"/>
        <v>0.625</v>
      </c>
      <c r="BX248" s="373">
        <f t="shared" si="387"/>
        <v>0.89452389571212687</v>
      </c>
      <c r="BY248" s="311">
        <f t="shared" si="431"/>
        <v>207870.86893341894</v>
      </c>
      <c r="BZ248" s="311">
        <f t="shared" si="432"/>
        <v>96743.80799999999</v>
      </c>
      <c r="CA248" s="311">
        <f t="shared" si="433"/>
        <v>222492.48896985268</v>
      </c>
      <c r="CB248" s="307">
        <f t="shared" si="434"/>
        <v>222.49248896985267</v>
      </c>
      <c r="CC248" s="309">
        <f t="shared" si="390"/>
        <v>0.65056283324518327</v>
      </c>
      <c r="CD248" s="379">
        <f t="shared" si="435"/>
        <v>0.93531247263001838</v>
      </c>
    </row>
    <row r="249" spans="1:82" x14ac:dyDescent="0.25">
      <c r="A249" s="373">
        <v>241</v>
      </c>
      <c r="B249" s="286" t="s">
        <v>954</v>
      </c>
      <c r="C249" s="286" t="s">
        <v>963</v>
      </c>
      <c r="D249" s="286" t="s">
        <v>598</v>
      </c>
      <c r="E249" s="286" t="s">
        <v>668</v>
      </c>
      <c r="F249" s="286" t="s">
        <v>485</v>
      </c>
      <c r="G249" s="286">
        <v>1800</v>
      </c>
      <c r="H249" s="286">
        <f t="shared" si="400"/>
        <v>900</v>
      </c>
      <c r="I249" s="286">
        <v>1800</v>
      </c>
      <c r="J249" s="393">
        <f t="shared" si="396"/>
        <v>3240000</v>
      </c>
      <c r="K249" s="286">
        <v>190</v>
      </c>
      <c r="L249" s="327">
        <f t="shared" si="416"/>
        <v>1440</v>
      </c>
      <c r="M249" s="393">
        <f t="shared" si="436"/>
        <v>1</v>
      </c>
      <c r="N249" s="393">
        <f t="shared" si="437"/>
        <v>0.5</v>
      </c>
      <c r="O249" s="393">
        <f t="shared" si="438"/>
        <v>0.5</v>
      </c>
      <c r="P249" s="393">
        <f t="shared" si="486"/>
        <v>188910</v>
      </c>
      <c r="Q249" s="393">
        <f t="shared" si="487"/>
        <v>342000</v>
      </c>
      <c r="R249" s="408">
        <f t="shared" si="488"/>
        <v>0.55236842105263162</v>
      </c>
      <c r="S249" s="286">
        <v>800</v>
      </c>
      <c r="T249" s="286">
        <v>600</v>
      </c>
      <c r="U249" s="286">
        <v>16.5</v>
      </c>
      <c r="V249" s="286">
        <v>5.7</v>
      </c>
      <c r="W249" s="385">
        <f t="shared" si="440"/>
        <v>5.7</v>
      </c>
      <c r="X249" s="286">
        <v>39.1</v>
      </c>
      <c r="Y249" s="385">
        <f t="shared" si="441"/>
        <v>39.1</v>
      </c>
      <c r="Z249" s="423" t="s">
        <v>413</v>
      </c>
      <c r="AA249" s="400">
        <v>8.5</v>
      </c>
      <c r="AB249" s="286">
        <v>20.399999999999999</v>
      </c>
      <c r="AC249" s="286">
        <v>5</v>
      </c>
      <c r="AD249" s="286">
        <f t="shared" si="417"/>
        <v>5.2105263157894735</v>
      </c>
      <c r="AE249" s="286">
        <v>5</v>
      </c>
      <c r="AF249" s="398">
        <v>1</v>
      </c>
      <c r="AG249" s="398">
        <f t="shared" si="442"/>
        <v>8.5</v>
      </c>
      <c r="AH249" s="398">
        <f t="shared" si="443"/>
        <v>20.399999999999999</v>
      </c>
      <c r="AI249" s="403">
        <f t="shared" si="418"/>
        <v>16.532499999999999</v>
      </c>
      <c r="AJ249" s="286" t="s">
        <v>977</v>
      </c>
      <c r="AK249" s="286" t="s">
        <v>977</v>
      </c>
      <c r="AL249" s="286">
        <v>200</v>
      </c>
      <c r="AM249" s="286">
        <f t="shared" si="444"/>
        <v>600</v>
      </c>
      <c r="AN249" s="306">
        <f t="shared" si="419"/>
        <v>2.1929824561403508E-3</v>
      </c>
      <c r="AO249" s="286">
        <v>450</v>
      </c>
      <c r="AP249" s="306">
        <f t="shared" si="420"/>
        <v>4.7368421052631575</v>
      </c>
      <c r="AQ249" s="286">
        <v>800</v>
      </c>
      <c r="AR249" s="286" t="s">
        <v>413</v>
      </c>
      <c r="AS249" s="286">
        <v>0</v>
      </c>
      <c r="AT249" s="286" t="s">
        <v>979</v>
      </c>
      <c r="AU249" s="286">
        <f t="shared" ref="AU249:AU255" si="489">4*21.5</f>
        <v>86</v>
      </c>
      <c r="AV249" s="286">
        <v>21.5</v>
      </c>
      <c r="AW249" s="327">
        <f t="shared" si="407"/>
        <v>86</v>
      </c>
      <c r="AX249" s="306">
        <f t="shared" si="413"/>
        <v>2.8289473684210524E-4</v>
      </c>
      <c r="AY249" s="286">
        <v>520.79999999999995</v>
      </c>
      <c r="AZ249" s="393">
        <f t="shared" si="398"/>
        <v>0.1473315789473684</v>
      </c>
      <c r="BA249" s="286">
        <v>400</v>
      </c>
      <c r="BB249" s="393">
        <f t="shared" si="422"/>
        <v>684</v>
      </c>
      <c r="BC249" s="286">
        <v>2</v>
      </c>
      <c r="BD249" s="398">
        <f t="shared" si="445"/>
        <v>0.1209738394072282</v>
      </c>
      <c r="BE249" s="309">
        <f t="shared" si="409"/>
        <v>3.6207717960933778</v>
      </c>
      <c r="BF249" s="400">
        <v>208</v>
      </c>
      <c r="BG249" s="400">
        <v>218.5</v>
      </c>
      <c r="BH249" s="286">
        <f t="shared" si="415"/>
        <v>218.5</v>
      </c>
      <c r="BI249" s="373">
        <v>1</v>
      </c>
      <c r="BJ249" s="373">
        <f t="shared" si="369"/>
        <v>1</v>
      </c>
      <c r="BK249" s="312">
        <f t="shared" si="370"/>
        <v>1</v>
      </c>
      <c r="BL249" s="311">
        <f t="shared" si="423"/>
        <v>218.5</v>
      </c>
      <c r="BM249" s="309">
        <f t="shared" si="447"/>
        <v>0.63888888888888895</v>
      </c>
      <c r="BN249" s="309">
        <f t="shared" si="411"/>
        <v>1.1566354348631624</v>
      </c>
      <c r="BP249" s="328">
        <f t="shared" si="424"/>
        <v>8.1320354155647898</v>
      </c>
      <c r="BQ249" s="328">
        <f t="shared" si="425"/>
        <v>0.1473315789473684</v>
      </c>
      <c r="BR249" s="328">
        <f t="shared" si="426"/>
        <v>0.63730952833222809</v>
      </c>
      <c r="BS249" s="328">
        <f t="shared" si="427"/>
        <v>0.86207694218132036</v>
      </c>
      <c r="BT249" s="328">
        <f t="shared" si="428"/>
        <v>2</v>
      </c>
      <c r="BV249" s="328">
        <f t="shared" si="429"/>
        <v>0.5</v>
      </c>
      <c r="BW249" s="328">
        <f t="shared" si="430"/>
        <v>0.625</v>
      </c>
      <c r="BX249" s="373">
        <f t="shared" si="387"/>
        <v>0.89452389571212687</v>
      </c>
      <c r="BY249" s="311">
        <f t="shared" si="431"/>
        <v>207870.86893341894</v>
      </c>
      <c r="BZ249" s="311">
        <f t="shared" si="432"/>
        <v>96743.80799999999</v>
      </c>
      <c r="CA249" s="311">
        <f t="shared" si="433"/>
        <v>222492.48896985268</v>
      </c>
      <c r="CB249" s="307">
        <f t="shared" si="434"/>
        <v>222.49248896985267</v>
      </c>
      <c r="CC249" s="309">
        <f t="shared" si="390"/>
        <v>0.65056283324518327</v>
      </c>
      <c r="CD249" s="379">
        <f t="shared" si="435"/>
        <v>0.9820556235927872</v>
      </c>
    </row>
    <row r="250" spans="1:82" x14ac:dyDescent="0.25">
      <c r="A250" s="373">
        <v>242</v>
      </c>
      <c r="B250" s="286" t="s">
        <v>954</v>
      </c>
      <c r="C250" s="286" t="s">
        <v>964</v>
      </c>
      <c r="D250" s="286" t="s">
        <v>598</v>
      </c>
      <c r="E250" s="286" t="s">
        <v>668</v>
      </c>
      <c r="F250" s="286" t="s">
        <v>485</v>
      </c>
      <c r="G250" s="286">
        <v>1800</v>
      </c>
      <c r="H250" s="286">
        <f t="shared" si="400"/>
        <v>900</v>
      </c>
      <c r="I250" s="286">
        <v>1800</v>
      </c>
      <c r="J250" s="393">
        <f t="shared" si="396"/>
        <v>3240000</v>
      </c>
      <c r="K250" s="286">
        <v>190</v>
      </c>
      <c r="L250" s="327">
        <f t="shared" si="416"/>
        <v>1440</v>
      </c>
      <c r="M250" s="393">
        <f t="shared" si="436"/>
        <v>1</v>
      </c>
      <c r="N250" s="393">
        <f t="shared" si="437"/>
        <v>0.5</v>
      </c>
      <c r="O250" s="393">
        <f t="shared" si="438"/>
        <v>0.5</v>
      </c>
      <c r="P250" s="393">
        <f t="shared" si="486"/>
        <v>188910</v>
      </c>
      <c r="Q250" s="393">
        <f t="shared" si="487"/>
        <v>342000</v>
      </c>
      <c r="R250" s="408">
        <f t="shared" si="488"/>
        <v>0.55236842105263162</v>
      </c>
      <c r="S250" s="286">
        <v>800</v>
      </c>
      <c r="T250" s="286">
        <v>1800</v>
      </c>
      <c r="U250" s="286">
        <v>16.5</v>
      </c>
      <c r="V250" s="286">
        <v>5.7</v>
      </c>
      <c r="W250" s="385">
        <f t="shared" si="440"/>
        <v>5.7</v>
      </c>
      <c r="X250" s="286">
        <v>40.1</v>
      </c>
      <c r="Y250" s="385">
        <f t="shared" si="441"/>
        <v>40.1</v>
      </c>
      <c r="Z250" s="423" t="s">
        <v>413</v>
      </c>
      <c r="AA250" s="400">
        <v>8.5</v>
      </c>
      <c r="AB250" s="286">
        <v>20.399999999999999</v>
      </c>
      <c r="AC250" s="286">
        <v>5</v>
      </c>
      <c r="AD250" s="286">
        <f t="shared" si="417"/>
        <v>5.2105263157894735</v>
      </c>
      <c r="AE250" s="286">
        <v>5</v>
      </c>
      <c r="AF250" s="398">
        <v>1</v>
      </c>
      <c r="AG250" s="398">
        <f t="shared" si="442"/>
        <v>8.5</v>
      </c>
      <c r="AH250" s="398">
        <f t="shared" si="443"/>
        <v>20.399999999999999</v>
      </c>
      <c r="AI250" s="403">
        <f t="shared" si="418"/>
        <v>16.532499999999999</v>
      </c>
      <c r="AJ250" s="286" t="s">
        <v>978</v>
      </c>
      <c r="AK250" s="286" t="s">
        <v>978</v>
      </c>
      <c r="AL250" s="286">
        <v>200</v>
      </c>
      <c r="AM250" s="286">
        <f t="shared" si="444"/>
        <v>600</v>
      </c>
      <c r="AN250" s="306">
        <f t="shared" si="419"/>
        <v>2.1929824561403508E-3</v>
      </c>
      <c r="AO250" s="286">
        <v>450</v>
      </c>
      <c r="AP250" s="306">
        <f t="shared" si="420"/>
        <v>4.7368421052631575</v>
      </c>
      <c r="AQ250" s="286">
        <v>800</v>
      </c>
      <c r="AR250" s="286" t="s">
        <v>413</v>
      </c>
      <c r="AS250" s="286">
        <v>0</v>
      </c>
      <c r="AT250" s="286" t="s">
        <v>979</v>
      </c>
      <c r="AU250" s="286">
        <f t="shared" si="489"/>
        <v>86</v>
      </c>
      <c r="AV250" s="286">
        <v>21.5</v>
      </c>
      <c r="AW250" s="327">
        <f t="shared" si="407"/>
        <v>86</v>
      </c>
      <c r="AX250" s="306">
        <f t="shared" si="413"/>
        <v>2.8289473684210524E-4</v>
      </c>
      <c r="AY250" s="286">
        <v>520.79999999999995</v>
      </c>
      <c r="AZ250" s="393">
        <f t="shared" si="398"/>
        <v>0.1473315789473684</v>
      </c>
      <c r="BA250" s="286">
        <v>400</v>
      </c>
      <c r="BB250" s="393">
        <f t="shared" si="422"/>
        <v>684</v>
      </c>
      <c r="BC250" s="286">
        <v>2</v>
      </c>
      <c r="BD250" s="398">
        <f t="shared" si="445"/>
        <v>0.1209738394072282</v>
      </c>
      <c r="BE250" s="309">
        <f t="shared" si="409"/>
        <v>3.6207717960933778</v>
      </c>
      <c r="BF250" s="400">
        <v>202</v>
      </c>
      <c r="BG250" s="400">
        <v>204.9</v>
      </c>
      <c r="BH250" s="286">
        <f t="shared" si="415"/>
        <v>204.9</v>
      </c>
      <c r="BI250" s="373">
        <v>1</v>
      </c>
      <c r="BJ250" s="373">
        <f t="shared" si="369"/>
        <v>1</v>
      </c>
      <c r="BK250" s="312">
        <f t="shared" si="370"/>
        <v>1</v>
      </c>
      <c r="BL250" s="311">
        <f t="shared" si="423"/>
        <v>204.9</v>
      </c>
      <c r="BM250" s="309">
        <f t="shared" si="447"/>
        <v>0.59912280701754383</v>
      </c>
      <c r="BN250" s="309">
        <f t="shared" si="411"/>
        <v>1.0846434810227092</v>
      </c>
      <c r="BP250" s="328">
        <f t="shared" si="424"/>
        <v>8.1320354155647898</v>
      </c>
      <c r="BQ250" s="328">
        <f t="shared" si="425"/>
        <v>0.1473315789473684</v>
      </c>
      <c r="BR250" s="328">
        <f t="shared" si="426"/>
        <v>0.64540781412793269</v>
      </c>
      <c r="BS250" s="328">
        <f t="shared" si="427"/>
        <v>0.86207694218132036</v>
      </c>
      <c r="BT250" s="328">
        <f t="shared" si="428"/>
        <v>2</v>
      </c>
      <c r="BV250" s="328">
        <f t="shared" si="429"/>
        <v>0.5</v>
      </c>
      <c r="BW250" s="328">
        <f t="shared" si="430"/>
        <v>0.625</v>
      </c>
      <c r="BX250" s="373">
        <f t="shared" si="387"/>
        <v>0.89452389571212687</v>
      </c>
      <c r="BY250" s="311">
        <f t="shared" si="431"/>
        <v>207870.86893341894</v>
      </c>
      <c r="BZ250" s="311">
        <f t="shared" si="432"/>
        <v>96743.80799999999</v>
      </c>
      <c r="CA250" s="311">
        <f t="shared" si="433"/>
        <v>222492.48896985268</v>
      </c>
      <c r="CB250" s="307">
        <f t="shared" si="434"/>
        <v>222.49248896985267</v>
      </c>
      <c r="CC250" s="309">
        <f t="shared" si="390"/>
        <v>0.65056283324518327</v>
      </c>
      <c r="CD250" s="379">
        <f t="shared" si="435"/>
        <v>0.92092996464147414</v>
      </c>
    </row>
    <row r="251" spans="1:82" x14ac:dyDescent="0.25">
      <c r="A251" s="373">
        <v>243</v>
      </c>
      <c r="B251" s="286" t="s">
        <v>954</v>
      </c>
      <c r="C251" s="286" t="s">
        <v>965</v>
      </c>
      <c r="D251" s="286" t="s">
        <v>598</v>
      </c>
      <c r="E251" s="286" t="s">
        <v>668</v>
      </c>
      <c r="F251" s="286" t="s">
        <v>485</v>
      </c>
      <c r="G251" s="286">
        <v>1800</v>
      </c>
      <c r="H251" s="286">
        <f t="shared" si="400"/>
        <v>900</v>
      </c>
      <c r="I251" s="286">
        <v>1800</v>
      </c>
      <c r="J251" s="393">
        <f t="shared" si="396"/>
        <v>3240000</v>
      </c>
      <c r="K251" s="286">
        <v>190</v>
      </c>
      <c r="L251" s="327">
        <f t="shared" si="416"/>
        <v>1440</v>
      </c>
      <c r="M251" s="393">
        <f t="shared" si="436"/>
        <v>1</v>
      </c>
      <c r="N251" s="393">
        <f t="shared" si="437"/>
        <v>0.5</v>
      </c>
      <c r="O251" s="393">
        <f t="shared" si="438"/>
        <v>0.5</v>
      </c>
      <c r="P251" s="393">
        <f t="shared" si="486"/>
        <v>188910</v>
      </c>
      <c r="Q251" s="393">
        <f t="shared" si="487"/>
        <v>342000</v>
      </c>
      <c r="R251" s="408">
        <f t="shared" si="488"/>
        <v>0.55236842105263162</v>
      </c>
      <c r="S251" s="286">
        <v>800</v>
      </c>
      <c r="T251" s="286">
        <v>1800</v>
      </c>
      <c r="U251" s="286">
        <v>16.5</v>
      </c>
      <c r="V251" s="286">
        <v>5.7</v>
      </c>
      <c r="W251" s="385">
        <f t="shared" si="440"/>
        <v>5.7</v>
      </c>
      <c r="X251" s="286">
        <v>41.1</v>
      </c>
      <c r="Y251" s="385">
        <f t="shared" si="441"/>
        <v>41.1</v>
      </c>
      <c r="Z251" s="423" t="s">
        <v>413</v>
      </c>
      <c r="AA251" s="400">
        <v>8.5</v>
      </c>
      <c r="AB251" s="286">
        <v>20.399999999999999</v>
      </c>
      <c r="AC251" s="286">
        <v>5</v>
      </c>
      <c r="AD251" s="286">
        <f t="shared" si="417"/>
        <v>5.2105263157894735</v>
      </c>
      <c r="AE251" s="286">
        <v>5</v>
      </c>
      <c r="AF251" s="398">
        <v>1</v>
      </c>
      <c r="AG251" s="398">
        <f t="shared" si="442"/>
        <v>8.5</v>
      </c>
      <c r="AH251" s="398">
        <f t="shared" si="443"/>
        <v>20.399999999999999</v>
      </c>
      <c r="AI251" s="403">
        <f t="shared" si="418"/>
        <v>16.532499999999999</v>
      </c>
      <c r="AJ251" s="286" t="s">
        <v>978</v>
      </c>
      <c r="AK251" s="286" t="s">
        <v>978</v>
      </c>
      <c r="AL251" s="286">
        <v>200</v>
      </c>
      <c r="AM251" s="286">
        <f t="shared" si="444"/>
        <v>600</v>
      </c>
      <c r="AN251" s="306">
        <f t="shared" si="419"/>
        <v>2.1929824561403508E-3</v>
      </c>
      <c r="AO251" s="286">
        <v>450</v>
      </c>
      <c r="AP251" s="306">
        <f t="shared" si="420"/>
        <v>4.7368421052631575</v>
      </c>
      <c r="AQ251" s="286">
        <v>800</v>
      </c>
      <c r="AR251" s="286" t="s">
        <v>413</v>
      </c>
      <c r="AS251" s="286">
        <v>0</v>
      </c>
      <c r="AT251" s="286" t="s">
        <v>979</v>
      </c>
      <c r="AU251" s="286">
        <f t="shared" si="489"/>
        <v>86</v>
      </c>
      <c r="AV251" s="286">
        <v>21.5</v>
      </c>
      <c r="AW251" s="327">
        <f t="shared" si="407"/>
        <v>86</v>
      </c>
      <c r="AX251" s="306">
        <f t="shared" si="413"/>
        <v>2.8289473684210524E-4</v>
      </c>
      <c r="AY251" s="286">
        <v>520.79999999999995</v>
      </c>
      <c r="AZ251" s="393">
        <f t="shared" si="398"/>
        <v>0.1473315789473684</v>
      </c>
      <c r="BA251" s="286">
        <v>400</v>
      </c>
      <c r="BB251" s="393">
        <f t="shared" si="422"/>
        <v>684</v>
      </c>
      <c r="BC251" s="286">
        <v>2</v>
      </c>
      <c r="BD251" s="398">
        <f t="shared" si="445"/>
        <v>0.1209738394072282</v>
      </c>
      <c r="BE251" s="309">
        <f t="shared" si="409"/>
        <v>3.6207717960933778</v>
      </c>
      <c r="BF251" s="400">
        <v>209.5</v>
      </c>
      <c r="BG251" s="400">
        <v>213.3</v>
      </c>
      <c r="BH251" s="286">
        <f t="shared" si="415"/>
        <v>213.3</v>
      </c>
      <c r="BI251" s="373">
        <v>1</v>
      </c>
      <c r="BJ251" s="373">
        <f t="shared" si="369"/>
        <v>1</v>
      </c>
      <c r="BK251" s="312">
        <f t="shared" si="370"/>
        <v>1</v>
      </c>
      <c r="BL251" s="311">
        <f t="shared" si="423"/>
        <v>213.3</v>
      </c>
      <c r="BM251" s="309">
        <f t="shared" si="447"/>
        <v>0.62368421052631573</v>
      </c>
      <c r="BN251" s="309">
        <f t="shared" si="411"/>
        <v>1.1291090995712245</v>
      </c>
      <c r="BP251" s="328">
        <f t="shared" si="424"/>
        <v>8.1320354155647898</v>
      </c>
      <c r="BQ251" s="328">
        <f t="shared" si="425"/>
        <v>0.1473315789473684</v>
      </c>
      <c r="BR251" s="328">
        <f t="shared" si="426"/>
        <v>0.6534057377860597</v>
      </c>
      <c r="BS251" s="328">
        <f t="shared" si="427"/>
        <v>0.86207694218132036</v>
      </c>
      <c r="BT251" s="328">
        <f t="shared" si="428"/>
        <v>2</v>
      </c>
      <c r="BV251" s="328">
        <f t="shared" si="429"/>
        <v>0.5</v>
      </c>
      <c r="BW251" s="328">
        <f t="shared" si="430"/>
        <v>0.625</v>
      </c>
      <c r="BX251" s="373">
        <f t="shared" si="387"/>
        <v>0.89452389571212687</v>
      </c>
      <c r="BY251" s="311">
        <f t="shared" si="431"/>
        <v>207870.86893341894</v>
      </c>
      <c r="BZ251" s="311">
        <f t="shared" si="432"/>
        <v>96743.80799999999</v>
      </c>
      <c r="CA251" s="311">
        <f t="shared" si="433"/>
        <v>222492.48896985268</v>
      </c>
      <c r="CB251" s="307">
        <f t="shared" si="434"/>
        <v>222.49248896985267</v>
      </c>
      <c r="CC251" s="309">
        <f t="shared" si="390"/>
        <v>0.65056283324518327</v>
      </c>
      <c r="CD251" s="379">
        <f t="shared" si="435"/>
        <v>0.95868404811140284</v>
      </c>
    </row>
    <row r="252" spans="1:82" x14ac:dyDescent="0.25">
      <c r="A252" s="373">
        <v>244</v>
      </c>
      <c r="B252" s="286" t="s">
        <v>954</v>
      </c>
      <c r="C252" s="286" t="s">
        <v>966</v>
      </c>
      <c r="D252" s="286" t="s">
        <v>598</v>
      </c>
      <c r="E252" s="286" t="s">
        <v>668</v>
      </c>
      <c r="F252" s="286" t="s">
        <v>485</v>
      </c>
      <c r="G252" s="286">
        <v>1800</v>
      </c>
      <c r="H252" s="286">
        <f t="shared" si="400"/>
        <v>900</v>
      </c>
      <c r="I252" s="286">
        <v>1800</v>
      </c>
      <c r="J252" s="393">
        <f t="shared" si="396"/>
        <v>3240000</v>
      </c>
      <c r="K252" s="286">
        <v>190</v>
      </c>
      <c r="L252" s="327">
        <f t="shared" si="416"/>
        <v>1440</v>
      </c>
      <c r="M252" s="393">
        <f t="shared" si="436"/>
        <v>1</v>
      </c>
      <c r="N252" s="393">
        <f t="shared" si="437"/>
        <v>0.5</v>
      </c>
      <c r="O252" s="393">
        <f t="shared" si="438"/>
        <v>0.5</v>
      </c>
      <c r="P252" s="393">
        <f t="shared" ref="P252:P255" si="490">(3*390/2*K252)+(I252-3*390/2)*(32)*2</f>
        <v>188910</v>
      </c>
      <c r="Q252" s="393">
        <f t="shared" ref="Q252:Q255" si="491">K252*I252</f>
        <v>342000</v>
      </c>
      <c r="R252" s="408">
        <f t="shared" ref="R252:R255" si="492">P252/Q252</f>
        <v>0.55236842105263162</v>
      </c>
      <c r="S252" s="286">
        <v>800</v>
      </c>
      <c r="T252" s="286">
        <v>1800</v>
      </c>
      <c r="U252" s="286">
        <v>16.5</v>
      </c>
      <c r="V252" s="286">
        <v>5.7</v>
      </c>
      <c r="W252" s="385">
        <f t="shared" si="440"/>
        <v>5.7</v>
      </c>
      <c r="X252" s="286">
        <v>42.1</v>
      </c>
      <c r="Y252" s="385">
        <f t="shared" si="441"/>
        <v>42.1</v>
      </c>
      <c r="Z252" s="423" t="s">
        <v>413</v>
      </c>
      <c r="AA252" s="400">
        <v>8.5</v>
      </c>
      <c r="AB252" s="286">
        <v>20.399999999999999</v>
      </c>
      <c r="AC252" s="286">
        <v>5</v>
      </c>
      <c r="AD252" s="286">
        <f t="shared" si="417"/>
        <v>5.2105263157894735</v>
      </c>
      <c r="AE252" s="286">
        <v>5</v>
      </c>
      <c r="AF252" s="398">
        <v>1</v>
      </c>
      <c r="AG252" s="398">
        <f t="shared" si="442"/>
        <v>8.5</v>
      </c>
      <c r="AH252" s="398">
        <f t="shared" si="443"/>
        <v>20.399999999999999</v>
      </c>
      <c r="AI252" s="403">
        <f t="shared" si="418"/>
        <v>16.532499999999999</v>
      </c>
      <c r="AJ252" s="286" t="s">
        <v>798</v>
      </c>
      <c r="AK252" s="286" t="s">
        <v>798</v>
      </c>
      <c r="AL252" s="286">
        <v>200</v>
      </c>
      <c r="AM252" s="286">
        <f t="shared" si="444"/>
        <v>600</v>
      </c>
      <c r="AN252" s="306">
        <f t="shared" si="419"/>
        <v>2.1929824561403508E-3</v>
      </c>
      <c r="AO252" s="286">
        <v>450</v>
      </c>
      <c r="AP252" s="306">
        <f t="shared" si="420"/>
        <v>4.7368421052631575</v>
      </c>
      <c r="AQ252" s="286">
        <v>800</v>
      </c>
      <c r="AR252" s="286" t="s">
        <v>413</v>
      </c>
      <c r="AS252" s="286">
        <v>0</v>
      </c>
      <c r="AT252" s="286" t="s">
        <v>979</v>
      </c>
      <c r="AU252" s="286">
        <f t="shared" si="489"/>
        <v>86</v>
      </c>
      <c r="AV252" s="286">
        <v>21.5</v>
      </c>
      <c r="AW252" s="327">
        <f t="shared" si="407"/>
        <v>86</v>
      </c>
      <c r="AX252" s="306">
        <f t="shared" si="413"/>
        <v>2.8289473684210524E-4</v>
      </c>
      <c r="AY252" s="286">
        <v>520.79999999999995</v>
      </c>
      <c r="AZ252" s="393">
        <f t="shared" si="398"/>
        <v>0.1473315789473684</v>
      </c>
      <c r="BA252" s="286">
        <v>400</v>
      </c>
      <c r="BB252" s="393">
        <f t="shared" si="422"/>
        <v>684</v>
      </c>
      <c r="BC252" s="286">
        <v>2</v>
      </c>
      <c r="BD252" s="398">
        <f t="shared" si="445"/>
        <v>0.1209738394072282</v>
      </c>
      <c r="BE252" s="309">
        <f t="shared" si="409"/>
        <v>3.6207717960933778</v>
      </c>
      <c r="BF252" s="400">
        <v>175.7</v>
      </c>
      <c r="BG252" s="400">
        <v>177.7</v>
      </c>
      <c r="BH252" s="286">
        <f t="shared" si="415"/>
        <v>177.7</v>
      </c>
      <c r="BI252" s="373">
        <v>1</v>
      </c>
      <c r="BJ252" s="373">
        <f t="shared" si="369"/>
        <v>1</v>
      </c>
      <c r="BK252" s="312">
        <f t="shared" si="370"/>
        <v>1</v>
      </c>
      <c r="BL252" s="311">
        <f t="shared" si="423"/>
        <v>177.7</v>
      </c>
      <c r="BM252" s="309">
        <f t="shared" si="447"/>
        <v>0.51959064327485371</v>
      </c>
      <c r="BN252" s="309">
        <f t="shared" si="411"/>
        <v>0.94065957334180295</v>
      </c>
      <c r="BP252" s="328">
        <f t="shared" si="424"/>
        <v>8.1320354155647898</v>
      </c>
      <c r="BQ252" s="328">
        <f t="shared" si="425"/>
        <v>0.1473315789473684</v>
      </c>
      <c r="BR252" s="328">
        <f t="shared" si="426"/>
        <v>0.66130694069100326</v>
      </c>
      <c r="BS252" s="328">
        <f t="shared" si="427"/>
        <v>0.86207694218132036</v>
      </c>
      <c r="BT252" s="328">
        <f t="shared" si="428"/>
        <v>2</v>
      </c>
      <c r="BV252" s="328">
        <f t="shared" si="429"/>
        <v>0.5</v>
      </c>
      <c r="BW252" s="328">
        <f t="shared" si="430"/>
        <v>0.625</v>
      </c>
      <c r="BX252" s="373">
        <f t="shared" si="387"/>
        <v>0.89452389571212687</v>
      </c>
      <c r="BY252" s="311">
        <f t="shared" si="431"/>
        <v>207870.86893341894</v>
      </c>
      <c r="BZ252" s="311">
        <f t="shared" si="432"/>
        <v>96743.80799999999</v>
      </c>
      <c r="CA252" s="311">
        <f t="shared" si="433"/>
        <v>222492.48896985268</v>
      </c>
      <c r="CB252" s="307">
        <f t="shared" si="434"/>
        <v>222.49248896985267</v>
      </c>
      <c r="CC252" s="309">
        <f t="shared" si="390"/>
        <v>0.65056283324518327</v>
      </c>
      <c r="CD252" s="379">
        <f t="shared" si="435"/>
        <v>0.79867864673884792</v>
      </c>
    </row>
    <row r="253" spans="1:82" x14ac:dyDescent="0.25">
      <c r="A253" s="373">
        <v>245</v>
      </c>
      <c r="B253" s="286" t="s">
        <v>954</v>
      </c>
      <c r="C253" s="286" t="s">
        <v>967</v>
      </c>
      <c r="D253" s="286" t="s">
        <v>598</v>
      </c>
      <c r="E253" s="286" t="s">
        <v>668</v>
      </c>
      <c r="F253" s="286" t="s">
        <v>485</v>
      </c>
      <c r="G253" s="286">
        <v>1800</v>
      </c>
      <c r="H253" s="286">
        <f t="shared" si="400"/>
        <v>900</v>
      </c>
      <c r="I253" s="286">
        <v>1800</v>
      </c>
      <c r="J253" s="393">
        <f t="shared" si="396"/>
        <v>3240000</v>
      </c>
      <c r="K253" s="286">
        <v>190</v>
      </c>
      <c r="L253" s="327">
        <f t="shared" si="416"/>
        <v>1440</v>
      </c>
      <c r="M253" s="393">
        <f t="shared" si="436"/>
        <v>1</v>
      </c>
      <c r="N253" s="393">
        <f t="shared" si="437"/>
        <v>0.5</v>
      </c>
      <c r="O253" s="393">
        <f t="shared" si="438"/>
        <v>0.5</v>
      </c>
      <c r="P253" s="393">
        <f t="shared" si="490"/>
        <v>188910</v>
      </c>
      <c r="Q253" s="393">
        <f t="shared" si="491"/>
        <v>342000</v>
      </c>
      <c r="R253" s="408">
        <f t="shared" si="492"/>
        <v>0.55236842105263162</v>
      </c>
      <c r="S253" s="286">
        <v>800</v>
      </c>
      <c r="T253" s="286">
        <v>1800</v>
      </c>
      <c r="U253" s="286">
        <v>16.5</v>
      </c>
      <c r="V253" s="286">
        <v>5.7</v>
      </c>
      <c r="W253" s="385">
        <f t="shared" si="440"/>
        <v>5.7</v>
      </c>
      <c r="X253" s="286">
        <v>43.1</v>
      </c>
      <c r="Y253" s="385">
        <f t="shared" si="441"/>
        <v>43.1</v>
      </c>
      <c r="Z253" s="423" t="s">
        <v>413</v>
      </c>
      <c r="AA253" s="400">
        <v>8.5</v>
      </c>
      <c r="AB253" s="286">
        <v>20.399999999999999</v>
      </c>
      <c r="AC253" s="286">
        <v>5</v>
      </c>
      <c r="AD253" s="286">
        <f t="shared" si="417"/>
        <v>5.2105263157894735</v>
      </c>
      <c r="AE253" s="286">
        <v>5</v>
      </c>
      <c r="AF253" s="398">
        <v>1</v>
      </c>
      <c r="AG253" s="398">
        <f t="shared" si="442"/>
        <v>8.5</v>
      </c>
      <c r="AH253" s="398">
        <f t="shared" si="443"/>
        <v>20.399999999999999</v>
      </c>
      <c r="AI253" s="403">
        <f t="shared" si="418"/>
        <v>16.532499999999999</v>
      </c>
      <c r="AJ253" s="286" t="s">
        <v>798</v>
      </c>
      <c r="AK253" s="286" t="s">
        <v>798</v>
      </c>
      <c r="AL253" s="286">
        <v>200</v>
      </c>
      <c r="AM253" s="286">
        <f t="shared" si="444"/>
        <v>600</v>
      </c>
      <c r="AN253" s="306">
        <f t="shared" si="419"/>
        <v>2.1929824561403508E-3</v>
      </c>
      <c r="AO253" s="286">
        <v>450</v>
      </c>
      <c r="AP253" s="306">
        <f t="shared" si="420"/>
        <v>4.7368421052631575</v>
      </c>
      <c r="AQ253" s="286">
        <v>800</v>
      </c>
      <c r="AR253" s="286" t="s">
        <v>413</v>
      </c>
      <c r="AS253" s="286">
        <v>0</v>
      </c>
      <c r="AT253" s="286" t="s">
        <v>979</v>
      </c>
      <c r="AU253" s="286">
        <f t="shared" si="489"/>
        <v>86</v>
      </c>
      <c r="AV253" s="286">
        <v>21.5</v>
      </c>
      <c r="AW253" s="327">
        <f t="shared" si="407"/>
        <v>86</v>
      </c>
      <c r="AX253" s="306">
        <f t="shared" si="413"/>
        <v>2.8289473684210524E-4</v>
      </c>
      <c r="AY253" s="286">
        <v>520.79999999999995</v>
      </c>
      <c r="AZ253" s="393">
        <f t="shared" si="398"/>
        <v>0.1473315789473684</v>
      </c>
      <c r="BA253" s="286">
        <v>400</v>
      </c>
      <c r="BB253" s="393">
        <f t="shared" si="422"/>
        <v>684</v>
      </c>
      <c r="BC253" s="286">
        <v>2</v>
      </c>
      <c r="BD253" s="398">
        <f t="shared" si="445"/>
        <v>0.1209738394072282</v>
      </c>
      <c r="BE253" s="309">
        <f t="shared" si="409"/>
        <v>3.6207717960933778</v>
      </c>
      <c r="BF253" s="400">
        <v>180.7</v>
      </c>
      <c r="BG253" s="400">
        <v>190</v>
      </c>
      <c r="BH253" s="400">
        <f t="shared" si="415"/>
        <v>190</v>
      </c>
      <c r="BI253" s="373">
        <v>1</v>
      </c>
      <c r="BJ253" s="373">
        <f t="shared" si="369"/>
        <v>1</v>
      </c>
      <c r="BK253" s="312">
        <f t="shared" si="370"/>
        <v>1</v>
      </c>
      <c r="BL253" s="311">
        <f t="shared" si="423"/>
        <v>190</v>
      </c>
      <c r="BM253" s="309">
        <f t="shared" si="447"/>
        <v>0.55555555555555558</v>
      </c>
      <c r="BN253" s="309">
        <f t="shared" si="411"/>
        <v>1.0057699433592717</v>
      </c>
      <c r="BP253" s="328">
        <f t="shared" si="424"/>
        <v>8.1320354155647898</v>
      </c>
      <c r="BQ253" s="328">
        <f t="shared" si="425"/>
        <v>0.1473315789473684</v>
      </c>
      <c r="BR253" s="328">
        <f t="shared" si="426"/>
        <v>0.66911484921532205</v>
      </c>
      <c r="BS253" s="328">
        <f t="shared" si="427"/>
        <v>0.86207694218132036</v>
      </c>
      <c r="BT253" s="328">
        <f t="shared" si="428"/>
        <v>2</v>
      </c>
      <c r="BV253" s="328">
        <f t="shared" si="429"/>
        <v>0.5</v>
      </c>
      <c r="BW253" s="328">
        <f t="shared" si="430"/>
        <v>0.625</v>
      </c>
      <c r="BX253" s="373">
        <f t="shared" si="387"/>
        <v>0.89452389571212687</v>
      </c>
      <c r="BY253" s="311">
        <f t="shared" si="431"/>
        <v>207870.86893341894</v>
      </c>
      <c r="BZ253" s="311">
        <f t="shared" si="432"/>
        <v>96743.80799999999</v>
      </c>
      <c r="CA253" s="311">
        <f t="shared" si="433"/>
        <v>222492.48896985268</v>
      </c>
      <c r="CB253" s="307">
        <f t="shared" si="434"/>
        <v>222.49248896985267</v>
      </c>
      <c r="CC253" s="309">
        <f t="shared" si="390"/>
        <v>0.65056283324518327</v>
      </c>
      <c r="CD253" s="379">
        <f t="shared" si="435"/>
        <v>0.853961411819815</v>
      </c>
    </row>
    <row r="254" spans="1:82" x14ac:dyDescent="0.25">
      <c r="A254" s="373">
        <v>246</v>
      </c>
      <c r="B254" s="286" t="s">
        <v>954</v>
      </c>
      <c r="C254" s="286" t="s">
        <v>968</v>
      </c>
      <c r="D254" s="286" t="s">
        <v>597</v>
      </c>
      <c r="E254" s="286" t="s">
        <v>668</v>
      </c>
      <c r="F254" s="286" t="s">
        <v>485</v>
      </c>
      <c r="G254" s="286">
        <v>1800</v>
      </c>
      <c r="H254" s="286">
        <f t="shared" si="400"/>
        <v>900</v>
      </c>
      <c r="I254" s="286">
        <v>1800</v>
      </c>
      <c r="J254" s="393">
        <f t="shared" si="396"/>
        <v>3240000</v>
      </c>
      <c r="K254" s="286">
        <v>190</v>
      </c>
      <c r="L254" s="327">
        <f t="shared" si="416"/>
        <v>1440</v>
      </c>
      <c r="M254" s="393">
        <f t="shared" si="436"/>
        <v>1</v>
      </c>
      <c r="N254" s="393">
        <f t="shared" si="437"/>
        <v>0.5</v>
      </c>
      <c r="O254" s="393">
        <f t="shared" si="438"/>
        <v>0.5</v>
      </c>
      <c r="P254" s="393">
        <f t="shared" si="490"/>
        <v>188910</v>
      </c>
      <c r="Q254" s="393">
        <f t="shared" si="491"/>
        <v>342000</v>
      </c>
      <c r="R254" s="408">
        <f t="shared" si="492"/>
        <v>0.55236842105263162</v>
      </c>
      <c r="S254" s="286">
        <v>800</v>
      </c>
      <c r="T254" s="286">
        <v>1800</v>
      </c>
      <c r="U254" s="286">
        <v>16.5</v>
      </c>
      <c r="V254" s="286">
        <v>5.7</v>
      </c>
      <c r="W254" s="385">
        <f t="shared" si="440"/>
        <v>5.7</v>
      </c>
      <c r="X254" s="286">
        <v>44.1</v>
      </c>
      <c r="Y254" s="385">
        <f t="shared" si="441"/>
        <v>44.1</v>
      </c>
      <c r="Z254" s="423" t="s">
        <v>413</v>
      </c>
      <c r="AA254" s="400">
        <v>8.5</v>
      </c>
      <c r="AB254" s="286">
        <v>20.399999999999999</v>
      </c>
      <c r="AC254" s="286">
        <v>5</v>
      </c>
      <c r="AD254" s="286">
        <f t="shared" si="417"/>
        <v>5.2105263157894735</v>
      </c>
      <c r="AE254" s="286">
        <v>5</v>
      </c>
      <c r="AF254" s="398">
        <v>1</v>
      </c>
      <c r="AG254" s="398">
        <f t="shared" si="442"/>
        <v>8.5</v>
      </c>
      <c r="AH254" s="398">
        <f t="shared" si="443"/>
        <v>20.399999999999999</v>
      </c>
      <c r="AI254" s="403">
        <f t="shared" si="418"/>
        <v>16.532499999999999</v>
      </c>
      <c r="AJ254" s="286" t="s">
        <v>798</v>
      </c>
      <c r="AK254" s="286" t="s">
        <v>798</v>
      </c>
      <c r="AL254" s="286">
        <v>200</v>
      </c>
      <c r="AM254" s="286">
        <f t="shared" si="444"/>
        <v>600</v>
      </c>
      <c r="AN254" s="306">
        <f t="shared" si="419"/>
        <v>2.1929824561403508E-3</v>
      </c>
      <c r="AO254" s="286">
        <v>450</v>
      </c>
      <c r="AP254" s="306">
        <f t="shared" si="420"/>
        <v>4.7368421052631575</v>
      </c>
      <c r="AQ254" s="286">
        <v>800</v>
      </c>
      <c r="AR254" s="286" t="s">
        <v>413</v>
      </c>
      <c r="AS254" s="286">
        <v>0</v>
      </c>
      <c r="AT254" s="286" t="s">
        <v>979</v>
      </c>
      <c r="AU254" s="286">
        <f t="shared" si="489"/>
        <v>86</v>
      </c>
      <c r="AV254" s="286">
        <v>21.5</v>
      </c>
      <c r="AW254" s="327">
        <f t="shared" si="407"/>
        <v>86</v>
      </c>
      <c r="AX254" s="306">
        <f t="shared" si="413"/>
        <v>2.8289473684210524E-4</v>
      </c>
      <c r="AY254" s="286">
        <v>520.79999999999995</v>
      </c>
      <c r="AZ254" s="393">
        <f t="shared" si="398"/>
        <v>0.1473315789473684</v>
      </c>
      <c r="BA254" s="286">
        <v>400</v>
      </c>
      <c r="BB254" s="393">
        <f t="shared" si="422"/>
        <v>684</v>
      </c>
      <c r="BC254" s="286">
        <v>2</v>
      </c>
      <c r="BD254" s="398">
        <f t="shared" si="445"/>
        <v>0.1209738394072282</v>
      </c>
      <c r="BE254" s="309">
        <f t="shared" si="409"/>
        <v>3.6207717960933778</v>
      </c>
      <c r="BF254" s="400" t="s">
        <v>413</v>
      </c>
      <c r="BG254" s="400">
        <v>230.3</v>
      </c>
      <c r="BH254" s="400">
        <f>BG254</f>
        <v>230.3</v>
      </c>
      <c r="BI254" s="373">
        <v>0.94430000000000003</v>
      </c>
      <c r="BJ254" s="373">
        <f t="shared" si="369"/>
        <v>0.81399999999999995</v>
      </c>
      <c r="BK254" s="312">
        <f t="shared" si="370"/>
        <v>1</v>
      </c>
      <c r="BL254" s="311">
        <f t="shared" si="423"/>
        <v>177.02244406</v>
      </c>
      <c r="BM254" s="309">
        <f t="shared" si="447"/>
        <v>0.51760948555555553</v>
      </c>
      <c r="BN254" s="309">
        <f t="shared" si="411"/>
        <v>0.93707291334497911</v>
      </c>
      <c r="BP254" s="328">
        <f t="shared" si="424"/>
        <v>8.1320354155647898</v>
      </c>
      <c r="BQ254" s="328">
        <f t="shared" si="425"/>
        <v>0.1473315789473684</v>
      </c>
      <c r="BR254" s="328">
        <f t="shared" si="426"/>
        <v>0.67683269208482555</v>
      </c>
      <c r="BS254" s="328">
        <f t="shared" si="427"/>
        <v>0.86207694218132036</v>
      </c>
      <c r="BT254" s="328">
        <f t="shared" si="428"/>
        <v>2</v>
      </c>
      <c r="BV254" s="328">
        <f t="shared" si="429"/>
        <v>0.5</v>
      </c>
      <c r="BW254" s="328">
        <f t="shared" si="430"/>
        <v>0.625</v>
      </c>
      <c r="BX254" s="373">
        <f t="shared" si="387"/>
        <v>0.89452389571212687</v>
      </c>
      <c r="BY254" s="311">
        <f t="shared" si="431"/>
        <v>207870.86893341894</v>
      </c>
      <c r="BZ254" s="311">
        <f t="shared" si="432"/>
        <v>96743.80799999999</v>
      </c>
      <c r="CA254" s="311">
        <f t="shared" si="433"/>
        <v>222492.48896985268</v>
      </c>
      <c r="CB254" s="307">
        <f t="shared" si="434"/>
        <v>222.49248896985267</v>
      </c>
      <c r="CC254" s="309">
        <f t="shared" si="390"/>
        <v>0.65056283324518327</v>
      </c>
      <c r="CD254" s="379">
        <f t="shared" si="435"/>
        <v>0.79563334870143065</v>
      </c>
    </row>
    <row r="255" spans="1:82" x14ac:dyDescent="0.25">
      <c r="A255" s="315">
        <v>247</v>
      </c>
      <c r="B255" s="390" t="s">
        <v>954</v>
      </c>
      <c r="C255" s="390" t="s">
        <v>969</v>
      </c>
      <c r="D255" s="390" t="s">
        <v>597</v>
      </c>
      <c r="E255" s="390" t="s">
        <v>668</v>
      </c>
      <c r="F255" s="390" t="s">
        <v>485</v>
      </c>
      <c r="G255" s="390">
        <v>1800</v>
      </c>
      <c r="H255" s="390">
        <f t="shared" si="400"/>
        <v>900</v>
      </c>
      <c r="I255" s="390">
        <v>1800</v>
      </c>
      <c r="J255" s="394">
        <f t="shared" si="396"/>
        <v>3240000</v>
      </c>
      <c r="K255" s="390">
        <v>190</v>
      </c>
      <c r="L255" s="329">
        <f t="shared" si="416"/>
        <v>1440</v>
      </c>
      <c r="M255" s="394">
        <f t="shared" si="436"/>
        <v>1</v>
      </c>
      <c r="N255" s="394">
        <f t="shared" si="437"/>
        <v>0.5</v>
      </c>
      <c r="O255" s="394">
        <f t="shared" si="438"/>
        <v>0.5</v>
      </c>
      <c r="P255" s="394">
        <f t="shared" si="490"/>
        <v>188910</v>
      </c>
      <c r="Q255" s="394">
        <f t="shared" si="491"/>
        <v>342000</v>
      </c>
      <c r="R255" s="409">
        <f t="shared" si="492"/>
        <v>0.55236842105263162</v>
      </c>
      <c r="S255" s="390">
        <v>800</v>
      </c>
      <c r="T255" s="390">
        <v>1800</v>
      </c>
      <c r="U255" s="390">
        <v>16.5</v>
      </c>
      <c r="V255" s="390">
        <v>5.7</v>
      </c>
      <c r="W255" s="391">
        <f t="shared" ref="W255:W256" si="493">IF(V255="-",0,V255)</f>
        <v>5.7</v>
      </c>
      <c r="X255" s="390">
        <v>45.1</v>
      </c>
      <c r="Y255" s="391">
        <f t="shared" ref="Y255:Y256" si="494">IF(X255="-",0,X255)</f>
        <v>45.1</v>
      </c>
      <c r="Z255" s="424" t="s">
        <v>413</v>
      </c>
      <c r="AA255" s="402">
        <v>8.5</v>
      </c>
      <c r="AB255" s="390">
        <v>20.399999999999999</v>
      </c>
      <c r="AC255" s="390">
        <v>5</v>
      </c>
      <c r="AD255" s="390">
        <f t="shared" si="417"/>
        <v>5.2105263157894735</v>
      </c>
      <c r="AE255" s="390">
        <v>5</v>
      </c>
      <c r="AF255" s="399">
        <v>1</v>
      </c>
      <c r="AG255" s="399">
        <f t="shared" si="442"/>
        <v>8.5</v>
      </c>
      <c r="AH255" s="399">
        <f t="shared" si="443"/>
        <v>20.399999999999999</v>
      </c>
      <c r="AI255" s="405">
        <f t="shared" si="418"/>
        <v>16.532499999999999</v>
      </c>
      <c r="AJ255" s="390" t="s">
        <v>798</v>
      </c>
      <c r="AK255" s="390" t="s">
        <v>798</v>
      </c>
      <c r="AL255" s="390">
        <v>200</v>
      </c>
      <c r="AM255" s="390">
        <f t="shared" si="444"/>
        <v>600</v>
      </c>
      <c r="AN255" s="316">
        <f t="shared" si="419"/>
        <v>2.1929824561403508E-3</v>
      </c>
      <c r="AO255" s="390">
        <v>450</v>
      </c>
      <c r="AP255" s="316">
        <f t="shared" si="420"/>
        <v>4.7368421052631575</v>
      </c>
      <c r="AQ255" s="390">
        <v>800</v>
      </c>
      <c r="AR255" s="390" t="s">
        <v>413</v>
      </c>
      <c r="AS255" s="390">
        <v>0</v>
      </c>
      <c r="AT255" s="390" t="s">
        <v>979</v>
      </c>
      <c r="AU255" s="390">
        <f t="shared" si="489"/>
        <v>86</v>
      </c>
      <c r="AV255" s="390">
        <v>21.5</v>
      </c>
      <c r="AW255" s="329">
        <f t="shared" si="407"/>
        <v>86</v>
      </c>
      <c r="AX255" s="316">
        <f t="shared" si="413"/>
        <v>2.8289473684210524E-4</v>
      </c>
      <c r="AY255" s="390">
        <v>520.79999999999995</v>
      </c>
      <c r="AZ255" s="394">
        <f t="shared" si="398"/>
        <v>0.1473315789473684</v>
      </c>
      <c r="BA255" s="390">
        <v>400</v>
      </c>
      <c r="BB255" s="394">
        <f t="shared" si="422"/>
        <v>684</v>
      </c>
      <c r="BC255" s="390">
        <v>2</v>
      </c>
      <c r="BD255" s="399">
        <f t="shared" si="445"/>
        <v>0.1209738394072282</v>
      </c>
      <c r="BE255" s="319">
        <f t="shared" si="409"/>
        <v>3.6207717960933778</v>
      </c>
      <c r="BF255" s="402" t="s">
        <v>413</v>
      </c>
      <c r="BG255" s="402">
        <v>235.8</v>
      </c>
      <c r="BH255" s="402">
        <f>BG255</f>
        <v>235.8</v>
      </c>
      <c r="BI255" s="315">
        <v>0.94430000000000003</v>
      </c>
      <c r="BJ255" s="315">
        <f t="shared" si="369"/>
        <v>0.81399999999999995</v>
      </c>
      <c r="BK255" s="322">
        <f t="shared" si="370"/>
        <v>1</v>
      </c>
      <c r="BL255" s="321">
        <f t="shared" si="423"/>
        <v>181.25007515999999</v>
      </c>
      <c r="BM255" s="319">
        <f t="shared" si="447"/>
        <v>0.52997098000000009</v>
      </c>
      <c r="BN255" s="319">
        <f t="shared" si="411"/>
        <v>0.95945198856598379</v>
      </c>
      <c r="BO255" s="392"/>
      <c r="BP255" s="330">
        <f t="shared" si="424"/>
        <v>8.1320354155647898</v>
      </c>
      <c r="BQ255" s="330">
        <f t="shared" si="425"/>
        <v>0.1473315789473684</v>
      </c>
      <c r="BR255" s="330">
        <f t="shared" si="426"/>
        <v>0.68446351598105015</v>
      </c>
      <c r="BS255" s="330">
        <f t="shared" si="427"/>
        <v>0.86207694218132036</v>
      </c>
      <c r="BT255" s="330">
        <f t="shared" si="428"/>
        <v>2</v>
      </c>
      <c r="BV255" s="328">
        <f t="shared" si="429"/>
        <v>0.5</v>
      </c>
      <c r="BW255" s="328">
        <f t="shared" si="430"/>
        <v>0.625</v>
      </c>
      <c r="BX255" s="373">
        <f t="shared" si="387"/>
        <v>0.89452389571212687</v>
      </c>
      <c r="BY255" s="311">
        <f t="shared" si="431"/>
        <v>207870.86893341894</v>
      </c>
      <c r="BZ255" s="311">
        <f t="shared" si="432"/>
        <v>96743.80799999999</v>
      </c>
      <c r="CA255" s="311">
        <f t="shared" si="433"/>
        <v>222492.48896985268</v>
      </c>
      <c r="CB255" s="307">
        <f t="shared" si="434"/>
        <v>222.49248896985267</v>
      </c>
      <c r="CC255" s="309">
        <f t="shared" si="390"/>
        <v>0.65056283324518327</v>
      </c>
      <c r="CD255" s="379">
        <f t="shared" si="435"/>
        <v>0.8146345793477956</v>
      </c>
    </row>
    <row r="256" spans="1:82" x14ac:dyDescent="0.25">
      <c r="A256" s="373">
        <v>248</v>
      </c>
      <c r="B256" s="286" t="s">
        <v>952</v>
      </c>
      <c r="C256" s="286" t="s">
        <v>982</v>
      </c>
      <c r="D256" s="396" t="s">
        <v>597</v>
      </c>
      <c r="E256" s="396" t="s">
        <v>668</v>
      </c>
      <c r="F256" s="396" t="s">
        <v>485</v>
      </c>
      <c r="G256" s="286">
        <v>1233</v>
      </c>
      <c r="H256" s="286">
        <f t="shared" si="400"/>
        <v>616.5</v>
      </c>
      <c r="I256" s="286">
        <v>1235</v>
      </c>
      <c r="J256" s="286">
        <f t="shared" si="396"/>
        <v>1522755</v>
      </c>
      <c r="K256" s="286">
        <v>90.7</v>
      </c>
      <c r="L256" s="395">
        <f t="shared" ref="L256:L277" si="495">0.8*I256</f>
        <v>988</v>
      </c>
      <c r="M256" s="410">
        <f t="shared" ref="M256:M277" si="496">G256/I256</f>
        <v>0.99838056680161946</v>
      </c>
      <c r="N256" s="410">
        <f t="shared" ref="N256:N276" si="497">O256</f>
        <v>0.49919028340080973</v>
      </c>
      <c r="O256" s="410">
        <f t="shared" ref="O256:O276" si="498">H256/I256</f>
        <v>0.49919028340080973</v>
      </c>
      <c r="P256" s="393">
        <f>(2*186.1/2*K256)+(I256-2*186.1/2)*(16.3)*2</f>
        <v>51073.41</v>
      </c>
      <c r="Q256" s="397">
        <f t="shared" ref="Q256:Q276" si="499">K256*I256</f>
        <v>112014.5</v>
      </c>
      <c r="R256" s="407">
        <f t="shared" ref="R256:R276" si="500">P256/Q256</f>
        <v>0.4559535595838039</v>
      </c>
      <c r="S256" s="286">
        <v>1233</v>
      </c>
      <c r="T256" s="286">
        <v>1235</v>
      </c>
      <c r="U256" s="286">
        <v>26.9</v>
      </c>
      <c r="V256" s="286">
        <v>4.4800000000000004</v>
      </c>
      <c r="W256" s="385">
        <f t="shared" si="493"/>
        <v>4.4800000000000004</v>
      </c>
      <c r="X256" s="286">
        <v>11.14</v>
      </c>
      <c r="Y256" s="385">
        <f t="shared" si="494"/>
        <v>11.14</v>
      </c>
      <c r="Z256" s="423" t="s">
        <v>413</v>
      </c>
      <c r="AA256" s="286">
        <v>8.09</v>
      </c>
      <c r="AB256" s="286">
        <v>8.85</v>
      </c>
      <c r="AC256" s="286">
        <v>3</v>
      </c>
      <c r="AD256" s="286">
        <f t="shared" ref="AD256:AD276" si="501">(90.8+10+90.8+10+90.8)/K256</f>
        <v>3.2238147739801541</v>
      </c>
      <c r="AE256" s="286">
        <v>10</v>
      </c>
      <c r="AF256" s="413">
        <f t="shared" si="392"/>
        <v>0.89275416753450076</v>
      </c>
      <c r="AG256" s="401">
        <f t="shared" ref="AG256:AG276" si="502">AF256*AA256</f>
        <v>7.2223812153541109</v>
      </c>
      <c r="AH256" s="401">
        <f t="shared" ref="AH256:AH276" si="503">AF256*AB256</f>
        <v>7.9008743826803318</v>
      </c>
      <c r="AI256" s="404">
        <f t="shared" ref="AI256:AI261" si="504">((2*186.1/2)*AG256+(I256-2*186.1/2)*AH256)/I256</f>
        <v>7.7986334284783814</v>
      </c>
      <c r="AJ256" s="286" t="s">
        <v>413</v>
      </c>
      <c r="AK256" s="286" t="s">
        <v>1003</v>
      </c>
      <c r="AL256" s="286">
        <v>100</v>
      </c>
      <c r="AM256" s="286">
        <f>2*AL256</f>
        <v>200</v>
      </c>
      <c r="AN256" s="406">
        <f t="shared" si="419"/>
        <v>2.2318539117703508E-3</v>
      </c>
      <c r="AO256" s="286">
        <v>458.18</v>
      </c>
      <c r="AP256" s="393">
        <f>AN256*AO256</f>
        <v>1.0225908252949394</v>
      </c>
      <c r="AQ256" s="286">
        <v>1140</v>
      </c>
      <c r="AR256" s="286" t="s">
        <v>1003</v>
      </c>
      <c r="AS256" s="286">
        <v>100</v>
      </c>
      <c r="AT256" s="286" t="s">
        <v>413</v>
      </c>
      <c r="AU256" s="286">
        <v>0</v>
      </c>
      <c r="AV256" s="396">
        <v>100</v>
      </c>
      <c r="AW256" s="395">
        <f t="shared" si="407"/>
        <v>100</v>
      </c>
      <c r="AX256" s="406">
        <f t="shared" si="413"/>
        <v>8.9274156470814045E-4</v>
      </c>
      <c r="AY256" s="396">
        <v>458.18</v>
      </c>
      <c r="AZ256" s="393">
        <f t="shared" si="398"/>
        <v>0.4090363301179758</v>
      </c>
      <c r="BA256" s="286">
        <v>1235</v>
      </c>
      <c r="BB256" s="414">
        <f t="shared" si="422"/>
        <v>56.007249999999999</v>
      </c>
      <c r="BC256" s="286">
        <v>0.5</v>
      </c>
      <c r="BD256" s="398">
        <f t="shared" si="445"/>
        <v>6.4113796934491471E-2</v>
      </c>
      <c r="BE256" s="309">
        <f t="shared" si="409"/>
        <v>1.0966029094199898</v>
      </c>
      <c r="BF256" s="400" t="s">
        <v>413</v>
      </c>
      <c r="BG256" s="286">
        <v>54.7</v>
      </c>
      <c r="BH256" s="286">
        <f>BG256</f>
        <v>54.7</v>
      </c>
      <c r="BI256" s="370">
        <v>0.94430000000000003</v>
      </c>
      <c r="BJ256" s="370">
        <f t="shared" si="369"/>
        <v>0.81399999999999995</v>
      </c>
      <c r="BK256" s="368">
        <f t="shared" si="370"/>
        <v>1</v>
      </c>
      <c r="BL256" s="364">
        <f t="shared" ref="BL256:BL276" si="505">BH256*BI256*BJ256*BK256</f>
        <v>42.045712940000001</v>
      </c>
      <c r="BM256" s="371">
        <f t="shared" si="447"/>
        <v>0.37535955559324913</v>
      </c>
      <c r="BN256" s="371">
        <f t="shared" si="411"/>
        <v>0.82324076148430259</v>
      </c>
      <c r="BP256" s="365">
        <f t="shared" si="424"/>
        <v>5.5942662254231861</v>
      </c>
      <c r="BQ256" s="365">
        <f t="shared" si="425"/>
        <v>0.4090363301179758</v>
      </c>
      <c r="BR256" s="365">
        <f t="shared" si="426"/>
        <v>0.15945069750874499</v>
      </c>
      <c r="BS256" s="365">
        <f t="shared" si="427"/>
        <v>0.8143494467552076</v>
      </c>
      <c r="BT256" s="365">
        <f t="shared" si="428"/>
        <v>0.5</v>
      </c>
      <c r="BV256" s="328">
        <f t="shared" si="429"/>
        <v>0.4559535595838039</v>
      </c>
      <c r="BW256" s="328">
        <f t="shared" si="430"/>
        <v>0.62398785425101211</v>
      </c>
      <c r="BX256" s="373">
        <f t="shared" si="387"/>
        <v>0.61482497880376075</v>
      </c>
      <c r="BY256" s="311">
        <f t="shared" si="431"/>
        <v>31505.142826548632</v>
      </c>
      <c r="BZ256" s="311">
        <f t="shared" si="432"/>
        <v>21992.639999999999</v>
      </c>
      <c r="CA256" s="311">
        <f t="shared" si="433"/>
        <v>45640.888153052678</v>
      </c>
      <c r="CB256" s="307">
        <f t="shared" si="434"/>
        <v>45.640888153052678</v>
      </c>
      <c r="CC256" s="309">
        <f t="shared" si="390"/>
        <v>0.40745517904425477</v>
      </c>
      <c r="CD256" s="379">
        <f t="shared" si="435"/>
        <v>0.92122906984201147</v>
      </c>
    </row>
    <row r="257" spans="1:82" x14ac:dyDescent="0.25">
      <c r="A257" s="373">
        <v>249</v>
      </c>
      <c r="B257" s="286" t="s">
        <v>952</v>
      </c>
      <c r="C257" s="286" t="s">
        <v>983</v>
      </c>
      <c r="D257" s="286" t="s">
        <v>597</v>
      </c>
      <c r="E257" s="286" t="s">
        <v>668</v>
      </c>
      <c r="F257" s="286" t="s">
        <v>485</v>
      </c>
      <c r="G257" s="286">
        <v>1233</v>
      </c>
      <c r="H257" s="286">
        <f t="shared" si="400"/>
        <v>616.5</v>
      </c>
      <c r="I257" s="286">
        <v>1235</v>
      </c>
      <c r="J257" s="286">
        <f t="shared" si="396"/>
        <v>1522755</v>
      </c>
      <c r="K257" s="286">
        <v>90.7</v>
      </c>
      <c r="L257" s="327">
        <f t="shared" si="495"/>
        <v>988</v>
      </c>
      <c r="M257" s="411">
        <f t="shared" si="496"/>
        <v>0.99838056680161946</v>
      </c>
      <c r="N257" s="411">
        <f t="shared" si="497"/>
        <v>0.49919028340080973</v>
      </c>
      <c r="O257" s="411">
        <f t="shared" si="498"/>
        <v>0.49919028340080973</v>
      </c>
      <c r="P257" s="393">
        <f>(2*186.1/2*K257)+(I257-2*186.1/2)*(16.3)*2</f>
        <v>51073.41</v>
      </c>
      <c r="Q257" s="393">
        <f t="shared" si="499"/>
        <v>112014.5</v>
      </c>
      <c r="R257" s="408">
        <f t="shared" si="500"/>
        <v>0.4559535595838039</v>
      </c>
      <c r="S257" s="286">
        <v>1233</v>
      </c>
      <c r="T257" s="286">
        <v>1235</v>
      </c>
      <c r="U257" s="286">
        <v>26.9</v>
      </c>
      <c r="V257" s="286">
        <v>4.4800000000000004</v>
      </c>
      <c r="X257" s="286">
        <v>11.14</v>
      </c>
      <c r="Z257" s="423" t="s">
        <v>413</v>
      </c>
      <c r="AA257" s="286">
        <v>8.09</v>
      </c>
      <c r="AB257" s="286">
        <v>8.85</v>
      </c>
      <c r="AC257" s="286">
        <v>3</v>
      </c>
      <c r="AD257" s="286">
        <f t="shared" si="501"/>
        <v>3.2238147739801541</v>
      </c>
      <c r="AE257" s="286">
        <v>10</v>
      </c>
      <c r="AF257" s="313">
        <f t="shared" si="392"/>
        <v>0.89275416753450076</v>
      </c>
      <c r="AG257" s="398">
        <f t="shared" si="502"/>
        <v>7.2223812153541109</v>
      </c>
      <c r="AH257" s="398">
        <f t="shared" si="503"/>
        <v>7.9008743826803318</v>
      </c>
      <c r="AI257" s="403">
        <f t="shared" si="504"/>
        <v>7.7986334284783814</v>
      </c>
      <c r="AJ257" s="286" t="s">
        <v>413</v>
      </c>
      <c r="AK257" s="286" t="s">
        <v>1003</v>
      </c>
      <c r="AL257" s="286">
        <v>100</v>
      </c>
      <c r="AM257" s="286">
        <f t="shared" ref="AM257:AM261" si="506">2*AL257</f>
        <v>200</v>
      </c>
      <c r="AN257" s="306">
        <f t="shared" si="419"/>
        <v>2.2318539117703508E-3</v>
      </c>
      <c r="AO257" s="286">
        <v>458.18</v>
      </c>
      <c r="AP257" s="393">
        <f t="shared" ref="AP257:AP290" si="507">AN257*AO257</f>
        <v>1.0225908252949394</v>
      </c>
      <c r="AQ257" s="286">
        <v>1140</v>
      </c>
      <c r="AR257" s="286" t="s">
        <v>1003</v>
      </c>
      <c r="AS257" s="286">
        <v>100</v>
      </c>
      <c r="AT257" s="286" t="s">
        <v>413</v>
      </c>
      <c r="AU257" s="286">
        <v>0</v>
      </c>
      <c r="AV257" s="286">
        <v>100</v>
      </c>
      <c r="AW257" s="327">
        <f t="shared" si="407"/>
        <v>100</v>
      </c>
      <c r="AX257" s="306">
        <f t="shared" si="413"/>
        <v>8.9274156470814045E-4</v>
      </c>
      <c r="AY257" s="286">
        <v>458.18</v>
      </c>
      <c r="AZ257" s="393">
        <f t="shared" si="398"/>
        <v>0.4090363301179758</v>
      </c>
      <c r="BA257" s="286">
        <v>1235</v>
      </c>
      <c r="BB257" s="414">
        <f t="shared" si="422"/>
        <v>56.007249999999999</v>
      </c>
      <c r="BC257" s="286">
        <v>0.5</v>
      </c>
      <c r="BD257" s="398">
        <f t="shared" si="445"/>
        <v>6.4113796934491471E-2</v>
      </c>
      <c r="BE257" s="309">
        <f t="shared" si="409"/>
        <v>1.0966029094199898</v>
      </c>
      <c r="BF257" s="400" t="s">
        <v>413</v>
      </c>
      <c r="BG257" s="286">
        <v>51.6</v>
      </c>
      <c r="BH257" s="286">
        <f t="shared" ref="BH257:BH290" si="508">BG257</f>
        <v>51.6</v>
      </c>
      <c r="BI257" s="373">
        <v>0.94430000000000003</v>
      </c>
      <c r="BJ257" s="373">
        <f t="shared" si="369"/>
        <v>0.81399999999999995</v>
      </c>
      <c r="BK257" s="312">
        <f t="shared" si="370"/>
        <v>1</v>
      </c>
      <c r="BL257" s="311">
        <f t="shared" si="505"/>
        <v>39.662866319999999</v>
      </c>
      <c r="BM257" s="309">
        <f t="shared" si="447"/>
        <v>0.35408689339326604</v>
      </c>
      <c r="BN257" s="309">
        <f t="shared" si="411"/>
        <v>0.77658543496508248</v>
      </c>
      <c r="BP257" s="328">
        <f t="shared" si="424"/>
        <v>5.5942662254231861</v>
      </c>
      <c r="BQ257" s="328">
        <f t="shared" si="425"/>
        <v>0.4090363301179758</v>
      </c>
      <c r="BR257" s="328">
        <f t="shared" si="426"/>
        <v>0.15945069750874499</v>
      </c>
      <c r="BS257" s="328">
        <f t="shared" si="427"/>
        <v>0.8143494467552076</v>
      </c>
      <c r="BT257" s="328">
        <f t="shared" si="428"/>
        <v>0.5</v>
      </c>
      <c r="BV257" s="328">
        <f t="shared" si="429"/>
        <v>0.4559535595838039</v>
      </c>
      <c r="BW257" s="328">
        <f t="shared" si="430"/>
        <v>0.62398785425101211</v>
      </c>
      <c r="BX257" s="373">
        <f t="shared" si="387"/>
        <v>0.61482497880376075</v>
      </c>
      <c r="BY257" s="311">
        <f t="shared" si="431"/>
        <v>31505.142826548632</v>
      </c>
      <c r="BZ257" s="311">
        <f t="shared" si="432"/>
        <v>21992.639999999999</v>
      </c>
      <c r="CA257" s="311">
        <f t="shared" si="433"/>
        <v>45640.888153052678</v>
      </c>
      <c r="CB257" s="307">
        <f t="shared" si="434"/>
        <v>45.640888153052678</v>
      </c>
      <c r="CC257" s="309">
        <f t="shared" si="390"/>
        <v>0.40745517904425477</v>
      </c>
      <c r="CD257" s="379">
        <f t="shared" si="435"/>
        <v>0.86902047539027039</v>
      </c>
    </row>
    <row r="258" spans="1:82" x14ac:dyDescent="0.25">
      <c r="A258" s="373">
        <v>250</v>
      </c>
      <c r="B258" s="286" t="s">
        <v>952</v>
      </c>
      <c r="C258" s="286" t="s">
        <v>984</v>
      </c>
      <c r="D258" s="286" t="s">
        <v>597</v>
      </c>
      <c r="E258" s="286" t="s">
        <v>668</v>
      </c>
      <c r="F258" s="286" t="s">
        <v>485</v>
      </c>
      <c r="G258" s="286">
        <v>1233</v>
      </c>
      <c r="H258" s="286">
        <f t="shared" si="400"/>
        <v>616.5</v>
      </c>
      <c r="I258" s="286">
        <v>1235</v>
      </c>
      <c r="J258" s="286">
        <f t="shared" si="396"/>
        <v>1522755</v>
      </c>
      <c r="K258" s="286">
        <v>90.7</v>
      </c>
      <c r="L258" s="327">
        <f t="shared" si="495"/>
        <v>988</v>
      </c>
      <c r="M258" s="411">
        <f t="shared" si="496"/>
        <v>0.99838056680161946</v>
      </c>
      <c r="N258" s="411">
        <f t="shared" si="497"/>
        <v>0.49919028340080973</v>
      </c>
      <c r="O258" s="411">
        <f t="shared" si="498"/>
        <v>0.49919028340080973</v>
      </c>
      <c r="P258" s="393">
        <f>(2*186.1/2*K258)+(I258-2*186.1/2)*(16.3)*2</f>
        <v>51073.41</v>
      </c>
      <c r="Q258" s="393">
        <f t="shared" si="499"/>
        <v>112014.5</v>
      </c>
      <c r="R258" s="408">
        <f t="shared" si="500"/>
        <v>0.4559535595838039</v>
      </c>
      <c r="S258" s="286">
        <v>1233</v>
      </c>
      <c r="T258" s="286">
        <v>1235</v>
      </c>
      <c r="U258" s="286">
        <v>26.9</v>
      </c>
      <c r="V258" s="286">
        <v>4.4800000000000004</v>
      </c>
      <c r="X258" s="286">
        <v>11.14</v>
      </c>
      <c r="Z258" s="423" t="s">
        <v>413</v>
      </c>
      <c r="AA258" s="286">
        <v>8.09</v>
      </c>
      <c r="AB258" s="286">
        <v>8.85</v>
      </c>
      <c r="AC258" s="286">
        <v>3</v>
      </c>
      <c r="AD258" s="286">
        <f t="shared" si="501"/>
        <v>3.2238147739801541</v>
      </c>
      <c r="AE258" s="286">
        <v>10</v>
      </c>
      <c r="AF258" s="313">
        <f t="shared" si="392"/>
        <v>0.89275416753450076</v>
      </c>
      <c r="AG258" s="398">
        <f t="shared" si="502"/>
        <v>7.2223812153541109</v>
      </c>
      <c r="AH258" s="398">
        <f t="shared" si="503"/>
        <v>7.9008743826803318</v>
      </c>
      <c r="AI258" s="403">
        <f t="shared" si="504"/>
        <v>7.7986334284783814</v>
      </c>
      <c r="AJ258" s="286" t="s">
        <v>413</v>
      </c>
      <c r="AK258" s="286" t="s">
        <v>1003</v>
      </c>
      <c r="AL258" s="286">
        <v>100</v>
      </c>
      <c r="AM258" s="286">
        <f t="shared" si="506"/>
        <v>200</v>
      </c>
      <c r="AN258" s="306">
        <f t="shared" si="419"/>
        <v>2.2318539117703508E-3</v>
      </c>
      <c r="AO258" s="286">
        <v>458.18</v>
      </c>
      <c r="AP258" s="393">
        <f t="shared" si="507"/>
        <v>1.0225908252949394</v>
      </c>
      <c r="AQ258" s="286">
        <v>1140</v>
      </c>
      <c r="AR258" s="286" t="s">
        <v>1003</v>
      </c>
      <c r="AS258" s="286">
        <v>100</v>
      </c>
      <c r="AT258" s="286" t="s">
        <v>413</v>
      </c>
      <c r="AU258" s="286">
        <v>0</v>
      </c>
      <c r="AV258" s="286">
        <v>100</v>
      </c>
      <c r="AW258" s="327">
        <f t="shared" si="407"/>
        <v>100</v>
      </c>
      <c r="AX258" s="306">
        <f t="shared" si="413"/>
        <v>8.9274156470814045E-4</v>
      </c>
      <c r="AY258" s="286">
        <v>458.18</v>
      </c>
      <c r="AZ258" s="393">
        <f t="shared" si="398"/>
        <v>0.4090363301179758</v>
      </c>
      <c r="BA258" s="286">
        <v>1235</v>
      </c>
      <c r="BB258" s="414">
        <f t="shared" si="422"/>
        <v>56.007249999999999</v>
      </c>
      <c r="BC258" s="286">
        <v>0.5</v>
      </c>
      <c r="BD258" s="398">
        <f t="shared" si="445"/>
        <v>6.4113796934491471E-2</v>
      </c>
      <c r="BE258" s="309">
        <f t="shared" si="409"/>
        <v>1.0966029094199898</v>
      </c>
      <c r="BF258" s="400" t="s">
        <v>413</v>
      </c>
      <c r="BG258" s="286">
        <v>38.200000000000003</v>
      </c>
      <c r="BH258" s="286">
        <f t="shared" si="508"/>
        <v>38.200000000000003</v>
      </c>
      <c r="BI258" s="373">
        <v>0.94430000000000003</v>
      </c>
      <c r="BJ258" s="373">
        <f t="shared" si="369"/>
        <v>0.81399999999999995</v>
      </c>
      <c r="BK258" s="312">
        <f t="shared" si="370"/>
        <v>1</v>
      </c>
      <c r="BL258" s="311">
        <f t="shared" si="505"/>
        <v>29.362819640000005</v>
      </c>
      <c r="BM258" s="309">
        <f t="shared" si="447"/>
        <v>0.26213409549656519</v>
      </c>
      <c r="BN258" s="309">
        <f t="shared" si="411"/>
        <v>0.57491402355942167</v>
      </c>
      <c r="BP258" s="328">
        <f t="shared" si="424"/>
        <v>5.5942662254231861</v>
      </c>
      <c r="BQ258" s="328">
        <f t="shared" si="425"/>
        <v>0.4090363301179758</v>
      </c>
      <c r="BR258" s="328">
        <f t="shared" si="426"/>
        <v>0.15945069750874499</v>
      </c>
      <c r="BS258" s="328">
        <f t="shared" si="427"/>
        <v>0.8143494467552076</v>
      </c>
      <c r="BT258" s="328">
        <f t="shared" si="428"/>
        <v>0.5</v>
      </c>
      <c r="BV258" s="328">
        <f t="shared" si="429"/>
        <v>0.4559535595838039</v>
      </c>
      <c r="BW258" s="328">
        <f t="shared" si="430"/>
        <v>0.62398785425101211</v>
      </c>
      <c r="BX258" s="373">
        <f t="shared" si="387"/>
        <v>0.61482497880376075</v>
      </c>
      <c r="BY258" s="311">
        <f t="shared" si="431"/>
        <v>31505.142826548632</v>
      </c>
      <c r="BZ258" s="311">
        <f t="shared" si="432"/>
        <v>21992.639999999999</v>
      </c>
      <c r="CA258" s="311">
        <f t="shared" si="433"/>
        <v>45640.888153052678</v>
      </c>
      <c r="CB258" s="307">
        <f t="shared" si="434"/>
        <v>45.640888153052678</v>
      </c>
      <c r="CC258" s="309">
        <f t="shared" si="390"/>
        <v>0.40745517904425477</v>
      </c>
      <c r="CD258" s="379">
        <f t="shared" si="435"/>
        <v>0.64334461550209954</v>
      </c>
    </row>
    <row r="259" spans="1:82" x14ac:dyDescent="0.25">
      <c r="A259" s="373">
        <v>251</v>
      </c>
      <c r="B259" s="286" t="s">
        <v>952</v>
      </c>
      <c r="C259" s="286" t="s">
        <v>985</v>
      </c>
      <c r="D259" s="286" t="s">
        <v>597</v>
      </c>
      <c r="E259" s="286" t="s">
        <v>668</v>
      </c>
      <c r="F259" s="286" t="s">
        <v>485</v>
      </c>
      <c r="G259" s="286">
        <v>1233</v>
      </c>
      <c r="H259" s="286">
        <f t="shared" si="400"/>
        <v>616.5</v>
      </c>
      <c r="I259" s="286">
        <v>1235</v>
      </c>
      <c r="J259" s="286">
        <f t="shared" si="396"/>
        <v>1522755</v>
      </c>
      <c r="K259" s="286">
        <v>90.7</v>
      </c>
      <c r="L259" s="327">
        <f t="shared" si="495"/>
        <v>988</v>
      </c>
      <c r="M259" s="411">
        <f t="shared" si="496"/>
        <v>0.99838056680161946</v>
      </c>
      <c r="N259" s="411">
        <f t="shared" si="497"/>
        <v>0.49919028340080973</v>
      </c>
      <c r="O259" s="411">
        <f t="shared" si="498"/>
        <v>0.49919028340080973</v>
      </c>
      <c r="P259" s="393">
        <f t="shared" ref="P259:P261" si="509">(2*186.1/2*K259)+(I259-2*186.1/2)*(16.3)*2</f>
        <v>51073.41</v>
      </c>
      <c r="Q259" s="393">
        <f t="shared" si="499"/>
        <v>112014.5</v>
      </c>
      <c r="R259" s="408">
        <f t="shared" si="500"/>
        <v>0.4559535595838039</v>
      </c>
      <c r="S259" s="286">
        <v>1233</v>
      </c>
      <c r="T259" s="286">
        <v>1235</v>
      </c>
      <c r="U259" s="286">
        <v>26.9</v>
      </c>
      <c r="V259" s="286">
        <v>4.4800000000000004</v>
      </c>
      <c r="X259" s="286">
        <v>11.14</v>
      </c>
      <c r="Z259" s="423" t="s">
        <v>413</v>
      </c>
      <c r="AA259" s="286">
        <v>8.09</v>
      </c>
      <c r="AB259" s="286">
        <v>8.85</v>
      </c>
      <c r="AC259" s="286">
        <v>3</v>
      </c>
      <c r="AD259" s="286">
        <f t="shared" si="501"/>
        <v>3.2238147739801541</v>
      </c>
      <c r="AE259" s="286">
        <v>10</v>
      </c>
      <c r="AF259" s="313">
        <f t="shared" si="392"/>
        <v>0.89275416753450076</v>
      </c>
      <c r="AG259" s="398">
        <f t="shared" si="502"/>
        <v>7.2223812153541109</v>
      </c>
      <c r="AH259" s="398">
        <f t="shared" si="503"/>
        <v>7.9008743826803318</v>
      </c>
      <c r="AI259" s="403">
        <f t="shared" si="504"/>
        <v>7.7986334284783814</v>
      </c>
      <c r="AJ259" s="286" t="s">
        <v>413</v>
      </c>
      <c r="AK259" s="286" t="s">
        <v>1003</v>
      </c>
      <c r="AL259" s="286">
        <v>100</v>
      </c>
      <c r="AM259" s="286">
        <f t="shared" si="506"/>
        <v>200</v>
      </c>
      <c r="AN259" s="306">
        <f t="shared" si="419"/>
        <v>2.2318539117703508E-3</v>
      </c>
      <c r="AO259" s="286">
        <v>458.18</v>
      </c>
      <c r="AP259" s="393">
        <f t="shared" si="507"/>
        <v>1.0225908252949394</v>
      </c>
      <c r="AQ259" s="286">
        <v>1140</v>
      </c>
      <c r="AR259" s="286" t="s">
        <v>1003</v>
      </c>
      <c r="AS259" s="286">
        <v>100</v>
      </c>
      <c r="AT259" s="286" t="s">
        <v>413</v>
      </c>
      <c r="AU259" s="286">
        <v>0</v>
      </c>
      <c r="AV259" s="286">
        <v>100</v>
      </c>
      <c r="AW259" s="327">
        <f t="shared" si="407"/>
        <v>100</v>
      </c>
      <c r="AX259" s="306">
        <f t="shared" si="413"/>
        <v>8.9274156470814045E-4</v>
      </c>
      <c r="AY259" s="286">
        <v>458.18</v>
      </c>
      <c r="AZ259" s="393">
        <f t="shared" si="398"/>
        <v>0.4090363301179758</v>
      </c>
      <c r="BA259" s="286">
        <v>1235</v>
      </c>
      <c r="BB259" s="414">
        <f t="shared" si="422"/>
        <v>56.007249999999999</v>
      </c>
      <c r="BC259" s="286">
        <v>0.5</v>
      </c>
      <c r="BD259" s="398">
        <f t="shared" si="445"/>
        <v>6.4113796934491471E-2</v>
      </c>
      <c r="BE259" s="309">
        <f t="shared" si="409"/>
        <v>1.0966029094199898</v>
      </c>
      <c r="BF259" s="400" t="s">
        <v>413</v>
      </c>
      <c r="BG259" s="400">
        <v>46</v>
      </c>
      <c r="BH259" s="286">
        <f t="shared" si="508"/>
        <v>46</v>
      </c>
      <c r="BI259" s="373">
        <v>0.94430000000000003</v>
      </c>
      <c r="BJ259" s="373">
        <f t="shared" si="369"/>
        <v>0.81399999999999995</v>
      </c>
      <c r="BK259" s="312">
        <f t="shared" si="370"/>
        <v>1</v>
      </c>
      <c r="BL259" s="311">
        <f t="shared" si="505"/>
        <v>35.358369199999999</v>
      </c>
      <c r="BM259" s="309">
        <f t="shared" si="447"/>
        <v>0.31565885845136116</v>
      </c>
      <c r="BN259" s="309">
        <f t="shared" si="411"/>
        <v>0.69230484512391077</v>
      </c>
      <c r="BP259" s="328">
        <f t="shared" si="424"/>
        <v>5.5942662254231861</v>
      </c>
      <c r="BQ259" s="328">
        <f t="shared" si="425"/>
        <v>0.4090363301179758</v>
      </c>
      <c r="BR259" s="328">
        <f t="shared" si="426"/>
        <v>0.15945069750874499</v>
      </c>
      <c r="BS259" s="328">
        <f t="shared" si="427"/>
        <v>0.8143494467552076</v>
      </c>
      <c r="BT259" s="328">
        <f t="shared" si="428"/>
        <v>0.5</v>
      </c>
      <c r="BV259" s="328">
        <f t="shared" si="429"/>
        <v>0.4559535595838039</v>
      </c>
      <c r="BW259" s="328">
        <f t="shared" si="430"/>
        <v>0.62398785425101211</v>
      </c>
      <c r="BX259" s="373">
        <f t="shared" si="387"/>
        <v>0.61482497880376075</v>
      </c>
      <c r="BY259" s="311">
        <f t="shared" si="431"/>
        <v>31505.142826548632</v>
      </c>
      <c r="BZ259" s="311">
        <f t="shared" si="432"/>
        <v>21992.639999999999</v>
      </c>
      <c r="CA259" s="311">
        <f t="shared" si="433"/>
        <v>45640.888153052678</v>
      </c>
      <c r="CB259" s="307">
        <f t="shared" si="434"/>
        <v>45.640888153052678</v>
      </c>
      <c r="CC259" s="309">
        <f t="shared" si="390"/>
        <v>0.40745517904425477</v>
      </c>
      <c r="CD259" s="379">
        <f t="shared" si="435"/>
        <v>0.77470817573551232</v>
      </c>
    </row>
    <row r="260" spans="1:82" x14ac:dyDescent="0.25">
      <c r="A260" s="373">
        <v>252</v>
      </c>
      <c r="B260" s="286" t="s">
        <v>952</v>
      </c>
      <c r="C260" s="286" t="s">
        <v>986</v>
      </c>
      <c r="D260" s="286" t="s">
        <v>597</v>
      </c>
      <c r="E260" s="286" t="s">
        <v>668</v>
      </c>
      <c r="F260" s="286" t="s">
        <v>485</v>
      </c>
      <c r="G260" s="286">
        <v>1233</v>
      </c>
      <c r="H260" s="286">
        <f t="shared" si="400"/>
        <v>616.5</v>
      </c>
      <c r="I260" s="286">
        <v>1235</v>
      </c>
      <c r="J260" s="286">
        <f t="shared" si="396"/>
        <v>1522755</v>
      </c>
      <c r="K260" s="286">
        <v>90.7</v>
      </c>
      <c r="L260" s="327">
        <f t="shared" si="495"/>
        <v>988</v>
      </c>
      <c r="M260" s="411">
        <f t="shared" si="496"/>
        <v>0.99838056680161946</v>
      </c>
      <c r="N260" s="411">
        <f t="shared" si="497"/>
        <v>0.49919028340080973</v>
      </c>
      <c r="O260" s="411">
        <f t="shared" si="498"/>
        <v>0.49919028340080973</v>
      </c>
      <c r="P260" s="393">
        <f t="shared" si="509"/>
        <v>51073.41</v>
      </c>
      <c r="Q260" s="393">
        <f t="shared" si="499"/>
        <v>112014.5</v>
      </c>
      <c r="R260" s="408">
        <f t="shared" si="500"/>
        <v>0.4559535595838039</v>
      </c>
      <c r="S260" s="286">
        <v>1233</v>
      </c>
      <c r="T260" s="286">
        <v>1235</v>
      </c>
      <c r="U260" s="286">
        <v>26.9</v>
      </c>
      <c r="V260" s="286">
        <v>4.4800000000000004</v>
      </c>
      <c r="X260" s="286">
        <v>11.14</v>
      </c>
      <c r="Z260" s="423" t="s">
        <v>413</v>
      </c>
      <c r="AA260" s="286">
        <v>8.09</v>
      </c>
      <c r="AB260" s="286">
        <v>8.85</v>
      </c>
      <c r="AC260" s="286">
        <v>3</v>
      </c>
      <c r="AD260" s="286">
        <f t="shared" si="501"/>
        <v>3.2238147739801541</v>
      </c>
      <c r="AE260" s="286">
        <v>10</v>
      </c>
      <c r="AF260" s="313">
        <f t="shared" si="392"/>
        <v>0.89275416753450076</v>
      </c>
      <c r="AG260" s="398">
        <f t="shared" si="502"/>
        <v>7.2223812153541109</v>
      </c>
      <c r="AH260" s="398">
        <f t="shared" si="503"/>
        <v>7.9008743826803318</v>
      </c>
      <c r="AI260" s="403">
        <f t="shared" si="504"/>
        <v>7.7986334284783814</v>
      </c>
      <c r="AJ260" s="286" t="s">
        <v>413</v>
      </c>
      <c r="AK260" s="286" t="s">
        <v>1003</v>
      </c>
      <c r="AL260" s="286">
        <v>100</v>
      </c>
      <c r="AM260" s="286">
        <f t="shared" si="506"/>
        <v>200</v>
      </c>
      <c r="AN260" s="306">
        <f t="shared" si="419"/>
        <v>2.2318539117703508E-3</v>
      </c>
      <c r="AO260" s="286">
        <v>458.18</v>
      </c>
      <c r="AP260" s="393">
        <f t="shared" si="507"/>
        <v>1.0225908252949394</v>
      </c>
      <c r="AQ260" s="286">
        <v>1140</v>
      </c>
      <c r="AR260" s="286" t="s">
        <v>1003</v>
      </c>
      <c r="AS260" s="286">
        <v>100</v>
      </c>
      <c r="AT260" s="286" t="s">
        <v>413</v>
      </c>
      <c r="AU260" s="286">
        <v>0</v>
      </c>
      <c r="AV260" s="286">
        <v>100</v>
      </c>
      <c r="AW260" s="327">
        <f t="shared" si="407"/>
        <v>100</v>
      </c>
      <c r="AX260" s="306">
        <f t="shared" si="413"/>
        <v>8.9274156470814045E-4</v>
      </c>
      <c r="AY260" s="286">
        <v>458.18</v>
      </c>
      <c r="AZ260" s="393">
        <f t="shared" si="398"/>
        <v>0.4090363301179758</v>
      </c>
      <c r="BA260" s="286">
        <v>1235</v>
      </c>
      <c r="BB260" s="414">
        <f t="shared" si="422"/>
        <v>56.007249999999999</v>
      </c>
      <c r="BC260" s="286">
        <v>0.5</v>
      </c>
      <c r="BD260" s="398">
        <f t="shared" si="445"/>
        <v>6.4113796934491471E-2</v>
      </c>
      <c r="BE260" s="309">
        <f t="shared" si="409"/>
        <v>1.0966029094199898</v>
      </c>
      <c r="BF260" s="400" t="s">
        <v>413</v>
      </c>
      <c r="BG260" s="286">
        <v>42.68</v>
      </c>
      <c r="BH260" s="286">
        <f t="shared" si="508"/>
        <v>42.68</v>
      </c>
      <c r="BI260" s="373">
        <v>0.94430000000000003</v>
      </c>
      <c r="BJ260" s="373">
        <f t="shared" si="369"/>
        <v>0.81399999999999995</v>
      </c>
      <c r="BK260" s="312">
        <f t="shared" si="370"/>
        <v>1</v>
      </c>
      <c r="BL260" s="311">
        <f t="shared" si="505"/>
        <v>32.806417335999996</v>
      </c>
      <c r="BM260" s="309">
        <f t="shared" si="447"/>
        <v>0.29287652345008902</v>
      </c>
      <c r="BN260" s="309">
        <f t="shared" si="411"/>
        <v>0.64233849543235888</v>
      </c>
      <c r="BP260" s="328">
        <f t="shared" si="424"/>
        <v>5.5942662254231861</v>
      </c>
      <c r="BQ260" s="328">
        <f t="shared" si="425"/>
        <v>0.4090363301179758</v>
      </c>
      <c r="BR260" s="328">
        <f t="shared" si="426"/>
        <v>0.15945069750874499</v>
      </c>
      <c r="BS260" s="328">
        <f t="shared" si="427"/>
        <v>0.8143494467552076</v>
      </c>
      <c r="BT260" s="328">
        <f t="shared" si="428"/>
        <v>0.5</v>
      </c>
      <c r="BV260" s="328">
        <f t="shared" si="429"/>
        <v>0.4559535595838039</v>
      </c>
      <c r="BW260" s="328">
        <f t="shared" si="430"/>
        <v>0.62398785425101211</v>
      </c>
      <c r="BX260" s="373">
        <f t="shared" si="387"/>
        <v>0.61482497880376075</v>
      </c>
      <c r="BY260" s="311">
        <f t="shared" si="431"/>
        <v>31505.142826548632</v>
      </c>
      <c r="BZ260" s="311">
        <f t="shared" si="432"/>
        <v>21992.639999999999</v>
      </c>
      <c r="CA260" s="311">
        <f t="shared" si="433"/>
        <v>45640.888153052678</v>
      </c>
      <c r="CB260" s="307">
        <f t="shared" si="434"/>
        <v>45.640888153052678</v>
      </c>
      <c r="CC260" s="309">
        <f t="shared" si="390"/>
        <v>0.40745517904425477</v>
      </c>
      <c r="CD260" s="379">
        <f t="shared" si="435"/>
        <v>0.71879445522590579</v>
      </c>
    </row>
    <row r="261" spans="1:82" x14ac:dyDescent="0.25">
      <c r="A261" s="373">
        <v>253</v>
      </c>
      <c r="B261" s="286" t="s">
        <v>952</v>
      </c>
      <c r="C261" s="286" t="s">
        <v>987</v>
      </c>
      <c r="D261" s="286" t="s">
        <v>597</v>
      </c>
      <c r="E261" s="286" t="s">
        <v>668</v>
      </c>
      <c r="F261" s="286" t="s">
        <v>485</v>
      </c>
      <c r="G261" s="286">
        <v>1233</v>
      </c>
      <c r="H261" s="286">
        <f t="shared" si="400"/>
        <v>616.5</v>
      </c>
      <c r="I261" s="286">
        <v>1235</v>
      </c>
      <c r="J261" s="286">
        <f t="shared" si="396"/>
        <v>1522755</v>
      </c>
      <c r="K261" s="286">
        <v>90.7</v>
      </c>
      <c r="L261" s="327">
        <f t="shared" si="495"/>
        <v>988</v>
      </c>
      <c r="M261" s="411">
        <f t="shared" si="496"/>
        <v>0.99838056680161946</v>
      </c>
      <c r="N261" s="411">
        <f t="shared" si="497"/>
        <v>0.49919028340080973</v>
      </c>
      <c r="O261" s="411">
        <f t="shared" si="498"/>
        <v>0.49919028340080973</v>
      </c>
      <c r="P261" s="393">
        <f t="shared" si="509"/>
        <v>51073.41</v>
      </c>
      <c r="Q261" s="393">
        <f t="shared" si="499"/>
        <v>112014.5</v>
      </c>
      <c r="R261" s="408">
        <f t="shared" si="500"/>
        <v>0.4559535595838039</v>
      </c>
      <c r="S261" s="286">
        <v>1233</v>
      </c>
      <c r="T261" s="286">
        <v>1235</v>
      </c>
      <c r="U261" s="286">
        <v>26.9</v>
      </c>
      <c r="V261" s="286">
        <v>4.4800000000000004</v>
      </c>
      <c r="X261" s="286">
        <v>11.14</v>
      </c>
      <c r="Z261" s="423" t="s">
        <v>413</v>
      </c>
      <c r="AA261" s="286">
        <v>8.09</v>
      </c>
      <c r="AB261" s="286">
        <v>8.85</v>
      </c>
      <c r="AC261" s="286">
        <v>3</v>
      </c>
      <c r="AD261" s="286">
        <f t="shared" si="501"/>
        <v>3.2238147739801541</v>
      </c>
      <c r="AE261" s="286">
        <v>10</v>
      </c>
      <c r="AF261" s="313">
        <f t="shared" si="392"/>
        <v>0.89275416753450076</v>
      </c>
      <c r="AG261" s="398">
        <f t="shared" si="502"/>
        <v>7.2223812153541109</v>
      </c>
      <c r="AH261" s="398">
        <f t="shared" si="503"/>
        <v>7.9008743826803318</v>
      </c>
      <c r="AI261" s="403">
        <f t="shared" si="504"/>
        <v>7.7986334284783814</v>
      </c>
      <c r="AJ261" s="286" t="s">
        <v>413</v>
      </c>
      <c r="AK261" s="286" t="s">
        <v>1003</v>
      </c>
      <c r="AL261" s="286">
        <v>100</v>
      </c>
      <c r="AM261" s="286">
        <f t="shared" si="506"/>
        <v>200</v>
      </c>
      <c r="AN261" s="306">
        <f t="shared" si="419"/>
        <v>2.2318539117703508E-3</v>
      </c>
      <c r="AO261" s="286">
        <v>458.18</v>
      </c>
      <c r="AP261" s="393">
        <f t="shared" si="507"/>
        <v>1.0225908252949394</v>
      </c>
      <c r="AQ261" s="286">
        <v>1140</v>
      </c>
      <c r="AR261" s="286" t="s">
        <v>1003</v>
      </c>
      <c r="AS261" s="286">
        <v>100</v>
      </c>
      <c r="AT261" s="286" t="s">
        <v>413</v>
      </c>
      <c r="AU261" s="286">
        <v>0</v>
      </c>
      <c r="AV261" s="286">
        <v>100</v>
      </c>
      <c r="AW261" s="327">
        <f t="shared" si="407"/>
        <v>100</v>
      </c>
      <c r="AX261" s="306">
        <f t="shared" si="413"/>
        <v>8.9274156470814045E-4</v>
      </c>
      <c r="AY261" s="286">
        <v>458.18</v>
      </c>
      <c r="AZ261" s="393">
        <f t="shared" si="398"/>
        <v>0.4090363301179758</v>
      </c>
      <c r="BA261" s="286">
        <v>1235</v>
      </c>
      <c r="BB261" s="414">
        <f t="shared" si="422"/>
        <v>56.007249999999999</v>
      </c>
      <c r="BC261" s="286">
        <v>0.5</v>
      </c>
      <c r="BD261" s="398">
        <f t="shared" si="445"/>
        <v>6.4113796934491471E-2</v>
      </c>
      <c r="BE261" s="309">
        <f t="shared" si="409"/>
        <v>1.0966029094199898</v>
      </c>
      <c r="BF261" s="400" t="s">
        <v>413</v>
      </c>
      <c r="BG261" s="400">
        <v>44</v>
      </c>
      <c r="BH261" s="286">
        <f t="shared" si="508"/>
        <v>44</v>
      </c>
      <c r="BI261" s="373">
        <v>0.94430000000000003</v>
      </c>
      <c r="BJ261" s="373">
        <f t="shared" si="369"/>
        <v>0.81399999999999995</v>
      </c>
      <c r="BK261" s="312">
        <f t="shared" si="370"/>
        <v>1</v>
      </c>
      <c r="BL261" s="311">
        <f t="shared" si="505"/>
        <v>33.8210488</v>
      </c>
      <c r="BM261" s="309">
        <f t="shared" si="447"/>
        <v>0.30193456025782378</v>
      </c>
      <c r="BN261" s="309">
        <f t="shared" si="411"/>
        <v>0.66220463446634947</v>
      </c>
      <c r="BP261" s="328">
        <f t="shared" si="424"/>
        <v>5.5942662254231861</v>
      </c>
      <c r="BQ261" s="328">
        <f t="shared" si="425"/>
        <v>0.4090363301179758</v>
      </c>
      <c r="BR261" s="328">
        <f t="shared" si="426"/>
        <v>0.15945069750874499</v>
      </c>
      <c r="BS261" s="328">
        <f t="shared" si="427"/>
        <v>0.8143494467552076</v>
      </c>
      <c r="BT261" s="328">
        <f t="shared" si="428"/>
        <v>0.5</v>
      </c>
      <c r="BV261" s="328">
        <f t="shared" si="429"/>
        <v>0.4559535595838039</v>
      </c>
      <c r="BW261" s="328">
        <f t="shared" si="430"/>
        <v>0.62398785425101211</v>
      </c>
      <c r="BX261" s="373">
        <f t="shared" si="387"/>
        <v>0.61482497880376075</v>
      </c>
      <c r="BY261" s="311">
        <f t="shared" si="431"/>
        <v>31505.142826548632</v>
      </c>
      <c r="BZ261" s="311">
        <f t="shared" si="432"/>
        <v>21992.639999999999</v>
      </c>
      <c r="CA261" s="311">
        <f t="shared" si="433"/>
        <v>45640.888153052678</v>
      </c>
      <c r="CB261" s="307">
        <f t="shared" si="434"/>
        <v>45.640888153052678</v>
      </c>
      <c r="CC261" s="309">
        <f t="shared" si="390"/>
        <v>0.40745517904425477</v>
      </c>
      <c r="CD261" s="379">
        <f t="shared" si="435"/>
        <v>0.74102521157309875</v>
      </c>
    </row>
    <row r="262" spans="1:82" x14ac:dyDescent="0.25">
      <c r="A262" s="373">
        <v>254</v>
      </c>
      <c r="B262" s="286" t="s">
        <v>952</v>
      </c>
      <c r="C262" s="286" t="s">
        <v>988</v>
      </c>
      <c r="D262" s="286" t="s">
        <v>597</v>
      </c>
      <c r="E262" s="286" t="s">
        <v>668</v>
      </c>
      <c r="F262" s="286" t="s">
        <v>485</v>
      </c>
      <c r="G262" s="286">
        <v>2372</v>
      </c>
      <c r="H262" s="286">
        <f t="shared" si="400"/>
        <v>1186</v>
      </c>
      <c r="I262" s="286">
        <v>1235</v>
      </c>
      <c r="J262" s="286">
        <f t="shared" si="396"/>
        <v>2929420</v>
      </c>
      <c r="K262" s="286">
        <v>90.7</v>
      </c>
      <c r="L262" s="327">
        <f t="shared" si="495"/>
        <v>988</v>
      </c>
      <c r="M262" s="411">
        <f t="shared" si="496"/>
        <v>1.9206477732793523</v>
      </c>
      <c r="N262" s="411">
        <f t="shared" si="497"/>
        <v>0.96032388663967616</v>
      </c>
      <c r="O262" s="411">
        <f t="shared" si="498"/>
        <v>0.96032388663967616</v>
      </c>
      <c r="P262" s="393">
        <f t="shared" ref="P262:P267" si="510">(3*186.1/2*K262)+(I262-3*186.1/2)*(16.3)*2</f>
        <v>56479.615000000005</v>
      </c>
      <c r="Q262" s="393">
        <f t="shared" si="499"/>
        <v>112014.5</v>
      </c>
      <c r="R262" s="408">
        <f t="shared" si="500"/>
        <v>0.50421699869213366</v>
      </c>
      <c r="S262" s="286">
        <v>1233</v>
      </c>
      <c r="T262" s="286">
        <v>1235</v>
      </c>
      <c r="U262" s="286">
        <v>26.9</v>
      </c>
      <c r="V262" s="286">
        <v>4.4800000000000004</v>
      </c>
      <c r="X262" s="286">
        <v>11.14</v>
      </c>
      <c r="Z262" s="423" t="s">
        <v>413</v>
      </c>
      <c r="AA262" s="286">
        <v>8.09</v>
      </c>
      <c r="AB262" s="286">
        <v>8.85</v>
      </c>
      <c r="AC262" s="286">
        <v>3</v>
      </c>
      <c r="AD262" s="286">
        <f t="shared" si="501"/>
        <v>3.2238147739801541</v>
      </c>
      <c r="AE262" s="286">
        <v>10</v>
      </c>
      <c r="AF262" s="313">
        <f t="shared" si="392"/>
        <v>0.89275416753450076</v>
      </c>
      <c r="AG262" s="398">
        <f t="shared" si="502"/>
        <v>7.2223812153541109</v>
      </c>
      <c r="AH262" s="398">
        <f t="shared" si="503"/>
        <v>7.9008743826803318</v>
      </c>
      <c r="AI262" s="403">
        <f t="shared" ref="AI262:AI267" si="511">((3*186.1/2)*AG262+(I262-3*186.1/2)*AH262)/I262</f>
        <v>7.7475129513774048</v>
      </c>
      <c r="AJ262" s="286" t="s">
        <v>1003</v>
      </c>
      <c r="AK262" s="286" t="s">
        <v>1003</v>
      </c>
      <c r="AL262" s="286">
        <v>100</v>
      </c>
      <c r="AM262" s="286">
        <f>3*AL262</f>
        <v>300</v>
      </c>
      <c r="AN262" s="306">
        <f t="shared" si="419"/>
        <v>3.3477808676555267E-3</v>
      </c>
      <c r="AO262" s="286">
        <v>458.18</v>
      </c>
      <c r="AP262" s="393">
        <f t="shared" si="507"/>
        <v>1.5338862379424092</v>
      </c>
      <c r="AQ262" s="286">
        <v>1140</v>
      </c>
      <c r="AR262" s="286" t="s">
        <v>1003</v>
      </c>
      <c r="AS262" s="286">
        <v>100</v>
      </c>
      <c r="AT262" s="286" t="s">
        <v>413</v>
      </c>
      <c r="AU262" s="286">
        <v>0</v>
      </c>
      <c r="AV262" s="286">
        <v>100</v>
      </c>
      <c r="AW262" s="327">
        <f t="shared" si="407"/>
        <v>100</v>
      </c>
      <c r="AX262" s="306">
        <f t="shared" si="413"/>
        <v>8.9274156470814045E-4</v>
      </c>
      <c r="AY262" s="286">
        <v>458.18</v>
      </c>
      <c r="AZ262" s="393">
        <f t="shared" si="398"/>
        <v>0.4090363301179758</v>
      </c>
      <c r="BA262" s="286">
        <v>1235</v>
      </c>
      <c r="BB262" s="414">
        <f t="shared" si="422"/>
        <v>56.007249999999999</v>
      </c>
      <c r="BC262" s="286">
        <v>0.5</v>
      </c>
      <c r="BD262" s="398">
        <f t="shared" si="445"/>
        <v>6.4536839517139066E-2</v>
      </c>
      <c r="BE262" s="309">
        <f t="shared" si="409"/>
        <v>0.99163654001536661</v>
      </c>
      <c r="BF262" s="400" t="s">
        <v>413</v>
      </c>
      <c r="BG262" s="286">
        <v>108</v>
      </c>
      <c r="BH262" s="286">
        <f t="shared" si="508"/>
        <v>108</v>
      </c>
      <c r="BI262" s="373">
        <v>0.94430000000000003</v>
      </c>
      <c r="BJ262" s="373">
        <f t="shared" si="369"/>
        <v>0.81399999999999995</v>
      </c>
      <c r="BK262" s="312">
        <f t="shared" si="370"/>
        <v>1</v>
      </c>
      <c r="BL262" s="311">
        <f t="shared" si="505"/>
        <v>83.015301600000001</v>
      </c>
      <c r="BM262" s="309">
        <f t="shared" si="447"/>
        <v>0.74111210245102199</v>
      </c>
      <c r="BN262" s="309">
        <f t="shared" si="411"/>
        <v>1.4698276820760905</v>
      </c>
      <c r="BP262" s="328">
        <f t="shared" si="424"/>
        <v>2.8984340566528917</v>
      </c>
      <c r="BQ262" s="328">
        <f t="shared" si="425"/>
        <v>0.4090363301179758</v>
      </c>
      <c r="BR262" s="328">
        <f t="shared" si="426"/>
        <v>0.23917604626311753</v>
      </c>
      <c r="BS262" s="328">
        <f t="shared" si="427"/>
        <v>0.89759325428201397</v>
      </c>
      <c r="BT262" s="328">
        <f t="shared" si="428"/>
        <v>0.5</v>
      </c>
      <c r="BV262" s="328">
        <f t="shared" si="429"/>
        <v>0.5</v>
      </c>
      <c r="BW262" s="328">
        <f t="shared" si="430"/>
        <v>1</v>
      </c>
      <c r="BX262" s="373">
        <f t="shared" si="387"/>
        <v>0.44534967335259334</v>
      </c>
      <c r="BY262" s="311">
        <f t="shared" si="431"/>
        <v>26955.154644301627</v>
      </c>
      <c r="BZ262" s="311">
        <f t="shared" si="432"/>
        <v>21992.639999999999</v>
      </c>
      <c r="CA262" s="311">
        <f t="shared" si="433"/>
        <v>49885.620985754074</v>
      </c>
      <c r="CB262" s="307">
        <f t="shared" si="434"/>
        <v>48.947794644301624</v>
      </c>
      <c r="CC262" s="309">
        <f t="shared" si="390"/>
        <v>0.43697730779766569</v>
      </c>
      <c r="CD262" s="379">
        <f t="shared" si="435"/>
        <v>1.6959967696862197</v>
      </c>
    </row>
    <row r="263" spans="1:82" x14ac:dyDescent="0.25">
      <c r="A263" s="373">
        <v>255</v>
      </c>
      <c r="B263" s="286" t="s">
        <v>952</v>
      </c>
      <c r="C263" s="286" t="s">
        <v>990</v>
      </c>
      <c r="D263" s="286" t="s">
        <v>597</v>
      </c>
      <c r="E263" s="286" t="s">
        <v>668</v>
      </c>
      <c r="F263" s="286" t="s">
        <v>485</v>
      </c>
      <c r="G263" s="286">
        <v>2372</v>
      </c>
      <c r="H263" s="286">
        <f t="shared" si="400"/>
        <v>1186</v>
      </c>
      <c r="I263" s="286">
        <v>1235</v>
      </c>
      <c r="J263" s="286">
        <f t="shared" si="396"/>
        <v>2929420</v>
      </c>
      <c r="K263" s="286">
        <v>90.7</v>
      </c>
      <c r="L263" s="327">
        <f t="shared" si="495"/>
        <v>988</v>
      </c>
      <c r="M263" s="411">
        <f t="shared" si="496"/>
        <v>1.9206477732793523</v>
      </c>
      <c r="N263" s="411">
        <f t="shared" si="497"/>
        <v>0.96032388663967616</v>
      </c>
      <c r="O263" s="411">
        <f t="shared" si="498"/>
        <v>0.96032388663967616</v>
      </c>
      <c r="P263" s="393">
        <f t="shared" si="510"/>
        <v>56479.615000000005</v>
      </c>
      <c r="Q263" s="393">
        <f t="shared" si="499"/>
        <v>112014.5</v>
      </c>
      <c r="R263" s="408">
        <f t="shared" si="500"/>
        <v>0.50421699869213366</v>
      </c>
      <c r="S263" s="286">
        <v>1233</v>
      </c>
      <c r="T263" s="286">
        <v>1235</v>
      </c>
      <c r="U263" s="286">
        <v>26.9</v>
      </c>
      <c r="V263" s="286">
        <v>4.4800000000000004</v>
      </c>
      <c r="X263" s="286">
        <v>11.14</v>
      </c>
      <c r="Z263" s="423" t="s">
        <v>413</v>
      </c>
      <c r="AA263" s="286">
        <v>8.09</v>
      </c>
      <c r="AB263" s="286">
        <v>8.85</v>
      </c>
      <c r="AC263" s="286">
        <v>3</v>
      </c>
      <c r="AD263" s="286">
        <f t="shared" si="501"/>
        <v>3.2238147739801541</v>
      </c>
      <c r="AE263" s="286">
        <v>10</v>
      </c>
      <c r="AF263" s="313">
        <f t="shared" si="392"/>
        <v>0.89275416753450076</v>
      </c>
      <c r="AG263" s="398">
        <f t="shared" si="502"/>
        <v>7.2223812153541109</v>
      </c>
      <c r="AH263" s="398">
        <f t="shared" si="503"/>
        <v>7.9008743826803318</v>
      </c>
      <c r="AI263" s="403">
        <f t="shared" si="511"/>
        <v>7.7475129513774048</v>
      </c>
      <c r="AJ263" s="286" t="s">
        <v>1003</v>
      </c>
      <c r="AK263" s="286" t="s">
        <v>1003</v>
      </c>
      <c r="AL263" s="286">
        <v>100</v>
      </c>
      <c r="AM263" s="286">
        <f t="shared" ref="AM263:AM267" si="512">3*AL263</f>
        <v>300</v>
      </c>
      <c r="AN263" s="306">
        <f t="shared" si="419"/>
        <v>3.3477808676555267E-3</v>
      </c>
      <c r="AO263" s="286">
        <v>458.18</v>
      </c>
      <c r="AP263" s="393">
        <f t="shared" si="507"/>
        <v>1.5338862379424092</v>
      </c>
      <c r="AQ263" s="286">
        <v>1140</v>
      </c>
      <c r="AR263" s="286" t="s">
        <v>1003</v>
      </c>
      <c r="AS263" s="286">
        <v>100</v>
      </c>
      <c r="AT263" s="286" t="s">
        <v>413</v>
      </c>
      <c r="AU263" s="286">
        <v>0</v>
      </c>
      <c r="AV263" s="286">
        <v>100</v>
      </c>
      <c r="AW263" s="327">
        <f t="shared" si="407"/>
        <v>100</v>
      </c>
      <c r="AX263" s="306">
        <f t="shared" si="413"/>
        <v>8.9274156470814045E-4</v>
      </c>
      <c r="AY263" s="286">
        <v>458.18</v>
      </c>
      <c r="AZ263" s="393">
        <f t="shared" si="398"/>
        <v>0.4090363301179758</v>
      </c>
      <c r="BA263" s="286">
        <v>1235</v>
      </c>
      <c r="BB263" s="414">
        <f t="shared" si="422"/>
        <v>56.007249999999999</v>
      </c>
      <c r="BC263" s="286">
        <v>0.5</v>
      </c>
      <c r="BD263" s="398">
        <f t="shared" si="445"/>
        <v>6.4536839517139066E-2</v>
      </c>
      <c r="BE263" s="309">
        <f t="shared" ref="BE263:BE294" si="513">BB263/P263*1000</f>
        <v>0.99163654001536661</v>
      </c>
      <c r="BF263" s="400" t="s">
        <v>413</v>
      </c>
      <c r="BG263" s="286">
        <v>103</v>
      </c>
      <c r="BH263" s="286">
        <f t="shared" si="508"/>
        <v>103</v>
      </c>
      <c r="BI263" s="373">
        <v>0.94430000000000003</v>
      </c>
      <c r="BJ263" s="373">
        <f t="shared" si="369"/>
        <v>0.81399999999999995</v>
      </c>
      <c r="BK263" s="312">
        <f t="shared" si="370"/>
        <v>1</v>
      </c>
      <c r="BL263" s="311">
        <f t="shared" si="505"/>
        <v>79.17200059999999</v>
      </c>
      <c r="BM263" s="309">
        <f t="shared" si="447"/>
        <v>0.70680135696717816</v>
      </c>
      <c r="BN263" s="309">
        <f t="shared" si="411"/>
        <v>1.4017801042021973</v>
      </c>
      <c r="BP263" s="328">
        <f t="shared" si="424"/>
        <v>2.8984340566528917</v>
      </c>
      <c r="BQ263" s="328">
        <f t="shared" si="425"/>
        <v>0.4090363301179758</v>
      </c>
      <c r="BR263" s="328">
        <f t="shared" si="426"/>
        <v>0.23917604626311753</v>
      </c>
      <c r="BS263" s="328">
        <f t="shared" si="427"/>
        <v>0.89759325428201397</v>
      </c>
      <c r="BT263" s="328">
        <f t="shared" si="428"/>
        <v>0.5</v>
      </c>
      <c r="BV263" s="328">
        <f t="shared" si="429"/>
        <v>0.5</v>
      </c>
      <c r="BW263" s="328">
        <f t="shared" si="430"/>
        <v>1</v>
      </c>
      <c r="BX263" s="373">
        <f t="shared" si="387"/>
        <v>0.44534967335259334</v>
      </c>
      <c r="BY263" s="311">
        <f t="shared" si="431"/>
        <v>26955.154644301627</v>
      </c>
      <c r="BZ263" s="311">
        <f t="shared" si="432"/>
        <v>21992.639999999999</v>
      </c>
      <c r="CA263" s="311">
        <f t="shared" si="433"/>
        <v>49885.620985754074</v>
      </c>
      <c r="CB263" s="307">
        <f t="shared" si="434"/>
        <v>48.947794644301624</v>
      </c>
      <c r="CC263" s="309">
        <f t="shared" si="390"/>
        <v>0.43697730779766569</v>
      </c>
      <c r="CD263" s="379">
        <f t="shared" si="435"/>
        <v>1.6174784007192649</v>
      </c>
    </row>
    <row r="264" spans="1:82" x14ac:dyDescent="0.25">
      <c r="A264" s="373">
        <v>256</v>
      </c>
      <c r="B264" s="286" t="s">
        <v>952</v>
      </c>
      <c r="C264" s="286" t="s">
        <v>989</v>
      </c>
      <c r="D264" s="286" t="s">
        <v>597</v>
      </c>
      <c r="E264" s="286" t="s">
        <v>668</v>
      </c>
      <c r="F264" s="286" t="s">
        <v>485</v>
      </c>
      <c r="G264" s="286">
        <v>2372</v>
      </c>
      <c r="H264" s="286">
        <f t="shared" si="400"/>
        <v>1186</v>
      </c>
      <c r="I264" s="286">
        <v>1235</v>
      </c>
      <c r="J264" s="286">
        <f t="shared" si="396"/>
        <v>2929420</v>
      </c>
      <c r="K264" s="286">
        <v>90.7</v>
      </c>
      <c r="L264" s="327">
        <f t="shared" si="495"/>
        <v>988</v>
      </c>
      <c r="M264" s="411">
        <f t="shared" si="496"/>
        <v>1.9206477732793523</v>
      </c>
      <c r="N264" s="411">
        <f t="shared" si="497"/>
        <v>0.96032388663967616</v>
      </c>
      <c r="O264" s="411">
        <f t="shared" si="498"/>
        <v>0.96032388663967616</v>
      </c>
      <c r="P264" s="393">
        <f t="shared" si="510"/>
        <v>56479.615000000005</v>
      </c>
      <c r="Q264" s="393">
        <f t="shared" si="499"/>
        <v>112014.5</v>
      </c>
      <c r="R264" s="408">
        <f t="shared" si="500"/>
        <v>0.50421699869213366</v>
      </c>
      <c r="S264" s="286">
        <v>1233</v>
      </c>
      <c r="T264" s="286">
        <v>1235</v>
      </c>
      <c r="U264" s="286">
        <v>26.9</v>
      </c>
      <c r="V264" s="286">
        <v>4.4800000000000004</v>
      </c>
      <c r="X264" s="286">
        <v>11.14</v>
      </c>
      <c r="Z264" s="423" t="s">
        <v>413</v>
      </c>
      <c r="AA264" s="286">
        <v>8.09</v>
      </c>
      <c r="AB264" s="286">
        <v>8.85</v>
      </c>
      <c r="AC264" s="286">
        <v>3</v>
      </c>
      <c r="AD264" s="286">
        <f t="shared" si="501"/>
        <v>3.2238147739801541</v>
      </c>
      <c r="AE264" s="286">
        <v>10</v>
      </c>
      <c r="AF264" s="313">
        <f t="shared" si="392"/>
        <v>0.89275416753450076</v>
      </c>
      <c r="AG264" s="398">
        <f t="shared" si="502"/>
        <v>7.2223812153541109</v>
      </c>
      <c r="AH264" s="398">
        <f t="shared" si="503"/>
        <v>7.9008743826803318</v>
      </c>
      <c r="AI264" s="403">
        <f t="shared" si="511"/>
        <v>7.7475129513774048</v>
      </c>
      <c r="AJ264" s="286" t="s">
        <v>1003</v>
      </c>
      <c r="AK264" s="286" t="s">
        <v>1003</v>
      </c>
      <c r="AL264" s="286">
        <v>100</v>
      </c>
      <c r="AM264" s="286">
        <f t="shared" si="512"/>
        <v>300</v>
      </c>
      <c r="AN264" s="306">
        <f t="shared" si="419"/>
        <v>3.3477808676555267E-3</v>
      </c>
      <c r="AO264" s="286">
        <v>458.18</v>
      </c>
      <c r="AP264" s="393">
        <f t="shared" si="507"/>
        <v>1.5338862379424092</v>
      </c>
      <c r="AQ264" s="286">
        <v>1140</v>
      </c>
      <c r="AR264" s="286" t="s">
        <v>1003</v>
      </c>
      <c r="AS264" s="286">
        <v>100</v>
      </c>
      <c r="AT264" s="286" t="s">
        <v>413</v>
      </c>
      <c r="AU264" s="286">
        <v>0</v>
      </c>
      <c r="AV264" s="286">
        <v>100</v>
      </c>
      <c r="AW264" s="327">
        <f t="shared" si="407"/>
        <v>100</v>
      </c>
      <c r="AX264" s="306">
        <f t="shared" si="413"/>
        <v>8.9274156470814045E-4</v>
      </c>
      <c r="AY264" s="286">
        <v>458.18</v>
      </c>
      <c r="AZ264" s="393">
        <f t="shared" si="398"/>
        <v>0.4090363301179758</v>
      </c>
      <c r="BA264" s="286">
        <v>1235</v>
      </c>
      <c r="BB264" s="414">
        <f t="shared" si="422"/>
        <v>56.007249999999999</v>
      </c>
      <c r="BC264" s="286">
        <v>0.5</v>
      </c>
      <c r="BD264" s="398">
        <f t="shared" si="445"/>
        <v>6.4536839517139066E-2</v>
      </c>
      <c r="BE264" s="309">
        <f t="shared" si="513"/>
        <v>0.99163654001536661</v>
      </c>
      <c r="BF264" s="400" t="s">
        <v>413</v>
      </c>
      <c r="BG264" s="286">
        <v>105</v>
      </c>
      <c r="BH264" s="286">
        <f t="shared" si="508"/>
        <v>105</v>
      </c>
      <c r="BI264" s="373">
        <v>0.94430000000000003</v>
      </c>
      <c r="BJ264" s="373">
        <f t="shared" si="369"/>
        <v>0.81399999999999995</v>
      </c>
      <c r="BK264" s="312">
        <f t="shared" si="370"/>
        <v>1</v>
      </c>
      <c r="BL264" s="311">
        <f t="shared" si="505"/>
        <v>80.709320999999989</v>
      </c>
      <c r="BM264" s="309">
        <f t="shared" si="447"/>
        <v>0.72052565516071565</v>
      </c>
      <c r="BN264" s="309">
        <f t="shared" si="411"/>
        <v>1.4289991353517544</v>
      </c>
      <c r="BP264" s="328">
        <f t="shared" si="424"/>
        <v>2.8984340566528917</v>
      </c>
      <c r="BQ264" s="328">
        <f t="shared" si="425"/>
        <v>0.4090363301179758</v>
      </c>
      <c r="BR264" s="328">
        <f t="shared" si="426"/>
        <v>0.23917604626311753</v>
      </c>
      <c r="BS264" s="328">
        <f t="shared" si="427"/>
        <v>0.89759325428201397</v>
      </c>
      <c r="BT264" s="328">
        <f t="shared" si="428"/>
        <v>0.5</v>
      </c>
      <c r="BV264" s="328">
        <f t="shared" si="429"/>
        <v>0.5</v>
      </c>
      <c r="BW264" s="328">
        <f t="shared" si="430"/>
        <v>1</v>
      </c>
      <c r="BX264" s="373">
        <f t="shared" si="387"/>
        <v>0.44534967335259334</v>
      </c>
      <c r="BY264" s="311">
        <f t="shared" si="431"/>
        <v>26955.154644301627</v>
      </c>
      <c r="BZ264" s="311">
        <f t="shared" si="432"/>
        <v>21992.639999999999</v>
      </c>
      <c r="CA264" s="311">
        <f t="shared" si="433"/>
        <v>49885.620985754074</v>
      </c>
      <c r="CB264" s="307">
        <f t="shared" si="434"/>
        <v>48.947794644301624</v>
      </c>
      <c r="CC264" s="309">
        <f t="shared" si="390"/>
        <v>0.43697730779766569</v>
      </c>
      <c r="CD264" s="379">
        <f t="shared" si="435"/>
        <v>1.6488857483060466</v>
      </c>
    </row>
    <row r="265" spans="1:82" x14ac:dyDescent="0.25">
      <c r="A265" s="373">
        <v>257</v>
      </c>
      <c r="B265" s="286" t="s">
        <v>952</v>
      </c>
      <c r="C265" s="286" t="s">
        <v>991</v>
      </c>
      <c r="D265" s="286" t="s">
        <v>597</v>
      </c>
      <c r="E265" s="286" t="s">
        <v>668</v>
      </c>
      <c r="F265" s="286" t="s">
        <v>485</v>
      </c>
      <c r="G265" s="286">
        <v>2372</v>
      </c>
      <c r="H265" s="286">
        <f t="shared" si="400"/>
        <v>1186</v>
      </c>
      <c r="I265" s="286">
        <v>1235</v>
      </c>
      <c r="J265" s="286">
        <f t="shared" si="396"/>
        <v>2929420</v>
      </c>
      <c r="K265" s="286">
        <v>90.7</v>
      </c>
      <c r="L265" s="327">
        <f t="shared" si="495"/>
        <v>988</v>
      </c>
      <c r="M265" s="411">
        <f t="shared" si="496"/>
        <v>1.9206477732793523</v>
      </c>
      <c r="N265" s="411">
        <f t="shared" si="497"/>
        <v>0.96032388663967616</v>
      </c>
      <c r="O265" s="411">
        <f t="shared" si="498"/>
        <v>0.96032388663967616</v>
      </c>
      <c r="P265" s="393">
        <f t="shared" si="510"/>
        <v>56479.615000000005</v>
      </c>
      <c r="Q265" s="393">
        <f t="shared" si="499"/>
        <v>112014.5</v>
      </c>
      <c r="R265" s="408">
        <f t="shared" si="500"/>
        <v>0.50421699869213366</v>
      </c>
      <c r="S265" s="286">
        <v>1233</v>
      </c>
      <c r="T265" s="286">
        <v>1235</v>
      </c>
      <c r="U265" s="286">
        <v>26.9</v>
      </c>
      <c r="V265" s="286">
        <v>4.4800000000000004</v>
      </c>
      <c r="X265" s="286">
        <v>11.14</v>
      </c>
      <c r="Z265" s="423" t="s">
        <v>413</v>
      </c>
      <c r="AA265" s="286">
        <v>8.09</v>
      </c>
      <c r="AB265" s="286">
        <v>8.85</v>
      </c>
      <c r="AC265" s="286">
        <v>3</v>
      </c>
      <c r="AD265" s="286">
        <f t="shared" si="501"/>
        <v>3.2238147739801541</v>
      </c>
      <c r="AE265" s="286">
        <v>10</v>
      </c>
      <c r="AF265" s="313">
        <f t="shared" si="392"/>
        <v>0.89275416753450076</v>
      </c>
      <c r="AG265" s="398">
        <f t="shared" si="502"/>
        <v>7.2223812153541109</v>
      </c>
      <c r="AH265" s="398">
        <f t="shared" si="503"/>
        <v>7.9008743826803318</v>
      </c>
      <c r="AI265" s="403">
        <f t="shared" si="511"/>
        <v>7.7475129513774048</v>
      </c>
      <c r="AJ265" s="286" t="s">
        <v>1003</v>
      </c>
      <c r="AK265" s="286" t="s">
        <v>1003</v>
      </c>
      <c r="AL265" s="286">
        <v>100</v>
      </c>
      <c r="AM265" s="286">
        <f t="shared" si="512"/>
        <v>300</v>
      </c>
      <c r="AN265" s="306">
        <f t="shared" si="419"/>
        <v>3.3477808676555267E-3</v>
      </c>
      <c r="AO265" s="286">
        <v>458.18</v>
      </c>
      <c r="AP265" s="393">
        <f t="shared" si="507"/>
        <v>1.5338862379424092</v>
      </c>
      <c r="AQ265" s="286">
        <v>1140</v>
      </c>
      <c r="AR265" s="286" t="s">
        <v>1003</v>
      </c>
      <c r="AS265" s="286">
        <v>100</v>
      </c>
      <c r="AT265" s="286" t="s">
        <v>413</v>
      </c>
      <c r="AU265" s="286">
        <v>0</v>
      </c>
      <c r="AV265" s="286">
        <v>100</v>
      </c>
      <c r="AW265" s="327">
        <f t="shared" si="407"/>
        <v>100</v>
      </c>
      <c r="AX265" s="306">
        <f t="shared" si="413"/>
        <v>8.9274156470814045E-4</v>
      </c>
      <c r="AY265" s="286">
        <v>458.18</v>
      </c>
      <c r="AZ265" s="393">
        <f t="shared" si="398"/>
        <v>0.4090363301179758</v>
      </c>
      <c r="BA265" s="286">
        <v>1235</v>
      </c>
      <c r="BB265" s="414">
        <f t="shared" si="422"/>
        <v>224.029</v>
      </c>
      <c r="BC265" s="286">
        <v>2</v>
      </c>
      <c r="BD265" s="398">
        <f t="shared" si="445"/>
        <v>0.25814735806855627</v>
      </c>
      <c r="BE265" s="309">
        <f t="shared" si="513"/>
        <v>3.9665461600614664</v>
      </c>
      <c r="BF265" s="400" t="s">
        <v>413</v>
      </c>
      <c r="BG265" s="286">
        <v>96</v>
      </c>
      <c r="BH265" s="286">
        <f t="shared" si="508"/>
        <v>96</v>
      </c>
      <c r="BI265" s="373">
        <v>0.94430000000000003</v>
      </c>
      <c r="BJ265" s="373">
        <f t="shared" ref="BJ265:BJ300" si="514">IF(D265="Monotonic",0.814,1)</f>
        <v>0.81399999999999995</v>
      </c>
      <c r="BK265" s="312">
        <f t="shared" ref="BK265:BK300" si="515">IF(E265="Dynamic",0.9,1)</f>
        <v>1</v>
      </c>
      <c r="BL265" s="311">
        <f t="shared" si="505"/>
        <v>73.791379199999994</v>
      </c>
      <c r="BM265" s="309">
        <f t="shared" si="447"/>
        <v>0.65876631328979729</v>
      </c>
      <c r="BN265" s="309">
        <f t="shared" si="411"/>
        <v>1.3065134951787469</v>
      </c>
      <c r="BP265" s="328">
        <f t="shared" si="424"/>
        <v>2.8984340566528917</v>
      </c>
      <c r="BQ265" s="328">
        <f t="shared" si="425"/>
        <v>0.4090363301179758</v>
      </c>
      <c r="BR265" s="328">
        <f t="shared" si="426"/>
        <v>0.23917604626311753</v>
      </c>
      <c r="BS265" s="328">
        <f t="shared" si="427"/>
        <v>0.89759325428201397</v>
      </c>
      <c r="BT265" s="328">
        <f t="shared" si="428"/>
        <v>2</v>
      </c>
      <c r="BV265" s="328">
        <f t="shared" si="429"/>
        <v>0.5</v>
      </c>
      <c r="BW265" s="328">
        <f t="shared" si="430"/>
        <v>1</v>
      </c>
      <c r="BX265" s="373">
        <f t="shared" si="387"/>
        <v>0.44534967335259334</v>
      </c>
      <c r="BY265" s="311">
        <f t="shared" si="431"/>
        <v>47957.873394301627</v>
      </c>
      <c r="BZ265" s="311">
        <f t="shared" si="432"/>
        <v>21992.639999999999</v>
      </c>
      <c r="CA265" s="311">
        <f t="shared" si="433"/>
        <v>49885.620985754074</v>
      </c>
      <c r="CB265" s="307">
        <f t="shared" si="434"/>
        <v>49.885620985754073</v>
      </c>
      <c r="CC265" s="309">
        <f t="shared" si="390"/>
        <v>0.4453496733525934</v>
      </c>
      <c r="CD265" s="379">
        <f t="shared" si="435"/>
        <v>1.4792113988331974</v>
      </c>
    </row>
    <row r="266" spans="1:82" x14ac:dyDescent="0.25">
      <c r="A266" s="373">
        <v>258</v>
      </c>
      <c r="B266" s="286" t="s">
        <v>952</v>
      </c>
      <c r="C266" s="286" t="s">
        <v>992</v>
      </c>
      <c r="D266" s="286" t="s">
        <v>597</v>
      </c>
      <c r="E266" s="286" t="s">
        <v>668</v>
      </c>
      <c r="F266" s="286" t="s">
        <v>485</v>
      </c>
      <c r="G266" s="286">
        <v>2372</v>
      </c>
      <c r="H266" s="286">
        <f t="shared" si="400"/>
        <v>1186</v>
      </c>
      <c r="I266" s="286">
        <v>1235</v>
      </c>
      <c r="J266" s="286">
        <f t="shared" si="396"/>
        <v>2929420</v>
      </c>
      <c r="K266" s="286">
        <v>90.7</v>
      </c>
      <c r="L266" s="327">
        <f t="shared" si="495"/>
        <v>988</v>
      </c>
      <c r="M266" s="411">
        <f t="shared" si="496"/>
        <v>1.9206477732793523</v>
      </c>
      <c r="N266" s="411">
        <f t="shared" si="497"/>
        <v>0.96032388663967616</v>
      </c>
      <c r="O266" s="411">
        <f t="shared" si="498"/>
        <v>0.96032388663967616</v>
      </c>
      <c r="P266" s="393">
        <f t="shared" si="510"/>
        <v>56479.615000000005</v>
      </c>
      <c r="Q266" s="393">
        <f t="shared" si="499"/>
        <v>112014.5</v>
      </c>
      <c r="R266" s="408">
        <f t="shared" si="500"/>
        <v>0.50421699869213366</v>
      </c>
      <c r="S266" s="286">
        <v>1233</v>
      </c>
      <c r="T266" s="286">
        <v>1235</v>
      </c>
      <c r="U266" s="286">
        <v>26.9</v>
      </c>
      <c r="V266" s="286">
        <v>4.4800000000000004</v>
      </c>
      <c r="X266" s="286">
        <v>11.14</v>
      </c>
      <c r="Z266" s="423" t="s">
        <v>413</v>
      </c>
      <c r="AA266" s="286">
        <v>8.09</v>
      </c>
      <c r="AB266" s="286">
        <v>8.85</v>
      </c>
      <c r="AC266" s="286">
        <v>3</v>
      </c>
      <c r="AD266" s="286">
        <f t="shared" si="501"/>
        <v>3.2238147739801541</v>
      </c>
      <c r="AE266" s="286">
        <v>10</v>
      </c>
      <c r="AF266" s="313">
        <f t="shared" si="392"/>
        <v>0.89275416753450076</v>
      </c>
      <c r="AG266" s="398">
        <f t="shared" si="502"/>
        <v>7.2223812153541109</v>
      </c>
      <c r="AH266" s="398">
        <f t="shared" si="503"/>
        <v>7.9008743826803318</v>
      </c>
      <c r="AI266" s="403">
        <f t="shared" si="511"/>
        <v>7.7475129513774048</v>
      </c>
      <c r="AJ266" s="286" t="s">
        <v>1003</v>
      </c>
      <c r="AK266" s="286" t="s">
        <v>1003</v>
      </c>
      <c r="AL266" s="286">
        <v>100</v>
      </c>
      <c r="AM266" s="286">
        <f t="shared" si="512"/>
        <v>300</v>
      </c>
      <c r="AN266" s="306">
        <f t="shared" si="419"/>
        <v>3.3477808676555267E-3</v>
      </c>
      <c r="AO266" s="286">
        <v>458.18</v>
      </c>
      <c r="AP266" s="393">
        <f t="shared" si="507"/>
        <v>1.5338862379424092</v>
      </c>
      <c r="AQ266" s="286">
        <v>1140</v>
      </c>
      <c r="AR266" s="286" t="s">
        <v>1003</v>
      </c>
      <c r="AS266" s="286">
        <v>100</v>
      </c>
      <c r="AT266" s="286" t="s">
        <v>413</v>
      </c>
      <c r="AU266" s="286">
        <v>0</v>
      </c>
      <c r="AV266" s="286">
        <v>100</v>
      </c>
      <c r="AW266" s="327">
        <f t="shared" si="407"/>
        <v>100</v>
      </c>
      <c r="AX266" s="306">
        <f t="shared" si="413"/>
        <v>8.9274156470814045E-4</v>
      </c>
      <c r="AY266" s="286">
        <v>458.18</v>
      </c>
      <c r="AZ266" s="393">
        <f t="shared" si="398"/>
        <v>0.4090363301179758</v>
      </c>
      <c r="BA266" s="286">
        <v>1235</v>
      </c>
      <c r="BB266" s="414">
        <f t="shared" si="422"/>
        <v>224.029</v>
      </c>
      <c r="BC266" s="286">
        <v>2</v>
      </c>
      <c r="BD266" s="398">
        <f t="shared" si="445"/>
        <v>0.25814735806855627</v>
      </c>
      <c r="BE266" s="309">
        <f t="shared" si="513"/>
        <v>3.9665461600614664</v>
      </c>
      <c r="BF266" s="400" t="s">
        <v>413</v>
      </c>
      <c r="BG266" s="286">
        <v>95.52</v>
      </c>
      <c r="BH266" s="286">
        <f t="shared" si="508"/>
        <v>95.52</v>
      </c>
      <c r="BI266" s="373">
        <v>0.94430000000000003</v>
      </c>
      <c r="BJ266" s="373">
        <f t="shared" si="514"/>
        <v>0.81399999999999995</v>
      </c>
      <c r="BK266" s="312">
        <f t="shared" si="515"/>
        <v>1</v>
      </c>
      <c r="BL266" s="311">
        <f t="shared" si="505"/>
        <v>73.422422303999994</v>
      </c>
      <c r="BM266" s="309">
        <f t="shared" si="447"/>
        <v>0.65547248172334827</v>
      </c>
      <c r="BN266" s="309">
        <f t="shared" ref="BN266:BN300" si="516">BL266/P266*1000</f>
        <v>1.2999809277028531</v>
      </c>
      <c r="BP266" s="328">
        <f t="shared" si="424"/>
        <v>2.8984340566528917</v>
      </c>
      <c r="BQ266" s="328">
        <f t="shared" si="425"/>
        <v>0.4090363301179758</v>
      </c>
      <c r="BR266" s="328">
        <f t="shared" si="426"/>
        <v>0.23917604626311753</v>
      </c>
      <c r="BS266" s="328">
        <f t="shared" si="427"/>
        <v>0.89759325428201397</v>
      </c>
      <c r="BT266" s="328">
        <f t="shared" si="428"/>
        <v>2</v>
      </c>
      <c r="BV266" s="328">
        <f t="shared" si="429"/>
        <v>0.5</v>
      </c>
      <c r="BW266" s="328">
        <f t="shared" si="430"/>
        <v>1</v>
      </c>
      <c r="BX266" s="373">
        <f t="shared" ref="BX266:BX300" si="517">0.16*(2-BW266)*SQRT(AI266)</f>
        <v>0.44534967335259334</v>
      </c>
      <c r="BY266" s="311">
        <f t="shared" si="431"/>
        <v>47957.873394301627</v>
      </c>
      <c r="BZ266" s="311">
        <f t="shared" si="432"/>
        <v>21992.639999999999</v>
      </c>
      <c r="CA266" s="311">
        <f t="shared" si="433"/>
        <v>49885.620985754074</v>
      </c>
      <c r="CB266" s="307">
        <f t="shared" si="434"/>
        <v>49.885620985754073</v>
      </c>
      <c r="CC266" s="309">
        <f t="shared" ref="CC266:CC300" si="518">CB266/(K266*I266)*1000</f>
        <v>0.4453496733525934</v>
      </c>
      <c r="CD266" s="379">
        <f t="shared" si="435"/>
        <v>1.4718153418390314</v>
      </c>
    </row>
    <row r="267" spans="1:82" x14ac:dyDescent="0.25">
      <c r="A267" s="373">
        <v>259</v>
      </c>
      <c r="B267" s="286" t="s">
        <v>952</v>
      </c>
      <c r="C267" s="286" t="s">
        <v>993</v>
      </c>
      <c r="D267" s="286" t="s">
        <v>597</v>
      </c>
      <c r="E267" s="286" t="s">
        <v>668</v>
      </c>
      <c r="F267" s="286" t="s">
        <v>485</v>
      </c>
      <c r="G267" s="286">
        <v>2372</v>
      </c>
      <c r="H267" s="286">
        <f t="shared" si="400"/>
        <v>1186</v>
      </c>
      <c r="I267" s="286">
        <v>1235</v>
      </c>
      <c r="J267" s="286">
        <f t="shared" si="396"/>
        <v>2929420</v>
      </c>
      <c r="K267" s="286">
        <v>90.7</v>
      </c>
      <c r="L267" s="327">
        <f t="shared" si="495"/>
        <v>988</v>
      </c>
      <c r="M267" s="411">
        <f t="shared" si="496"/>
        <v>1.9206477732793523</v>
      </c>
      <c r="N267" s="411">
        <f t="shared" si="497"/>
        <v>0.96032388663967616</v>
      </c>
      <c r="O267" s="411">
        <f t="shared" si="498"/>
        <v>0.96032388663967616</v>
      </c>
      <c r="P267" s="393">
        <f t="shared" si="510"/>
        <v>56479.615000000005</v>
      </c>
      <c r="Q267" s="393">
        <f t="shared" si="499"/>
        <v>112014.5</v>
      </c>
      <c r="R267" s="408">
        <f t="shared" si="500"/>
        <v>0.50421699869213366</v>
      </c>
      <c r="S267" s="286">
        <v>1233</v>
      </c>
      <c r="T267" s="286">
        <v>1235</v>
      </c>
      <c r="U267" s="286">
        <v>26.9</v>
      </c>
      <c r="V267" s="286">
        <v>4.4800000000000004</v>
      </c>
      <c r="X267" s="286">
        <v>11.14</v>
      </c>
      <c r="Z267" s="423" t="s">
        <v>413</v>
      </c>
      <c r="AA267" s="286">
        <v>8.09</v>
      </c>
      <c r="AB267" s="286">
        <v>8.85</v>
      </c>
      <c r="AC267" s="286">
        <v>3</v>
      </c>
      <c r="AD267" s="286">
        <f t="shared" si="501"/>
        <v>3.2238147739801541</v>
      </c>
      <c r="AE267" s="286">
        <v>10</v>
      </c>
      <c r="AF267" s="313">
        <f t="shared" si="392"/>
        <v>0.89275416753450076</v>
      </c>
      <c r="AG267" s="398">
        <f t="shared" si="502"/>
        <v>7.2223812153541109</v>
      </c>
      <c r="AH267" s="398">
        <f t="shared" si="503"/>
        <v>7.9008743826803318</v>
      </c>
      <c r="AI267" s="403">
        <f t="shared" si="511"/>
        <v>7.7475129513774048</v>
      </c>
      <c r="AJ267" s="286" t="s">
        <v>1003</v>
      </c>
      <c r="AK267" s="286" t="s">
        <v>1003</v>
      </c>
      <c r="AL267" s="286">
        <v>100</v>
      </c>
      <c r="AM267" s="286">
        <f t="shared" si="512"/>
        <v>300</v>
      </c>
      <c r="AN267" s="306">
        <f t="shared" si="419"/>
        <v>3.3477808676555267E-3</v>
      </c>
      <c r="AO267" s="286">
        <v>458.18</v>
      </c>
      <c r="AP267" s="393">
        <f t="shared" si="507"/>
        <v>1.5338862379424092</v>
      </c>
      <c r="AQ267" s="286">
        <v>1140</v>
      </c>
      <c r="AR267" s="286" t="s">
        <v>1003</v>
      </c>
      <c r="AS267" s="286">
        <v>100</v>
      </c>
      <c r="AT267" s="286" t="s">
        <v>413</v>
      </c>
      <c r="AU267" s="286">
        <v>0</v>
      </c>
      <c r="AV267" s="286">
        <v>100</v>
      </c>
      <c r="AW267" s="327">
        <f t="shared" si="407"/>
        <v>100</v>
      </c>
      <c r="AX267" s="306">
        <f t="shared" si="413"/>
        <v>8.9274156470814045E-4</v>
      </c>
      <c r="AY267" s="286">
        <v>458.18</v>
      </c>
      <c r="AZ267" s="393">
        <f t="shared" si="398"/>
        <v>0.4090363301179758</v>
      </c>
      <c r="BA267" s="286">
        <v>1235</v>
      </c>
      <c r="BB267" s="414">
        <f t="shared" si="422"/>
        <v>224.029</v>
      </c>
      <c r="BC267" s="286">
        <v>2</v>
      </c>
      <c r="BD267" s="398">
        <f t="shared" si="445"/>
        <v>0.25814735806855627</v>
      </c>
      <c r="BE267" s="309">
        <f t="shared" si="513"/>
        <v>3.9665461600614664</v>
      </c>
      <c r="BF267" s="400" t="s">
        <v>413</v>
      </c>
      <c r="BG267" s="286">
        <v>131</v>
      </c>
      <c r="BH267" s="286">
        <f t="shared" si="508"/>
        <v>131</v>
      </c>
      <c r="BI267" s="373">
        <v>0.94430000000000003</v>
      </c>
      <c r="BJ267" s="373">
        <f t="shared" si="514"/>
        <v>0.81399999999999995</v>
      </c>
      <c r="BK267" s="312">
        <f t="shared" si="515"/>
        <v>1</v>
      </c>
      <c r="BL267" s="311">
        <f t="shared" si="505"/>
        <v>100.69448619999999</v>
      </c>
      <c r="BM267" s="309">
        <f t="shared" si="447"/>
        <v>0.89894153167670243</v>
      </c>
      <c r="BN267" s="309">
        <f t="shared" si="516"/>
        <v>1.7828465402959985</v>
      </c>
      <c r="BP267" s="328">
        <f t="shared" si="424"/>
        <v>2.8984340566528917</v>
      </c>
      <c r="BQ267" s="328">
        <f t="shared" si="425"/>
        <v>0.4090363301179758</v>
      </c>
      <c r="BR267" s="328">
        <f t="shared" si="426"/>
        <v>0.23917604626311753</v>
      </c>
      <c r="BS267" s="328">
        <f t="shared" si="427"/>
        <v>0.89759325428201397</v>
      </c>
      <c r="BT267" s="328">
        <f t="shared" si="428"/>
        <v>2</v>
      </c>
      <c r="BV267" s="328">
        <f t="shared" si="429"/>
        <v>0.5</v>
      </c>
      <c r="BW267" s="328">
        <f t="shared" si="430"/>
        <v>1</v>
      </c>
      <c r="BX267" s="373">
        <f t="shared" si="517"/>
        <v>0.44534967335259334</v>
      </c>
      <c r="BY267" s="311">
        <f t="shared" si="431"/>
        <v>47957.873394301627</v>
      </c>
      <c r="BZ267" s="311">
        <f t="shared" si="432"/>
        <v>21992.639999999999</v>
      </c>
      <c r="CA267" s="311">
        <f t="shared" si="433"/>
        <v>49885.620985754074</v>
      </c>
      <c r="CB267" s="307">
        <f t="shared" si="434"/>
        <v>49.885620985754073</v>
      </c>
      <c r="CC267" s="309">
        <f t="shared" si="518"/>
        <v>0.4453496733525934</v>
      </c>
      <c r="CD267" s="379">
        <f t="shared" si="435"/>
        <v>2.0185072213244672</v>
      </c>
    </row>
    <row r="268" spans="1:82" x14ac:dyDescent="0.25">
      <c r="A268" s="373">
        <v>260</v>
      </c>
      <c r="B268" s="286" t="s">
        <v>952</v>
      </c>
      <c r="C268" s="286" t="s">
        <v>994</v>
      </c>
      <c r="D268" s="286" t="s">
        <v>597</v>
      </c>
      <c r="E268" s="286" t="s">
        <v>668</v>
      </c>
      <c r="F268" s="286" t="s">
        <v>485</v>
      </c>
      <c r="G268" s="286">
        <v>2372</v>
      </c>
      <c r="H268" s="286">
        <f t="shared" si="400"/>
        <v>1186</v>
      </c>
      <c r="I268" s="286">
        <v>760</v>
      </c>
      <c r="J268" s="286">
        <f t="shared" si="396"/>
        <v>1802720</v>
      </c>
      <c r="K268" s="286">
        <v>90.7</v>
      </c>
      <c r="L268" s="327">
        <f t="shared" si="495"/>
        <v>608</v>
      </c>
      <c r="M268" s="411">
        <f t="shared" si="496"/>
        <v>3.1210526315789475</v>
      </c>
      <c r="N268" s="411">
        <f t="shared" si="497"/>
        <v>1.5605263157894738</v>
      </c>
      <c r="O268" s="411">
        <f t="shared" si="498"/>
        <v>1.5605263157894738</v>
      </c>
      <c r="P268" s="393">
        <f>(4*186.1/2*K268)+(I268-4*186.1/2)*(16.3)*2</f>
        <v>46400.82</v>
      </c>
      <c r="Q268" s="393">
        <f t="shared" si="499"/>
        <v>68932</v>
      </c>
      <c r="R268" s="408">
        <f t="shared" si="500"/>
        <v>0.67313903557128763</v>
      </c>
      <c r="S268" s="286">
        <v>1233</v>
      </c>
      <c r="T268" s="286">
        <v>760</v>
      </c>
      <c r="U268" s="286">
        <v>26.9</v>
      </c>
      <c r="V268" s="286">
        <v>4.88</v>
      </c>
      <c r="X268" s="286">
        <v>11.5</v>
      </c>
      <c r="Z268" s="423" t="s">
        <v>413</v>
      </c>
      <c r="AA268" s="286">
        <v>8.17</v>
      </c>
      <c r="AB268" s="286">
        <v>9.11</v>
      </c>
      <c r="AC268" s="286">
        <v>3</v>
      </c>
      <c r="AD268" s="286">
        <f t="shared" si="501"/>
        <v>3.2238147739801541</v>
      </c>
      <c r="AE268" s="286">
        <v>10</v>
      </c>
      <c r="AF268" s="313">
        <f t="shared" si="392"/>
        <v>0.89275416753450076</v>
      </c>
      <c r="AG268" s="398">
        <f t="shared" si="502"/>
        <v>7.2938015487568713</v>
      </c>
      <c r="AH268" s="398">
        <f t="shared" si="503"/>
        <v>8.1329904662393009</v>
      </c>
      <c r="AI268" s="403">
        <f>((3*390/2)*AG268+(I268-3*390/2)*AH268)/I268</f>
        <v>7.4870358389666416</v>
      </c>
      <c r="AJ268" s="286" t="s">
        <v>1004</v>
      </c>
      <c r="AK268" s="286" t="s">
        <v>1003</v>
      </c>
      <c r="AL268" s="286">
        <v>100</v>
      </c>
      <c r="AM268" s="286">
        <f>4*AL268</f>
        <v>400</v>
      </c>
      <c r="AN268" s="306">
        <f t="shared" si="419"/>
        <v>7.2535252132536407E-3</v>
      </c>
      <c r="AO268" s="286">
        <v>458.18</v>
      </c>
      <c r="AP268" s="393">
        <f t="shared" si="507"/>
        <v>3.3234201822085532</v>
      </c>
      <c r="AQ268" s="286">
        <v>760</v>
      </c>
      <c r="AR268" s="286" t="s">
        <v>1003</v>
      </c>
      <c r="AS268" s="286">
        <v>100</v>
      </c>
      <c r="AT268" s="286" t="s">
        <v>413</v>
      </c>
      <c r="AU268" s="286">
        <v>0</v>
      </c>
      <c r="AV268" s="286">
        <v>100</v>
      </c>
      <c r="AW268" s="327">
        <f t="shared" si="407"/>
        <v>100</v>
      </c>
      <c r="AX268" s="306">
        <f t="shared" ref="AX268:AX290" si="519">IF(AV268=0,0,AV268/(BA268*K268))</f>
        <v>1.4507050426507283E-3</v>
      </c>
      <c r="AY268" s="286">
        <v>458.18</v>
      </c>
      <c r="AZ268" s="393">
        <f t="shared" si="398"/>
        <v>0.6646840364417107</v>
      </c>
      <c r="BA268" s="286">
        <v>760</v>
      </c>
      <c r="BB268" s="414">
        <f t="shared" si="422"/>
        <v>34.466000000000001</v>
      </c>
      <c r="BC268" s="286">
        <v>0.5</v>
      </c>
      <c r="BD268" s="398">
        <f t="shared" si="445"/>
        <v>6.6782103191990308E-2</v>
      </c>
      <c r="BE268" s="309">
        <f t="shared" si="513"/>
        <v>0.7427885972704793</v>
      </c>
      <c r="BF268" s="400" t="s">
        <v>413</v>
      </c>
      <c r="BG268" s="286">
        <v>197.3</v>
      </c>
      <c r="BH268" s="286">
        <f t="shared" si="508"/>
        <v>197.3</v>
      </c>
      <c r="BI268" s="373">
        <v>0.94430000000000003</v>
      </c>
      <c r="BJ268" s="373">
        <f t="shared" si="514"/>
        <v>0.81399999999999995</v>
      </c>
      <c r="BK268" s="312">
        <f t="shared" si="515"/>
        <v>1</v>
      </c>
      <c r="BL268" s="311">
        <f t="shared" si="505"/>
        <v>151.65665745999999</v>
      </c>
      <c r="BM268" s="309">
        <f t="shared" si="447"/>
        <v>2.2000907772877616</v>
      </c>
      <c r="BN268" s="309">
        <f t="shared" si="516"/>
        <v>3.2684046846585897</v>
      </c>
      <c r="BP268" s="328">
        <f t="shared" si="424"/>
        <v>1.7534115349234956</v>
      </c>
      <c r="BQ268" s="328">
        <f t="shared" si="425"/>
        <v>0.6646840364417107</v>
      </c>
      <c r="BR268" s="328">
        <f t="shared" si="426"/>
        <v>0.52652149907452594</v>
      </c>
      <c r="BS268" s="328">
        <f t="shared" si="427"/>
        <v>1.5016452838451306</v>
      </c>
      <c r="BT268" s="328">
        <f t="shared" si="428"/>
        <v>0.5</v>
      </c>
      <c r="BV268" s="328">
        <f t="shared" si="429"/>
        <v>0.5</v>
      </c>
      <c r="BW268" s="328">
        <f t="shared" si="430"/>
        <v>1</v>
      </c>
      <c r="BX268" s="373">
        <f t="shared" si="517"/>
        <v>0.43779917482510861</v>
      </c>
      <c r="BY268" s="311">
        <f t="shared" si="431"/>
        <v>16379.599087617753</v>
      </c>
      <c r="BZ268" s="311">
        <f t="shared" si="432"/>
        <v>21992.639999999999</v>
      </c>
      <c r="CA268" s="311">
        <f t="shared" si="433"/>
        <v>30178.372719044393</v>
      </c>
      <c r="CB268" s="307">
        <f t="shared" si="434"/>
        <v>30.178372719044393</v>
      </c>
      <c r="CC268" s="309">
        <f t="shared" si="518"/>
        <v>0.43779917482510872</v>
      </c>
      <c r="CD268" s="379">
        <f t="shared" si="435"/>
        <v>5.0253424487760867</v>
      </c>
    </row>
    <row r="269" spans="1:82" x14ac:dyDescent="0.25">
      <c r="A269" s="373">
        <v>261</v>
      </c>
      <c r="B269" s="286" t="s">
        <v>952</v>
      </c>
      <c r="C269" s="286" t="s">
        <v>995</v>
      </c>
      <c r="D269" s="286" t="s">
        <v>597</v>
      </c>
      <c r="E269" s="286" t="s">
        <v>668</v>
      </c>
      <c r="F269" s="286" t="s">
        <v>485</v>
      </c>
      <c r="G269" s="286">
        <v>2372</v>
      </c>
      <c r="H269" s="286">
        <f t="shared" si="400"/>
        <v>1186</v>
      </c>
      <c r="I269" s="286">
        <v>760</v>
      </c>
      <c r="J269" s="286">
        <f t="shared" si="396"/>
        <v>1802720</v>
      </c>
      <c r="K269" s="286">
        <v>90.7</v>
      </c>
      <c r="L269" s="327">
        <f t="shared" si="495"/>
        <v>608</v>
      </c>
      <c r="M269" s="411">
        <f t="shared" si="496"/>
        <v>3.1210526315789475</v>
      </c>
      <c r="N269" s="411">
        <f t="shared" si="497"/>
        <v>1.5605263157894738</v>
      </c>
      <c r="O269" s="411">
        <f t="shared" si="498"/>
        <v>1.5605263157894738</v>
      </c>
      <c r="P269" s="393">
        <f t="shared" ref="P269:P273" si="520">(4*186.1/2*K269)+(I269-4*186.1/2)*(16.3)*2</f>
        <v>46400.82</v>
      </c>
      <c r="Q269" s="393">
        <f t="shared" si="499"/>
        <v>68932</v>
      </c>
      <c r="R269" s="408">
        <f t="shared" si="500"/>
        <v>0.67313903557128763</v>
      </c>
      <c r="S269" s="286">
        <v>1233</v>
      </c>
      <c r="T269" s="286">
        <v>760</v>
      </c>
      <c r="U269" s="286">
        <v>26.9</v>
      </c>
      <c r="V269" s="286">
        <v>4.88</v>
      </c>
      <c r="X269" s="286">
        <v>11.5</v>
      </c>
      <c r="Z269" s="423" t="s">
        <v>413</v>
      </c>
      <c r="AA269" s="286">
        <v>8.17</v>
      </c>
      <c r="AB269" s="286">
        <v>9.11</v>
      </c>
      <c r="AC269" s="286">
        <v>3</v>
      </c>
      <c r="AD269" s="286">
        <f t="shared" si="501"/>
        <v>3.2238147739801541</v>
      </c>
      <c r="AE269" s="286">
        <v>10</v>
      </c>
      <c r="AF269" s="313">
        <f t="shared" si="392"/>
        <v>0.89275416753450076</v>
      </c>
      <c r="AG269" s="398">
        <f t="shared" si="502"/>
        <v>7.2938015487568713</v>
      </c>
      <c r="AH269" s="398">
        <f t="shared" si="503"/>
        <v>8.1329904662393009</v>
      </c>
      <c r="AI269" s="403">
        <f>((4*390/2)*AG269+(I269-4*390/2)*AH269)/I269</f>
        <v>7.2717176298757549</v>
      </c>
      <c r="AJ269" s="286" t="s">
        <v>1004</v>
      </c>
      <c r="AK269" s="286" t="s">
        <v>1003</v>
      </c>
      <c r="AL269" s="286">
        <v>100</v>
      </c>
      <c r="AM269" s="286">
        <f t="shared" ref="AM269:AM273" si="521">4*AL269</f>
        <v>400</v>
      </c>
      <c r="AN269" s="306">
        <f t="shared" si="419"/>
        <v>7.2535252132536407E-3</v>
      </c>
      <c r="AO269" s="286">
        <v>458.18</v>
      </c>
      <c r="AP269" s="393">
        <f t="shared" si="507"/>
        <v>3.3234201822085532</v>
      </c>
      <c r="AQ269" s="286">
        <v>760</v>
      </c>
      <c r="AR269" s="286" t="s">
        <v>1003</v>
      </c>
      <c r="AS269" s="286">
        <v>100</v>
      </c>
      <c r="AT269" s="286" t="s">
        <v>413</v>
      </c>
      <c r="AU269" s="286">
        <v>0</v>
      </c>
      <c r="AV269" s="286">
        <v>100</v>
      </c>
      <c r="AW269" s="327">
        <f t="shared" si="407"/>
        <v>100</v>
      </c>
      <c r="AX269" s="306">
        <f t="shared" si="519"/>
        <v>1.4507050426507283E-3</v>
      </c>
      <c r="AY269" s="286">
        <v>458.18</v>
      </c>
      <c r="AZ269" s="393">
        <f t="shared" si="398"/>
        <v>0.6646840364417107</v>
      </c>
      <c r="BA269" s="286">
        <v>760</v>
      </c>
      <c r="BB269" s="414">
        <f t="shared" si="422"/>
        <v>34.466000000000001</v>
      </c>
      <c r="BC269" s="286">
        <v>0.5</v>
      </c>
      <c r="BD269" s="398">
        <f t="shared" si="445"/>
        <v>6.8759545605257918E-2</v>
      </c>
      <c r="BE269" s="309">
        <f t="shared" si="513"/>
        <v>0.7427885972704793</v>
      </c>
      <c r="BF269" s="400" t="s">
        <v>413</v>
      </c>
      <c r="BG269" s="286">
        <v>168.8</v>
      </c>
      <c r="BH269" s="286">
        <f t="shared" si="508"/>
        <v>168.8</v>
      </c>
      <c r="BI269" s="373">
        <v>0.94430000000000003</v>
      </c>
      <c r="BJ269" s="373">
        <f t="shared" si="514"/>
        <v>0.81399999999999995</v>
      </c>
      <c r="BK269" s="312">
        <f t="shared" si="515"/>
        <v>1</v>
      </c>
      <c r="BL269" s="311">
        <f t="shared" si="505"/>
        <v>129.74984175999998</v>
      </c>
      <c r="BM269" s="309">
        <f t="shared" si="447"/>
        <v>1.8822874972436601</v>
      </c>
      <c r="BN269" s="309">
        <f t="shared" si="516"/>
        <v>2.796283379474759</v>
      </c>
      <c r="BP269" s="328">
        <f t="shared" si="424"/>
        <v>1.7280145956377513</v>
      </c>
      <c r="BQ269" s="328">
        <f t="shared" si="425"/>
        <v>0.6646840364417107</v>
      </c>
      <c r="BR269" s="328">
        <f t="shared" si="426"/>
        <v>0.52652149907452594</v>
      </c>
      <c r="BS269" s="328">
        <f t="shared" si="427"/>
        <v>1.4798950025546616</v>
      </c>
      <c r="BT269" s="328">
        <f t="shared" si="428"/>
        <v>0.5</v>
      </c>
      <c r="BV269" s="328">
        <f t="shared" si="429"/>
        <v>0.5</v>
      </c>
      <c r="BW269" s="328">
        <f t="shared" si="430"/>
        <v>1</v>
      </c>
      <c r="BX269" s="373">
        <f t="shared" si="517"/>
        <v>0.43145796008976278</v>
      </c>
      <c r="BY269" s="311">
        <f t="shared" si="431"/>
        <v>16204.754041963011</v>
      </c>
      <c r="BZ269" s="311">
        <f t="shared" si="432"/>
        <v>21992.639999999999</v>
      </c>
      <c r="CA269" s="311">
        <f t="shared" si="433"/>
        <v>29741.260104907531</v>
      </c>
      <c r="CB269" s="307">
        <f t="shared" si="434"/>
        <v>29.741260104907532</v>
      </c>
      <c r="CC269" s="309">
        <f t="shared" si="518"/>
        <v>0.43145796008976284</v>
      </c>
      <c r="CD269" s="379">
        <f t="shared" si="435"/>
        <v>4.3626208607950101</v>
      </c>
    </row>
    <row r="270" spans="1:82" x14ac:dyDescent="0.25">
      <c r="A270" s="373">
        <v>262</v>
      </c>
      <c r="B270" s="286" t="s">
        <v>952</v>
      </c>
      <c r="C270" s="286" t="s">
        <v>996</v>
      </c>
      <c r="D270" s="286" t="s">
        <v>597</v>
      </c>
      <c r="E270" s="286" t="s">
        <v>668</v>
      </c>
      <c r="F270" s="286" t="s">
        <v>485</v>
      </c>
      <c r="G270" s="286">
        <v>2372</v>
      </c>
      <c r="H270" s="286">
        <f t="shared" si="400"/>
        <v>1186</v>
      </c>
      <c r="I270" s="286">
        <v>760</v>
      </c>
      <c r="J270" s="286">
        <f t="shared" si="396"/>
        <v>1802720</v>
      </c>
      <c r="K270" s="286">
        <v>90.7</v>
      </c>
      <c r="L270" s="327">
        <f t="shared" si="495"/>
        <v>608</v>
      </c>
      <c r="M270" s="411">
        <f t="shared" si="496"/>
        <v>3.1210526315789475</v>
      </c>
      <c r="N270" s="411">
        <f t="shared" si="497"/>
        <v>1.5605263157894738</v>
      </c>
      <c r="O270" s="411">
        <f t="shared" si="498"/>
        <v>1.5605263157894738</v>
      </c>
      <c r="P270" s="393">
        <f t="shared" si="520"/>
        <v>46400.82</v>
      </c>
      <c r="Q270" s="393">
        <f t="shared" si="499"/>
        <v>68932</v>
      </c>
      <c r="R270" s="408">
        <f t="shared" si="500"/>
        <v>0.67313903557128763</v>
      </c>
      <c r="S270" s="286">
        <v>1233</v>
      </c>
      <c r="T270" s="286">
        <v>760</v>
      </c>
      <c r="U270" s="286">
        <v>26.9</v>
      </c>
      <c r="V270" s="286">
        <v>4.88</v>
      </c>
      <c r="X270" s="286">
        <v>11.5</v>
      </c>
      <c r="Z270" s="423" t="s">
        <v>413</v>
      </c>
      <c r="AA270" s="286">
        <v>8.17</v>
      </c>
      <c r="AB270" s="286">
        <v>9.11</v>
      </c>
      <c r="AC270" s="286">
        <v>3</v>
      </c>
      <c r="AD270" s="286">
        <f t="shared" si="501"/>
        <v>3.2238147739801541</v>
      </c>
      <c r="AE270" s="286">
        <v>10</v>
      </c>
      <c r="AF270" s="313">
        <f t="shared" si="392"/>
        <v>0.89275416753450076</v>
      </c>
      <c r="AG270" s="398">
        <f t="shared" si="502"/>
        <v>7.2938015487568713</v>
      </c>
      <c r="AH270" s="398">
        <f t="shared" si="503"/>
        <v>8.1329904662393009</v>
      </c>
      <c r="AI270" s="403">
        <f>((4*390/2)*AG270+(I270-4*390/2)*AH270)/I270</f>
        <v>7.2717176298757549</v>
      </c>
      <c r="AJ270" s="286" t="s">
        <v>1004</v>
      </c>
      <c r="AK270" s="286" t="s">
        <v>1003</v>
      </c>
      <c r="AL270" s="286">
        <v>100</v>
      </c>
      <c r="AM270" s="286">
        <f t="shared" si="521"/>
        <v>400</v>
      </c>
      <c r="AN270" s="306">
        <f t="shared" ref="AN270:AN300" si="522">AM270/K270/L270</f>
        <v>7.2535252132536407E-3</v>
      </c>
      <c r="AO270" s="286">
        <v>458.18</v>
      </c>
      <c r="AP270" s="393">
        <f t="shared" si="507"/>
        <v>3.3234201822085532</v>
      </c>
      <c r="AQ270" s="286">
        <v>760</v>
      </c>
      <c r="AR270" s="286" t="s">
        <v>1003</v>
      </c>
      <c r="AS270" s="286">
        <v>100</v>
      </c>
      <c r="AT270" s="286" t="s">
        <v>413</v>
      </c>
      <c r="AU270" s="286">
        <v>0</v>
      </c>
      <c r="AV270" s="286">
        <v>100</v>
      </c>
      <c r="AW270" s="327">
        <f t="shared" si="407"/>
        <v>100</v>
      </c>
      <c r="AX270" s="306">
        <f t="shared" si="519"/>
        <v>1.4507050426507283E-3</v>
      </c>
      <c r="AY270" s="286">
        <v>458.18</v>
      </c>
      <c r="AZ270" s="393">
        <f t="shared" si="398"/>
        <v>0.6646840364417107</v>
      </c>
      <c r="BA270" s="286">
        <v>760</v>
      </c>
      <c r="BB270" s="414">
        <f t="shared" ref="BB270:BB300" si="523">BC270*Q270/1000</f>
        <v>34.466000000000001</v>
      </c>
      <c r="BC270" s="286">
        <v>0.5</v>
      </c>
      <c r="BD270" s="398">
        <f t="shared" si="445"/>
        <v>6.8759545605257918E-2</v>
      </c>
      <c r="BE270" s="309">
        <f t="shared" si="513"/>
        <v>0.7427885972704793</v>
      </c>
      <c r="BF270" s="400" t="s">
        <v>413</v>
      </c>
      <c r="BG270" s="286">
        <v>184</v>
      </c>
      <c r="BH270" s="286">
        <f t="shared" si="508"/>
        <v>184</v>
      </c>
      <c r="BI270" s="373">
        <v>0.94430000000000003</v>
      </c>
      <c r="BJ270" s="373">
        <f t="shared" si="514"/>
        <v>0.81399999999999995</v>
      </c>
      <c r="BK270" s="312">
        <f t="shared" si="515"/>
        <v>1</v>
      </c>
      <c r="BL270" s="311">
        <f t="shared" si="505"/>
        <v>141.43347679999999</v>
      </c>
      <c r="BM270" s="309">
        <f t="shared" si="447"/>
        <v>2.0517825799338478</v>
      </c>
      <c r="BN270" s="309">
        <f t="shared" si="516"/>
        <v>3.0480814089061359</v>
      </c>
      <c r="BP270" s="328">
        <f t="shared" si="424"/>
        <v>1.7280145956377513</v>
      </c>
      <c r="BQ270" s="328">
        <f t="shared" si="425"/>
        <v>0.6646840364417107</v>
      </c>
      <c r="BR270" s="328">
        <f t="shared" si="426"/>
        <v>0.52652149907452594</v>
      </c>
      <c r="BS270" s="328">
        <f t="shared" si="427"/>
        <v>1.4798950025546616</v>
      </c>
      <c r="BT270" s="328">
        <f t="shared" si="428"/>
        <v>0.5</v>
      </c>
      <c r="BV270" s="328">
        <f t="shared" si="429"/>
        <v>0.5</v>
      </c>
      <c r="BW270" s="328">
        <f t="shared" si="430"/>
        <v>1</v>
      </c>
      <c r="BX270" s="373">
        <f t="shared" si="517"/>
        <v>0.43145796008976278</v>
      </c>
      <c r="BY270" s="311">
        <f t="shared" si="431"/>
        <v>16204.754041963011</v>
      </c>
      <c r="BZ270" s="311">
        <f t="shared" si="432"/>
        <v>21992.639999999999</v>
      </c>
      <c r="CA270" s="311">
        <f t="shared" si="433"/>
        <v>29741.260104907531</v>
      </c>
      <c r="CB270" s="307">
        <f t="shared" si="434"/>
        <v>29.741260104907532</v>
      </c>
      <c r="CC270" s="309">
        <f t="shared" si="518"/>
        <v>0.43145796008976284</v>
      </c>
      <c r="CD270" s="379">
        <f t="shared" si="435"/>
        <v>4.7554634975490631</v>
      </c>
    </row>
    <row r="271" spans="1:82" x14ac:dyDescent="0.25">
      <c r="A271" s="373">
        <v>263</v>
      </c>
      <c r="B271" s="286" t="s">
        <v>952</v>
      </c>
      <c r="C271" s="286" t="s">
        <v>997</v>
      </c>
      <c r="D271" s="286" t="s">
        <v>597</v>
      </c>
      <c r="E271" s="286" t="s">
        <v>668</v>
      </c>
      <c r="F271" s="286" t="s">
        <v>485</v>
      </c>
      <c r="G271" s="286">
        <v>2372</v>
      </c>
      <c r="H271" s="286">
        <f t="shared" si="400"/>
        <v>1186</v>
      </c>
      <c r="I271" s="286">
        <v>760</v>
      </c>
      <c r="J271" s="286">
        <f t="shared" ref="J271:J277" si="524">I271*G271</f>
        <v>1802720</v>
      </c>
      <c r="K271" s="286">
        <v>90.7</v>
      </c>
      <c r="L271" s="327">
        <f t="shared" si="495"/>
        <v>608</v>
      </c>
      <c r="M271" s="411">
        <f t="shared" si="496"/>
        <v>3.1210526315789475</v>
      </c>
      <c r="N271" s="411">
        <f t="shared" si="497"/>
        <v>1.5605263157894738</v>
      </c>
      <c r="O271" s="411">
        <f t="shared" si="498"/>
        <v>1.5605263157894738</v>
      </c>
      <c r="P271" s="393">
        <f t="shared" si="520"/>
        <v>46400.82</v>
      </c>
      <c r="Q271" s="393">
        <f t="shared" si="499"/>
        <v>68932</v>
      </c>
      <c r="R271" s="408">
        <f t="shared" si="500"/>
        <v>0.67313903557128763</v>
      </c>
      <c r="S271" s="286">
        <v>1233</v>
      </c>
      <c r="T271" s="286">
        <v>760</v>
      </c>
      <c r="U271" s="286">
        <v>26.9</v>
      </c>
      <c r="V271" s="286">
        <v>4.88</v>
      </c>
      <c r="X271" s="286">
        <v>11.5</v>
      </c>
      <c r="Z271" s="423" t="s">
        <v>413</v>
      </c>
      <c r="AA271" s="286">
        <v>8.17</v>
      </c>
      <c r="AB271" s="286">
        <v>9.11</v>
      </c>
      <c r="AC271" s="286">
        <v>3</v>
      </c>
      <c r="AD271" s="286">
        <f t="shared" si="501"/>
        <v>3.2238147739801541</v>
      </c>
      <c r="AE271" s="286">
        <v>10</v>
      </c>
      <c r="AF271" s="313">
        <f t="shared" si="392"/>
        <v>0.89275416753450076</v>
      </c>
      <c r="AG271" s="398">
        <f t="shared" si="502"/>
        <v>7.2938015487568713</v>
      </c>
      <c r="AH271" s="398">
        <f t="shared" si="503"/>
        <v>8.1329904662393009</v>
      </c>
      <c r="AI271" s="403">
        <f>((4*390/2)*AG271+(I271-4*390/2)*AH271)/I271</f>
        <v>7.2717176298757549</v>
      </c>
      <c r="AJ271" s="286" t="s">
        <v>1004</v>
      </c>
      <c r="AK271" s="286" t="s">
        <v>1003</v>
      </c>
      <c r="AL271" s="286">
        <v>100</v>
      </c>
      <c r="AM271" s="286">
        <f t="shared" si="521"/>
        <v>400</v>
      </c>
      <c r="AN271" s="306">
        <f t="shared" si="522"/>
        <v>7.2535252132536407E-3</v>
      </c>
      <c r="AO271" s="286">
        <v>458.18</v>
      </c>
      <c r="AP271" s="393">
        <f t="shared" si="507"/>
        <v>3.3234201822085532</v>
      </c>
      <c r="AQ271" s="286">
        <v>760</v>
      </c>
      <c r="AR271" s="286" t="s">
        <v>1003</v>
      </c>
      <c r="AS271" s="286">
        <v>100</v>
      </c>
      <c r="AT271" s="286" t="s">
        <v>413</v>
      </c>
      <c r="AU271" s="286">
        <v>0</v>
      </c>
      <c r="AV271" s="286">
        <v>100</v>
      </c>
      <c r="AW271" s="327">
        <f t="shared" si="407"/>
        <v>100</v>
      </c>
      <c r="AX271" s="306">
        <f t="shared" si="519"/>
        <v>1.4507050426507283E-3</v>
      </c>
      <c r="AY271" s="286">
        <v>458.18</v>
      </c>
      <c r="AZ271" s="393">
        <f t="shared" ref="AZ271:AZ290" si="525">AX271*AY271</f>
        <v>0.6646840364417107</v>
      </c>
      <c r="BA271" s="286">
        <v>760</v>
      </c>
      <c r="BB271" s="414">
        <f t="shared" si="523"/>
        <v>137.864</v>
      </c>
      <c r="BC271" s="286">
        <v>2</v>
      </c>
      <c r="BD271" s="398">
        <f t="shared" si="445"/>
        <v>0.27503818242103167</v>
      </c>
      <c r="BE271" s="309">
        <f t="shared" si="513"/>
        <v>2.9711543890819172</v>
      </c>
      <c r="BF271" s="400" t="s">
        <v>413</v>
      </c>
      <c r="BG271" s="286">
        <v>180</v>
      </c>
      <c r="BH271" s="286">
        <f t="shared" si="508"/>
        <v>180</v>
      </c>
      <c r="BI271" s="373">
        <v>0.94430000000000003</v>
      </c>
      <c r="BJ271" s="373">
        <f t="shared" si="514"/>
        <v>0.81399999999999995</v>
      </c>
      <c r="BK271" s="312">
        <f t="shared" si="515"/>
        <v>1</v>
      </c>
      <c r="BL271" s="311">
        <f t="shared" si="505"/>
        <v>138.358836</v>
      </c>
      <c r="BM271" s="309">
        <f t="shared" si="447"/>
        <v>2.0071786108048513</v>
      </c>
      <c r="BN271" s="309">
        <f t="shared" si="516"/>
        <v>2.9818187695820892</v>
      </c>
      <c r="BP271" s="328">
        <f t="shared" si="424"/>
        <v>1.7280145956377513</v>
      </c>
      <c r="BQ271" s="328">
        <f t="shared" si="425"/>
        <v>0.6646840364417107</v>
      </c>
      <c r="BR271" s="328">
        <f t="shared" si="426"/>
        <v>0.52652149907452594</v>
      </c>
      <c r="BS271" s="328">
        <f t="shared" si="427"/>
        <v>1.4798950025546616</v>
      </c>
      <c r="BT271" s="328">
        <f t="shared" si="428"/>
        <v>2</v>
      </c>
      <c r="BV271" s="328">
        <f t="shared" si="429"/>
        <v>0.5</v>
      </c>
      <c r="BW271" s="328">
        <f t="shared" si="430"/>
        <v>1</v>
      </c>
      <c r="BX271" s="373">
        <f t="shared" si="517"/>
        <v>0.43145796008976278</v>
      </c>
      <c r="BY271" s="311">
        <f t="shared" si="431"/>
        <v>29129.50404196301</v>
      </c>
      <c r="BZ271" s="311">
        <f t="shared" si="432"/>
        <v>21992.639999999999</v>
      </c>
      <c r="CA271" s="311">
        <f t="shared" si="433"/>
        <v>29741.260104907531</v>
      </c>
      <c r="CB271" s="307">
        <f t="shared" si="434"/>
        <v>29.741260104907532</v>
      </c>
      <c r="CC271" s="309">
        <f t="shared" si="518"/>
        <v>0.43145796008976284</v>
      </c>
      <c r="CD271" s="379">
        <f t="shared" si="435"/>
        <v>4.6520838562979971</v>
      </c>
    </row>
    <row r="272" spans="1:82" x14ac:dyDescent="0.25">
      <c r="A272" s="373">
        <v>264</v>
      </c>
      <c r="B272" s="286" t="s">
        <v>952</v>
      </c>
      <c r="C272" s="286" t="s">
        <v>998</v>
      </c>
      <c r="D272" s="286" t="s">
        <v>597</v>
      </c>
      <c r="E272" s="286" t="s">
        <v>668</v>
      </c>
      <c r="F272" s="286" t="s">
        <v>485</v>
      </c>
      <c r="G272" s="286">
        <v>2372</v>
      </c>
      <c r="H272" s="286">
        <f t="shared" ref="H272:H277" si="526">IF(F272="Cantilever",G272,0.5*G272)</f>
        <v>1186</v>
      </c>
      <c r="I272" s="286">
        <v>760</v>
      </c>
      <c r="J272" s="286">
        <f t="shared" si="524"/>
        <v>1802720</v>
      </c>
      <c r="K272" s="286">
        <v>90.7</v>
      </c>
      <c r="L272" s="327">
        <f t="shared" si="495"/>
        <v>608</v>
      </c>
      <c r="M272" s="411">
        <f t="shared" si="496"/>
        <v>3.1210526315789475</v>
      </c>
      <c r="N272" s="411">
        <f t="shared" si="497"/>
        <v>1.5605263157894738</v>
      </c>
      <c r="O272" s="411">
        <f t="shared" si="498"/>
        <v>1.5605263157894738</v>
      </c>
      <c r="P272" s="393">
        <f t="shared" si="520"/>
        <v>46400.82</v>
      </c>
      <c r="Q272" s="393">
        <f t="shared" si="499"/>
        <v>68932</v>
      </c>
      <c r="R272" s="408">
        <f t="shared" si="500"/>
        <v>0.67313903557128763</v>
      </c>
      <c r="S272" s="286">
        <v>1233</v>
      </c>
      <c r="T272" s="286">
        <v>760</v>
      </c>
      <c r="U272" s="286">
        <v>26.9</v>
      </c>
      <c r="V272" s="286">
        <v>4.88</v>
      </c>
      <c r="X272" s="286">
        <v>11.5</v>
      </c>
      <c r="Z272" s="423" t="s">
        <v>413</v>
      </c>
      <c r="AA272" s="286">
        <v>8.17</v>
      </c>
      <c r="AB272" s="286">
        <v>9.11</v>
      </c>
      <c r="AC272" s="286">
        <v>3</v>
      </c>
      <c r="AD272" s="286">
        <f t="shared" si="501"/>
        <v>3.2238147739801541</v>
      </c>
      <c r="AE272" s="286">
        <v>10</v>
      </c>
      <c r="AF272" s="313">
        <f t="shared" si="392"/>
        <v>0.89275416753450076</v>
      </c>
      <c r="AG272" s="398">
        <f t="shared" si="502"/>
        <v>7.2938015487568713</v>
      </c>
      <c r="AH272" s="398">
        <f t="shared" si="503"/>
        <v>8.1329904662393009</v>
      </c>
      <c r="AI272" s="403">
        <f>((4*390/2)*AG272+(I272-4*390/2)*AH272)/I272</f>
        <v>7.2717176298757549</v>
      </c>
      <c r="AJ272" s="286" t="s">
        <v>1004</v>
      </c>
      <c r="AK272" s="286" t="s">
        <v>1003</v>
      </c>
      <c r="AL272" s="286">
        <v>100</v>
      </c>
      <c r="AM272" s="286">
        <f t="shared" si="521"/>
        <v>400</v>
      </c>
      <c r="AN272" s="306">
        <f t="shared" si="522"/>
        <v>7.2535252132536407E-3</v>
      </c>
      <c r="AO272" s="286">
        <v>458.18</v>
      </c>
      <c r="AP272" s="393">
        <f t="shared" si="507"/>
        <v>3.3234201822085532</v>
      </c>
      <c r="AQ272" s="286">
        <v>760</v>
      </c>
      <c r="AR272" s="286" t="s">
        <v>1003</v>
      </c>
      <c r="AS272" s="286">
        <v>100</v>
      </c>
      <c r="AT272" s="286" t="s">
        <v>413</v>
      </c>
      <c r="AU272" s="286">
        <v>0</v>
      </c>
      <c r="AV272" s="286">
        <v>100</v>
      </c>
      <c r="AW272" s="327">
        <f t="shared" si="407"/>
        <v>100</v>
      </c>
      <c r="AX272" s="306">
        <f t="shared" si="519"/>
        <v>1.4507050426507283E-3</v>
      </c>
      <c r="AY272" s="286">
        <v>458.18</v>
      </c>
      <c r="AZ272" s="393">
        <f t="shared" si="525"/>
        <v>0.6646840364417107</v>
      </c>
      <c r="BA272" s="286">
        <v>760</v>
      </c>
      <c r="BB272" s="414">
        <f t="shared" si="523"/>
        <v>137.864</v>
      </c>
      <c r="BC272" s="286">
        <v>2</v>
      </c>
      <c r="BD272" s="398">
        <f t="shared" si="445"/>
        <v>0.27503818242103167</v>
      </c>
      <c r="BE272" s="309">
        <f t="shared" si="513"/>
        <v>2.9711543890819172</v>
      </c>
      <c r="BF272" s="400" t="s">
        <v>413</v>
      </c>
      <c r="BG272" s="286">
        <v>185</v>
      </c>
      <c r="BH272" s="286">
        <f t="shared" si="508"/>
        <v>185</v>
      </c>
      <c r="BI272" s="373">
        <v>0.94430000000000003</v>
      </c>
      <c r="BJ272" s="373">
        <f t="shared" si="514"/>
        <v>0.81399999999999995</v>
      </c>
      <c r="BK272" s="312">
        <f t="shared" si="515"/>
        <v>1</v>
      </c>
      <c r="BL272" s="311">
        <f t="shared" si="505"/>
        <v>142.20213699999999</v>
      </c>
      <c r="BM272" s="309">
        <f t="shared" si="447"/>
        <v>2.0629335722160969</v>
      </c>
      <c r="BN272" s="309">
        <f t="shared" si="516"/>
        <v>3.0646470687371474</v>
      </c>
      <c r="BP272" s="328">
        <f t="shared" si="424"/>
        <v>1.7280145956377513</v>
      </c>
      <c r="BQ272" s="328">
        <f t="shared" si="425"/>
        <v>0.6646840364417107</v>
      </c>
      <c r="BR272" s="328">
        <f t="shared" si="426"/>
        <v>0.52652149907452594</v>
      </c>
      <c r="BS272" s="328">
        <f t="shared" si="427"/>
        <v>1.4798950025546616</v>
      </c>
      <c r="BT272" s="328">
        <f t="shared" si="428"/>
        <v>2</v>
      </c>
      <c r="BV272" s="328">
        <f t="shared" si="429"/>
        <v>0.5</v>
      </c>
      <c r="BW272" s="328">
        <f t="shared" si="430"/>
        <v>1</v>
      </c>
      <c r="BX272" s="373">
        <f t="shared" si="517"/>
        <v>0.43145796008976278</v>
      </c>
      <c r="BY272" s="311">
        <f t="shared" si="431"/>
        <v>29129.50404196301</v>
      </c>
      <c r="BZ272" s="311">
        <f t="shared" si="432"/>
        <v>21992.639999999999</v>
      </c>
      <c r="CA272" s="311">
        <f t="shared" si="433"/>
        <v>29741.260104907531</v>
      </c>
      <c r="CB272" s="307">
        <f t="shared" si="434"/>
        <v>29.741260104907532</v>
      </c>
      <c r="CC272" s="309">
        <f t="shared" si="518"/>
        <v>0.43145796008976284</v>
      </c>
      <c r="CD272" s="379">
        <f t="shared" si="435"/>
        <v>4.7813084078618298</v>
      </c>
    </row>
    <row r="273" spans="1:82" x14ac:dyDescent="0.25">
      <c r="A273" s="373">
        <v>265</v>
      </c>
      <c r="B273" s="286" t="s">
        <v>952</v>
      </c>
      <c r="C273" s="286" t="s">
        <v>999</v>
      </c>
      <c r="D273" s="286" t="s">
        <v>597</v>
      </c>
      <c r="E273" s="286" t="s">
        <v>668</v>
      </c>
      <c r="F273" s="286" t="s">
        <v>485</v>
      </c>
      <c r="G273" s="286">
        <v>2372</v>
      </c>
      <c r="H273" s="286">
        <f t="shared" si="526"/>
        <v>1186</v>
      </c>
      <c r="I273" s="286">
        <v>760</v>
      </c>
      <c r="J273" s="286">
        <f t="shared" si="524"/>
        <v>1802720</v>
      </c>
      <c r="K273" s="286">
        <v>90.7</v>
      </c>
      <c r="L273" s="327">
        <f t="shared" si="495"/>
        <v>608</v>
      </c>
      <c r="M273" s="411">
        <f t="shared" si="496"/>
        <v>3.1210526315789475</v>
      </c>
      <c r="N273" s="411">
        <f t="shared" si="497"/>
        <v>1.5605263157894738</v>
      </c>
      <c r="O273" s="411">
        <f t="shared" si="498"/>
        <v>1.5605263157894738</v>
      </c>
      <c r="P273" s="393">
        <f t="shared" si="520"/>
        <v>46400.82</v>
      </c>
      <c r="Q273" s="393">
        <f t="shared" si="499"/>
        <v>68932</v>
      </c>
      <c r="R273" s="408">
        <f t="shared" si="500"/>
        <v>0.67313903557128763</v>
      </c>
      <c r="S273" s="286">
        <v>1233</v>
      </c>
      <c r="T273" s="286">
        <v>760</v>
      </c>
      <c r="U273" s="286">
        <v>26.9</v>
      </c>
      <c r="V273" s="286">
        <v>4.88</v>
      </c>
      <c r="X273" s="286">
        <v>11.5</v>
      </c>
      <c r="Z273" s="423" t="s">
        <v>413</v>
      </c>
      <c r="AA273" s="286">
        <v>8.17</v>
      </c>
      <c r="AB273" s="286">
        <v>9.11</v>
      </c>
      <c r="AC273" s="286">
        <v>3</v>
      </c>
      <c r="AD273" s="286">
        <f t="shared" si="501"/>
        <v>3.2238147739801541</v>
      </c>
      <c r="AE273" s="286">
        <v>10</v>
      </c>
      <c r="AF273" s="313">
        <f t="shared" si="392"/>
        <v>0.89275416753450076</v>
      </c>
      <c r="AG273" s="398">
        <f t="shared" si="502"/>
        <v>7.2938015487568713</v>
      </c>
      <c r="AH273" s="398">
        <f t="shared" si="503"/>
        <v>8.1329904662393009</v>
      </c>
      <c r="AI273" s="403">
        <f>((4*390/2)*AG273+(I273-4*390/2)*AH273)/I273</f>
        <v>7.2717176298757549</v>
      </c>
      <c r="AJ273" s="286" t="s">
        <v>1004</v>
      </c>
      <c r="AK273" s="286" t="s">
        <v>1003</v>
      </c>
      <c r="AL273" s="286">
        <v>100</v>
      </c>
      <c r="AM273" s="286">
        <f t="shared" si="521"/>
        <v>400</v>
      </c>
      <c r="AN273" s="306">
        <f t="shared" si="522"/>
        <v>7.2535252132536407E-3</v>
      </c>
      <c r="AO273" s="286">
        <v>458.18</v>
      </c>
      <c r="AP273" s="393">
        <f t="shared" si="507"/>
        <v>3.3234201822085532</v>
      </c>
      <c r="AQ273" s="286">
        <v>760</v>
      </c>
      <c r="AR273" s="286" t="s">
        <v>1003</v>
      </c>
      <c r="AS273" s="286">
        <v>100</v>
      </c>
      <c r="AT273" s="286" t="s">
        <v>413</v>
      </c>
      <c r="AU273" s="286">
        <v>0</v>
      </c>
      <c r="AV273" s="286">
        <v>100</v>
      </c>
      <c r="AW273" s="327">
        <f t="shared" si="407"/>
        <v>100</v>
      </c>
      <c r="AX273" s="306">
        <f t="shared" si="519"/>
        <v>1.4507050426507283E-3</v>
      </c>
      <c r="AY273" s="286">
        <v>458.18</v>
      </c>
      <c r="AZ273" s="393">
        <f t="shared" si="525"/>
        <v>0.6646840364417107</v>
      </c>
      <c r="BA273" s="286">
        <v>760</v>
      </c>
      <c r="BB273" s="414">
        <f t="shared" si="523"/>
        <v>137.864</v>
      </c>
      <c r="BC273" s="286">
        <v>2</v>
      </c>
      <c r="BD273" s="398">
        <f t="shared" si="445"/>
        <v>0.27503818242103167</v>
      </c>
      <c r="BE273" s="309">
        <f t="shared" si="513"/>
        <v>2.9711543890819172</v>
      </c>
      <c r="BF273" s="400" t="s">
        <v>413</v>
      </c>
      <c r="BG273" s="286">
        <v>108</v>
      </c>
      <c r="BH273" s="286">
        <f t="shared" si="508"/>
        <v>108</v>
      </c>
      <c r="BI273" s="373">
        <v>0.94430000000000003</v>
      </c>
      <c r="BJ273" s="373">
        <f t="shared" si="514"/>
        <v>0.81399999999999995</v>
      </c>
      <c r="BK273" s="312">
        <f t="shared" si="515"/>
        <v>1</v>
      </c>
      <c r="BL273" s="311">
        <f t="shared" si="505"/>
        <v>83.015301600000001</v>
      </c>
      <c r="BM273" s="309">
        <f t="shared" si="447"/>
        <v>1.2043071664829108</v>
      </c>
      <c r="BN273" s="309">
        <f t="shared" si="516"/>
        <v>1.7890912617492536</v>
      </c>
      <c r="BP273" s="328">
        <f t="shared" si="424"/>
        <v>1.7280145956377513</v>
      </c>
      <c r="BQ273" s="328">
        <f t="shared" si="425"/>
        <v>0.6646840364417107</v>
      </c>
      <c r="BR273" s="328">
        <f t="shared" si="426"/>
        <v>0.52652149907452594</v>
      </c>
      <c r="BS273" s="328">
        <f t="shared" si="427"/>
        <v>1.4798950025546616</v>
      </c>
      <c r="BT273" s="328">
        <f t="shared" si="428"/>
        <v>2</v>
      </c>
      <c r="BV273" s="328">
        <f t="shared" si="429"/>
        <v>0.5</v>
      </c>
      <c r="BW273" s="328">
        <f t="shared" si="430"/>
        <v>1</v>
      </c>
      <c r="BX273" s="373">
        <f t="shared" si="517"/>
        <v>0.43145796008976278</v>
      </c>
      <c r="BY273" s="311">
        <f t="shared" si="431"/>
        <v>29129.50404196301</v>
      </c>
      <c r="BZ273" s="311">
        <f t="shared" si="432"/>
        <v>21992.639999999999</v>
      </c>
      <c r="CA273" s="311">
        <f t="shared" si="433"/>
        <v>29741.260104907531</v>
      </c>
      <c r="CB273" s="307">
        <f t="shared" si="434"/>
        <v>29.741260104907532</v>
      </c>
      <c r="CC273" s="309">
        <f t="shared" si="518"/>
        <v>0.43145796008976284</v>
      </c>
      <c r="CD273" s="379">
        <f t="shared" si="435"/>
        <v>2.7912503137787983</v>
      </c>
    </row>
    <row r="274" spans="1:82" x14ac:dyDescent="0.25">
      <c r="A274" s="373">
        <v>266</v>
      </c>
      <c r="B274" s="286" t="s">
        <v>952</v>
      </c>
      <c r="C274" s="286" t="s">
        <v>1000</v>
      </c>
      <c r="D274" s="286" t="s">
        <v>597</v>
      </c>
      <c r="E274" s="286" t="s">
        <v>668</v>
      </c>
      <c r="F274" s="286" t="s">
        <v>485</v>
      </c>
      <c r="G274" s="286">
        <v>853</v>
      </c>
      <c r="H274" s="286">
        <f t="shared" si="526"/>
        <v>426.5</v>
      </c>
      <c r="I274" s="286">
        <v>760</v>
      </c>
      <c r="J274" s="286">
        <f t="shared" si="524"/>
        <v>648280</v>
      </c>
      <c r="K274" s="286">
        <v>90.7</v>
      </c>
      <c r="L274" s="327">
        <f t="shared" si="495"/>
        <v>608</v>
      </c>
      <c r="M274" s="411">
        <f t="shared" si="496"/>
        <v>1.1223684210526317</v>
      </c>
      <c r="N274" s="411">
        <f t="shared" si="497"/>
        <v>0.56118421052631584</v>
      </c>
      <c r="O274" s="411">
        <f t="shared" si="498"/>
        <v>0.56118421052631584</v>
      </c>
      <c r="P274" s="393">
        <f>(2*186.1/2*K274)+(I274-2*186.1/2)*(16.3)*2</f>
        <v>35588.410000000003</v>
      </c>
      <c r="Q274" s="393">
        <f t="shared" si="499"/>
        <v>68932</v>
      </c>
      <c r="R274" s="408">
        <f t="shared" si="500"/>
        <v>0.51628285846921607</v>
      </c>
      <c r="S274" s="286">
        <v>1233</v>
      </c>
      <c r="T274" s="286">
        <v>760</v>
      </c>
      <c r="U274" s="286">
        <v>26.9</v>
      </c>
      <c r="V274" s="286">
        <v>4.88</v>
      </c>
      <c r="X274" s="286">
        <v>11.5</v>
      </c>
      <c r="Z274" s="423" t="s">
        <v>413</v>
      </c>
      <c r="AA274" s="286">
        <v>8.17</v>
      </c>
      <c r="AB274" s="286">
        <v>9.11</v>
      </c>
      <c r="AC274" s="286">
        <v>3</v>
      </c>
      <c r="AD274" s="286">
        <f t="shared" si="501"/>
        <v>3.2238147739801541</v>
      </c>
      <c r="AE274" s="286">
        <v>10</v>
      </c>
      <c r="AF274" s="313">
        <f t="shared" si="392"/>
        <v>0.89275416753450076</v>
      </c>
      <c r="AG274" s="398">
        <f t="shared" si="502"/>
        <v>7.2938015487568713</v>
      </c>
      <c r="AH274" s="398">
        <f t="shared" si="503"/>
        <v>8.1329904662393009</v>
      </c>
      <c r="AI274" s="403">
        <f>((2*186.1/2)*AG274+(I274-2*186.1/2)*AH274)/I274</f>
        <v>7.9274996010505099</v>
      </c>
      <c r="AJ274" s="286" t="s">
        <v>413</v>
      </c>
      <c r="AK274" s="286" t="s">
        <v>1003</v>
      </c>
      <c r="AL274" s="286">
        <v>100</v>
      </c>
      <c r="AM274" s="286">
        <f t="shared" ref="AM274:AM276" si="527">2*AL274</f>
        <v>200</v>
      </c>
      <c r="AN274" s="306">
        <f t="shared" si="522"/>
        <v>3.6267626066268203E-3</v>
      </c>
      <c r="AO274" s="286">
        <v>458.18</v>
      </c>
      <c r="AP274" s="393">
        <f t="shared" si="507"/>
        <v>1.6617100911042766</v>
      </c>
      <c r="AQ274" s="286">
        <v>760</v>
      </c>
      <c r="AR274" s="286" t="s">
        <v>1003</v>
      </c>
      <c r="AS274" s="286">
        <v>100</v>
      </c>
      <c r="AT274" s="286" t="s">
        <v>413</v>
      </c>
      <c r="AU274" s="286">
        <v>0</v>
      </c>
      <c r="AV274" s="286">
        <v>100</v>
      </c>
      <c r="AW274" s="327">
        <f t="shared" si="407"/>
        <v>100</v>
      </c>
      <c r="AX274" s="306">
        <f t="shared" si="519"/>
        <v>1.4507050426507283E-3</v>
      </c>
      <c r="AY274" s="286">
        <v>458.18</v>
      </c>
      <c r="AZ274" s="393">
        <f t="shared" si="525"/>
        <v>0.6646840364417107</v>
      </c>
      <c r="BA274" s="286">
        <v>760</v>
      </c>
      <c r="BB274" s="414">
        <f t="shared" si="523"/>
        <v>34.466000000000001</v>
      </c>
      <c r="BC274" s="286">
        <v>0.5</v>
      </c>
      <c r="BD274" s="398">
        <f t="shared" si="445"/>
        <v>6.307158942445644E-2</v>
      </c>
      <c r="BE274" s="309">
        <f t="shared" si="513"/>
        <v>0.96846136143761397</v>
      </c>
      <c r="BF274" s="400" t="s">
        <v>413</v>
      </c>
      <c r="BG274" s="286">
        <v>25.1</v>
      </c>
      <c r="BH274" s="286">
        <f t="shared" si="508"/>
        <v>25.1</v>
      </c>
      <c r="BI274" s="373">
        <v>0.94430000000000003</v>
      </c>
      <c r="BJ274" s="373">
        <f t="shared" si="514"/>
        <v>0.81399999999999995</v>
      </c>
      <c r="BK274" s="312">
        <f t="shared" si="515"/>
        <v>1</v>
      </c>
      <c r="BL274" s="311">
        <f t="shared" si="505"/>
        <v>19.293371019999999</v>
      </c>
      <c r="BM274" s="309">
        <f t="shared" si="447"/>
        <v>0.27988990628445426</v>
      </c>
      <c r="BN274" s="309">
        <f t="shared" si="516"/>
        <v>0.54212511938577745</v>
      </c>
      <c r="BP274" s="328">
        <f t="shared" si="424"/>
        <v>5.0172145284929694</v>
      </c>
      <c r="BQ274" s="328">
        <f t="shared" si="425"/>
        <v>0.6646840364417107</v>
      </c>
      <c r="BR274" s="328">
        <f t="shared" si="426"/>
        <v>0.26326074953726297</v>
      </c>
      <c r="BS274" s="328">
        <f t="shared" si="427"/>
        <v>1.1851230489621816</v>
      </c>
      <c r="BT274" s="328">
        <f t="shared" si="428"/>
        <v>0.5</v>
      </c>
      <c r="BV274" s="328">
        <f t="shared" si="429"/>
        <v>0.5</v>
      </c>
      <c r="BW274" s="328">
        <f t="shared" si="430"/>
        <v>0.7014802631578948</v>
      </c>
      <c r="BX274" s="373">
        <f t="shared" si="517"/>
        <v>0.58497411916882891</v>
      </c>
      <c r="BY274" s="311">
        <f t="shared" si="431"/>
        <v>20437.624393018286</v>
      </c>
      <c r="BZ274" s="311">
        <f t="shared" si="432"/>
        <v>21992.639999999999</v>
      </c>
      <c r="CA274" s="311">
        <f t="shared" si="433"/>
        <v>31053.387051789479</v>
      </c>
      <c r="CB274" s="307">
        <f t="shared" si="434"/>
        <v>31.053387051789478</v>
      </c>
      <c r="CC274" s="309">
        <f t="shared" si="518"/>
        <v>0.45049305187415828</v>
      </c>
      <c r="CD274" s="379">
        <f t="shared" si="435"/>
        <v>0.6212968327037357</v>
      </c>
    </row>
    <row r="275" spans="1:82" x14ac:dyDescent="0.25">
      <c r="A275" s="373">
        <v>267</v>
      </c>
      <c r="B275" s="286" t="s">
        <v>952</v>
      </c>
      <c r="C275" s="286" t="s">
        <v>1001</v>
      </c>
      <c r="D275" s="286" t="s">
        <v>597</v>
      </c>
      <c r="E275" s="286" t="s">
        <v>668</v>
      </c>
      <c r="F275" s="286" t="s">
        <v>485</v>
      </c>
      <c r="G275" s="286">
        <v>853</v>
      </c>
      <c r="H275" s="286">
        <f t="shared" si="526"/>
        <v>426.5</v>
      </c>
      <c r="I275" s="286">
        <v>760</v>
      </c>
      <c r="J275" s="286">
        <f t="shared" si="524"/>
        <v>648280</v>
      </c>
      <c r="K275" s="286">
        <v>90.7</v>
      </c>
      <c r="L275" s="327">
        <f t="shared" si="495"/>
        <v>608</v>
      </c>
      <c r="M275" s="411">
        <f t="shared" si="496"/>
        <v>1.1223684210526317</v>
      </c>
      <c r="N275" s="411">
        <f t="shared" si="497"/>
        <v>0.56118421052631584</v>
      </c>
      <c r="O275" s="411">
        <f t="shared" si="498"/>
        <v>0.56118421052631584</v>
      </c>
      <c r="P275" s="393">
        <f>(2*186.1/2*K275)+(I275-2*186.1/2)*(16.3)*2</f>
        <v>35588.410000000003</v>
      </c>
      <c r="Q275" s="393">
        <f t="shared" si="499"/>
        <v>68932</v>
      </c>
      <c r="R275" s="408">
        <f t="shared" si="500"/>
        <v>0.51628285846921607</v>
      </c>
      <c r="S275" s="286">
        <v>1233</v>
      </c>
      <c r="T275" s="286">
        <v>760</v>
      </c>
      <c r="U275" s="286">
        <v>26.9</v>
      </c>
      <c r="V275" s="286">
        <v>4.88</v>
      </c>
      <c r="X275" s="286">
        <v>11.5</v>
      </c>
      <c r="Z275" s="423" t="s">
        <v>413</v>
      </c>
      <c r="AA275" s="286">
        <v>8.17</v>
      </c>
      <c r="AB275" s="286">
        <v>9.11</v>
      </c>
      <c r="AC275" s="286">
        <v>3</v>
      </c>
      <c r="AD275" s="286">
        <f t="shared" si="501"/>
        <v>3.2238147739801541</v>
      </c>
      <c r="AE275" s="286">
        <v>10</v>
      </c>
      <c r="AF275" s="313">
        <f t="shared" si="392"/>
        <v>0.89275416753450076</v>
      </c>
      <c r="AG275" s="398">
        <f t="shared" si="502"/>
        <v>7.2938015487568713</v>
      </c>
      <c r="AH275" s="398">
        <f t="shared" si="503"/>
        <v>8.1329904662393009</v>
      </c>
      <c r="AI275" s="403">
        <f>((2*186.1/2)*AG275+(I275-2*186.1/2)*AH275)/I275</f>
        <v>7.9274996010505099</v>
      </c>
      <c r="AJ275" s="286" t="s">
        <v>413</v>
      </c>
      <c r="AK275" s="286" t="s">
        <v>1003</v>
      </c>
      <c r="AL275" s="286">
        <v>100</v>
      </c>
      <c r="AM275" s="286">
        <f t="shared" si="527"/>
        <v>200</v>
      </c>
      <c r="AN275" s="306">
        <f t="shared" si="522"/>
        <v>3.6267626066268203E-3</v>
      </c>
      <c r="AO275" s="286">
        <v>458.18</v>
      </c>
      <c r="AP275" s="393">
        <f t="shared" si="507"/>
        <v>1.6617100911042766</v>
      </c>
      <c r="AQ275" s="286">
        <v>760</v>
      </c>
      <c r="AR275" s="286" t="s">
        <v>1003</v>
      </c>
      <c r="AS275" s="286">
        <v>100</v>
      </c>
      <c r="AT275" s="286" t="s">
        <v>413</v>
      </c>
      <c r="AU275" s="286">
        <v>0</v>
      </c>
      <c r="AV275" s="286">
        <v>100</v>
      </c>
      <c r="AW275" s="327">
        <f t="shared" si="407"/>
        <v>100</v>
      </c>
      <c r="AX275" s="306">
        <f t="shared" si="519"/>
        <v>1.4507050426507283E-3</v>
      </c>
      <c r="AY275" s="286">
        <v>458.18</v>
      </c>
      <c r="AZ275" s="393">
        <f t="shared" si="525"/>
        <v>0.6646840364417107</v>
      </c>
      <c r="BA275" s="286">
        <v>760</v>
      </c>
      <c r="BB275" s="414">
        <f t="shared" si="523"/>
        <v>34.466000000000001</v>
      </c>
      <c r="BC275" s="286">
        <v>0.5</v>
      </c>
      <c r="BD275" s="398">
        <f t="shared" si="445"/>
        <v>6.307158942445644E-2</v>
      </c>
      <c r="BE275" s="309">
        <f t="shared" si="513"/>
        <v>0.96846136143761397</v>
      </c>
      <c r="BF275" s="400" t="s">
        <v>413</v>
      </c>
      <c r="BG275" s="286">
        <v>23.1</v>
      </c>
      <c r="BH275" s="286">
        <f t="shared" si="508"/>
        <v>23.1</v>
      </c>
      <c r="BI275" s="373">
        <v>0.94430000000000003</v>
      </c>
      <c r="BJ275" s="373">
        <f t="shared" si="514"/>
        <v>0.81399999999999995</v>
      </c>
      <c r="BK275" s="312">
        <f t="shared" si="515"/>
        <v>1</v>
      </c>
      <c r="BL275" s="311">
        <f t="shared" si="505"/>
        <v>17.75605062</v>
      </c>
      <c r="BM275" s="309">
        <f t="shared" si="447"/>
        <v>0.25758792171995587</v>
      </c>
      <c r="BN275" s="309">
        <f t="shared" si="516"/>
        <v>0.49892789871758803</v>
      </c>
      <c r="BP275" s="328">
        <f t="shared" si="424"/>
        <v>5.0172145284929694</v>
      </c>
      <c r="BQ275" s="328">
        <f t="shared" si="425"/>
        <v>0.6646840364417107</v>
      </c>
      <c r="BR275" s="328">
        <f t="shared" si="426"/>
        <v>0.26326074953726297</v>
      </c>
      <c r="BS275" s="328">
        <f t="shared" si="427"/>
        <v>1.1851230489621816</v>
      </c>
      <c r="BT275" s="328">
        <f t="shared" si="428"/>
        <v>0.5</v>
      </c>
      <c r="BV275" s="328">
        <f t="shared" si="429"/>
        <v>0.5</v>
      </c>
      <c r="BW275" s="328">
        <f t="shared" si="430"/>
        <v>0.7014802631578948</v>
      </c>
      <c r="BX275" s="373">
        <f t="shared" si="517"/>
        <v>0.58497411916882891</v>
      </c>
      <c r="BY275" s="311">
        <f t="shared" si="431"/>
        <v>20437.624393018286</v>
      </c>
      <c r="BZ275" s="311">
        <f t="shared" si="432"/>
        <v>21992.639999999999</v>
      </c>
      <c r="CA275" s="311">
        <f t="shared" si="433"/>
        <v>31053.387051789479</v>
      </c>
      <c r="CB275" s="307">
        <f t="shared" si="434"/>
        <v>31.053387051789478</v>
      </c>
      <c r="CC275" s="309">
        <f t="shared" si="518"/>
        <v>0.45049305187415828</v>
      </c>
      <c r="CD275" s="379">
        <f t="shared" si="435"/>
        <v>0.57179110898232255</v>
      </c>
    </row>
    <row r="276" spans="1:82" x14ac:dyDescent="0.25">
      <c r="A276" s="315">
        <v>268</v>
      </c>
      <c r="B276" s="390" t="s">
        <v>952</v>
      </c>
      <c r="C276" s="390" t="s">
        <v>1002</v>
      </c>
      <c r="D276" s="390" t="s">
        <v>597</v>
      </c>
      <c r="E276" s="390" t="s">
        <v>668</v>
      </c>
      <c r="F276" s="390" t="s">
        <v>485</v>
      </c>
      <c r="G276" s="390">
        <v>853</v>
      </c>
      <c r="H276" s="390">
        <f t="shared" si="526"/>
        <v>426.5</v>
      </c>
      <c r="I276" s="390">
        <v>760</v>
      </c>
      <c r="J276" s="390">
        <f t="shared" si="524"/>
        <v>648280</v>
      </c>
      <c r="K276" s="390">
        <v>90.7</v>
      </c>
      <c r="L276" s="329">
        <f t="shared" si="495"/>
        <v>608</v>
      </c>
      <c r="M276" s="412">
        <f t="shared" si="496"/>
        <v>1.1223684210526317</v>
      </c>
      <c r="N276" s="412">
        <f t="shared" si="497"/>
        <v>0.56118421052631584</v>
      </c>
      <c r="O276" s="412">
        <f t="shared" si="498"/>
        <v>0.56118421052631584</v>
      </c>
      <c r="P276" s="394">
        <f>(2*186.1/2*K276)+(I276-2*186.1/2)*(16.3)*2</f>
        <v>35588.410000000003</v>
      </c>
      <c r="Q276" s="394">
        <f t="shared" si="499"/>
        <v>68932</v>
      </c>
      <c r="R276" s="409">
        <f t="shared" si="500"/>
        <v>0.51628285846921607</v>
      </c>
      <c r="S276" s="390">
        <v>1233</v>
      </c>
      <c r="T276" s="390">
        <v>760</v>
      </c>
      <c r="U276" s="390">
        <v>26.9</v>
      </c>
      <c r="V276" s="390">
        <v>4.88</v>
      </c>
      <c r="W276" s="391"/>
      <c r="X276" s="390">
        <v>11.5</v>
      </c>
      <c r="Y276" s="391"/>
      <c r="Z276" s="424" t="s">
        <v>413</v>
      </c>
      <c r="AA276" s="390">
        <v>8.17</v>
      </c>
      <c r="AB276" s="390">
        <v>9.11</v>
      </c>
      <c r="AC276" s="390">
        <v>3</v>
      </c>
      <c r="AD276" s="390">
        <f t="shared" si="501"/>
        <v>3.2238147739801541</v>
      </c>
      <c r="AE276" s="390">
        <v>10</v>
      </c>
      <c r="AF276" s="324">
        <f t="shared" si="392"/>
        <v>0.89275416753450076</v>
      </c>
      <c r="AG276" s="399">
        <f t="shared" si="502"/>
        <v>7.2938015487568713</v>
      </c>
      <c r="AH276" s="399">
        <f t="shared" si="503"/>
        <v>8.1329904662393009</v>
      </c>
      <c r="AI276" s="405">
        <f>((2*186.1/2)*AG276+(I276-2*186.1/2)*AH276)/I276</f>
        <v>7.9274996010505099</v>
      </c>
      <c r="AJ276" s="390" t="s">
        <v>413</v>
      </c>
      <c r="AK276" s="390" t="s">
        <v>1003</v>
      </c>
      <c r="AL276" s="390">
        <v>100</v>
      </c>
      <c r="AM276" s="390">
        <f t="shared" si="527"/>
        <v>200</v>
      </c>
      <c r="AN276" s="316">
        <f t="shared" si="522"/>
        <v>3.6267626066268203E-3</v>
      </c>
      <c r="AO276" s="390">
        <v>458.18</v>
      </c>
      <c r="AP276" s="394">
        <f t="shared" si="507"/>
        <v>1.6617100911042766</v>
      </c>
      <c r="AQ276" s="390">
        <v>760</v>
      </c>
      <c r="AR276" s="390" t="s">
        <v>1003</v>
      </c>
      <c r="AS276" s="390">
        <v>100</v>
      </c>
      <c r="AT276" s="390" t="s">
        <v>413</v>
      </c>
      <c r="AU276" s="390">
        <v>0</v>
      </c>
      <c r="AV276" s="390">
        <v>100</v>
      </c>
      <c r="AW276" s="329">
        <f t="shared" si="407"/>
        <v>100</v>
      </c>
      <c r="AX276" s="316">
        <f t="shared" si="519"/>
        <v>1.4507050426507283E-3</v>
      </c>
      <c r="AY276" s="390">
        <v>458.18</v>
      </c>
      <c r="AZ276" s="394">
        <f t="shared" si="525"/>
        <v>0.6646840364417107</v>
      </c>
      <c r="BA276" s="390">
        <v>760</v>
      </c>
      <c r="BB276" s="415">
        <f t="shared" si="523"/>
        <v>34.466000000000001</v>
      </c>
      <c r="BC276" s="390">
        <v>0.5</v>
      </c>
      <c r="BD276" s="399">
        <f t="shared" si="445"/>
        <v>6.307158942445644E-2</v>
      </c>
      <c r="BE276" s="319">
        <f t="shared" si="513"/>
        <v>0.96846136143761397</v>
      </c>
      <c r="BF276" s="402" t="s">
        <v>413</v>
      </c>
      <c r="BG276" s="390">
        <v>30.6</v>
      </c>
      <c r="BH276" s="390">
        <f t="shared" si="508"/>
        <v>30.6</v>
      </c>
      <c r="BI276" s="315">
        <v>0.94430000000000003</v>
      </c>
      <c r="BJ276" s="315">
        <f t="shared" si="514"/>
        <v>0.81399999999999995</v>
      </c>
      <c r="BK276" s="322">
        <f t="shared" si="515"/>
        <v>1</v>
      </c>
      <c r="BL276" s="321">
        <f t="shared" si="505"/>
        <v>23.521002120000002</v>
      </c>
      <c r="BM276" s="319">
        <f t="shared" si="447"/>
        <v>0.34122036383682475</v>
      </c>
      <c r="BN276" s="319">
        <f t="shared" si="516"/>
        <v>0.66091747622329855</v>
      </c>
      <c r="BO276" s="392"/>
      <c r="BP276" s="330">
        <f t="shared" si="424"/>
        <v>5.0172145284929694</v>
      </c>
      <c r="BQ276" s="330">
        <f t="shared" si="425"/>
        <v>0.6646840364417107</v>
      </c>
      <c r="BR276" s="330">
        <f t="shared" si="426"/>
        <v>0.26326074953726297</v>
      </c>
      <c r="BS276" s="330">
        <f t="shared" si="427"/>
        <v>1.1851230489621816</v>
      </c>
      <c r="BT276" s="330">
        <f t="shared" si="428"/>
        <v>0.5</v>
      </c>
      <c r="BV276" s="328">
        <f t="shared" si="429"/>
        <v>0.5</v>
      </c>
      <c r="BW276" s="328">
        <f t="shared" si="430"/>
        <v>0.7014802631578948</v>
      </c>
      <c r="BX276" s="373">
        <f t="shared" si="517"/>
        <v>0.58497411916882891</v>
      </c>
      <c r="BY276" s="311">
        <f t="shared" si="431"/>
        <v>20437.624393018286</v>
      </c>
      <c r="BZ276" s="311">
        <f t="shared" si="432"/>
        <v>21992.639999999999</v>
      </c>
      <c r="CA276" s="311">
        <f t="shared" si="433"/>
        <v>31053.387051789479</v>
      </c>
      <c r="CB276" s="307">
        <f t="shared" si="434"/>
        <v>31.053387051789478</v>
      </c>
      <c r="CC276" s="309">
        <f t="shared" si="518"/>
        <v>0.45049305187415828</v>
      </c>
      <c r="CD276" s="379">
        <f t="shared" si="435"/>
        <v>0.75743757293762204</v>
      </c>
    </row>
    <row r="277" spans="1:82" x14ac:dyDescent="0.25">
      <c r="A277" s="373">
        <v>269</v>
      </c>
      <c r="B277" s="286" t="s">
        <v>950</v>
      </c>
      <c r="C277" s="286" t="s">
        <v>1005</v>
      </c>
      <c r="D277" s="286" t="s">
        <v>598</v>
      </c>
      <c r="E277" s="286" t="s">
        <v>668</v>
      </c>
      <c r="F277" s="286" t="s">
        <v>485</v>
      </c>
      <c r="G277" s="286">
        <v>1790</v>
      </c>
      <c r="H277" s="286">
        <f t="shared" si="526"/>
        <v>895</v>
      </c>
      <c r="I277" s="286">
        <v>1790</v>
      </c>
      <c r="J277" s="286">
        <f t="shared" si="524"/>
        <v>3204100</v>
      </c>
      <c r="K277" s="286">
        <v>190</v>
      </c>
      <c r="L277" s="286">
        <f t="shared" si="495"/>
        <v>1432</v>
      </c>
      <c r="M277" s="286">
        <f t="shared" si="496"/>
        <v>1</v>
      </c>
      <c r="N277" s="411">
        <f t="shared" ref="N277" si="528">O277</f>
        <v>0.5</v>
      </c>
      <c r="O277" s="411">
        <f t="shared" ref="O277" si="529">H277/I277</f>
        <v>0.5</v>
      </c>
      <c r="P277" s="393">
        <f>(2*390/2*K277)+(I277-2*390/2)*(32)*2</f>
        <v>163700</v>
      </c>
      <c r="Q277" s="393">
        <f t="shared" ref="Q277" si="530">K277*I277</f>
        <v>340100</v>
      </c>
      <c r="R277" s="408">
        <f t="shared" ref="R277" si="531">P277/Q277</f>
        <v>0.48132902087621288</v>
      </c>
      <c r="S277" s="286">
        <f>2*390</f>
        <v>780</v>
      </c>
      <c r="T277" s="286">
        <f>4*190</f>
        <v>760</v>
      </c>
      <c r="U277" s="286">
        <v>35.700000000000003</v>
      </c>
      <c r="V277" s="286">
        <v>22.1</v>
      </c>
      <c r="X277" s="286">
        <v>25.7</v>
      </c>
      <c r="Z277" s="423" t="s">
        <v>413</v>
      </c>
      <c r="AA277" s="286">
        <v>10.5</v>
      </c>
      <c r="AB277" s="286">
        <v>18.600000000000001</v>
      </c>
      <c r="AC277" s="286">
        <v>3</v>
      </c>
      <c r="AD277" s="286">
        <f t="shared" ref="AD277:AD290" si="532">(190+10+190+10+190)/K277</f>
        <v>3.1052631578947367</v>
      </c>
      <c r="AE277" s="286">
        <v>5</v>
      </c>
      <c r="AF277" s="398">
        <f t="shared" si="392"/>
        <v>0.88507743347731438</v>
      </c>
      <c r="AG277" s="398">
        <f t="shared" ref="AG277:AG300" si="533">AF277*AA277</f>
        <v>9.2933130515118005</v>
      </c>
      <c r="AH277" s="398">
        <f t="shared" ref="AH277:AH300" si="534">AF277*AB277</f>
        <v>16.462440262678047</v>
      </c>
      <c r="AI277" s="403">
        <f t="shared" ref="AI277:AI290" si="535">((2*390/2)*AG277+(I277-2*390/2)*AH277)/I277</f>
        <v>14.900451652423948</v>
      </c>
      <c r="AJ277" s="286" t="s">
        <v>413</v>
      </c>
      <c r="AK277" s="286" t="s">
        <v>798</v>
      </c>
      <c r="AL277" s="286">
        <v>200</v>
      </c>
      <c r="AM277" s="286">
        <f>2*AL277</f>
        <v>400</v>
      </c>
      <c r="AN277" s="406">
        <f t="shared" si="522"/>
        <v>1.4701558365186709E-3</v>
      </c>
      <c r="AO277" s="286">
        <v>448</v>
      </c>
      <c r="AP277" s="397">
        <f t="shared" si="507"/>
        <v>0.65862981476036453</v>
      </c>
      <c r="AQ277" s="286">
        <f>1800-390</f>
        <v>1410</v>
      </c>
      <c r="AR277" s="286" t="s">
        <v>798</v>
      </c>
      <c r="AS277" s="396">
        <f>2*AV277</f>
        <v>400</v>
      </c>
      <c r="AT277" s="286" t="s">
        <v>413</v>
      </c>
      <c r="AU277" s="286">
        <v>0</v>
      </c>
      <c r="AV277" s="286">
        <v>200</v>
      </c>
      <c r="AW277" s="286">
        <f t="shared" si="407"/>
        <v>400</v>
      </c>
      <c r="AX277" s="406">
        <f t="shared" si="519"/>
        <v>6.7476383265856947E-4</v>
      </c>
      <c r="AY277" s="286">
        <v>448</v>
      </c>
      <c r="AZ277" s="397">
        <f t="shared" si="525"/>
        <v>0.3022941970310391</v>
      </c>
      <c r="BA277" s="286">
        <f>4*390</f>
        <v>1560</v>
      </c>
      <c r="BB277" s="414">
        <f t="shared" si="523"/>
        <v>680.2</v>
      </c>
      <c r="BC277" s="286">
        <v>2</v>
      </c>
      <c r="BD277" s="398">
        <f t="shared" si="445"/>
        <v>0.13422411928531358</v>
      </c>
      <c r="BE277" s="408">
        <f t="shared" si="513"/>
        <v>4.1551618814905318</v>
      </c>
      <c r="BF277" s="286">
        <v>232</v>
      </c>
      <c r="BG277" s="286">
        <v>273</v>
      </c>
      <c r="BH277" s="286">
        <f t="shared" si="508"/>
        <v>273</v>
      </c>
      <c r="BI277" s="286">
        <v>1</v>
      </c>
      <c r="BJ277" s="373">
        <f t="shared" si="514"/>
        <v>1</v>
      </c>
      <c r="BK277" s="312">
        <f t="shared" si="515"/>
        <v>1</v>
      </c>
      <c r="BL277" s="311">
        <f t="shared" ref="BL277" si="536">BH277*BI277*BJ277*BK277</f>
        <v>273</v>
      </c>
      <c r="BM277" s="309">
        <f t="shared" si="447"/>
        <v>0.80270508673919438</v>
      </c>
      <c r="BN277" s="309">
        <f t="shared" si="516"/>
        <v>1.6676847892486255</v>
      </c>
      <c r="BP277" s="328">
        <f t="shared" si="424"/>
        <v>7.7202206321902347</v>
      </c>
      <c r="BQ277" s="328">
        <f t="shared" si="425"/>
        <v>0.3022941970310391</v>
      </c>
      <c r="BR277" s="328">
        <f t="shared" si="426"/>
        <v>0.157749844954826</v>
      </c>
      <c r="BS277" s="328">
        <f t="shared" si="427"/>
        <v>1.021543039495981</v>
      </c>
      <c r="BT277" s="328">
        <f t="shared" si="428"/>
        <v>2</v>
      </c>
      <c r="BV277" s="328">
        <f t="shared" si="429"/>
        <v>0.48132902087621288</v>
      </c>
      <c r="BW277" s="328">
        <f t="shared" si="430"/>
        <v>0.625</v>
      </c>
      <c r="BX277" s="373">
        <f t="shared" si="517"/>
        <v>0.84922426954092578</v>
      </c>
      <c r="BY277" s="311">
        <f t="shared" si="431"/>
        <v>193064.41033907965</v>
      </c>
      <c r="BZ277" s="311">
        <f t="shared" si="432"/>
        <v>98697.846153846156</v>
      </c>
      <c r="CA277" s="311">
        <f t="shared" si="433"/>
        <v>202208.01879832664</v>
      </c>
      <c r="CB277" s="307">
        <f t="shared" si="434"/>
        <v>202.20801879832663</v>
      </c>
      <c r="CC277" s="309">
        <f t="shared" si="518"/>
        <v>0.59455459805447408</v>
      </c>
      <c r="CD277" s="379">
        <f t="shared" si="435"/>
        <v>1.3500948262209036</v>
      </c>
    </row>
    <row r="278" spans="1:82" x14ac:dyDescent="0.25">
      <c r="A278" s="373">
        <v>270</v>
      </c>
      <c r="B278" s="286" t="s">
        <v>950</v>
      </c>
      <c r="C278" s="286" t="s">
        <v>1006</v>
      </c>
      <c r="D278" s="286" t="s">
        <v>598</v>
      </c>
      <c r="E278" s="286" t="s">
        <v>668</v>
      </c>
      <c r="F278" s="286" t="s">
        <v>485</v>
      </c>
      <c r="G278" s="286">
        <v>1790</v>
      </c>
      <c r="H278" s="286">
        <f t="shared" ref="H278:H290" si="537">IF(F278="Cantilever",G278,0.5*G278)</f>
        <v>895</v>
      </c>
      <c r="I278" s="286">
        <v>1790</v>
      </c>
      <c r="J278" s="286">
        <f t="shared" ref="J278:J290" si="538">I278*G278</f>
        <v>3204100</v>
      </c>
      <c r="K278" s="286">
        <v>190</v>
      </c>
      <c r="L278" s="286">
        <f t="shared" ref="L278:L290" si="539">0.8*I278</f>
        <v>1432</v>
      </c>
      <c r="M278" s="286">
        <f t="shared" ref="M278:M290" si="540">G278/I278</f>
        <v>1</v>
      </c>
      <c r="N278" s="411">
        <f t="shared" ref="N278:N290" si="541">O278</f>
        <v>0.5</v>
      </c>
      <c r="O278" s="411">
        <f t="shared" ref="O278:O290" si="542">H278/I278</f>
        <v>0.5</v>
      </c>
      <c r="P278" s="393">
        <f t="shared" ref="P278:P290" si="543">(2*390/2*K278)+(I278-2*390/2)*(32)*2</f>
        <v>163700</v>
      </c>
      <c r="Q278" s="393">
        <f t="shared" ref="Q278:Q290" si="544">K278*I278</f>
        <v>340100</v>
      </c>
      <c r="R278" s="408">
        <f t="shared" ref="R278:R300" si="545">P278/Q278</f>
        <v>0.48132902087621288</v>
      </c>
      <c r="S278" s="286">
        <f t="shared" ref="S278:S290" si="546">2*390</f>
        <v>780</v>
      </c>
      <c r="T278" s="286">
        <f t="shared" ref="T278:T290" si="547">4*190</f>
        <v>760</v>
      </c>
      <c r="U278" s="286">
        <v>35.700000000000003</v>
      </c>
      <c r="V278" s="286">
        <v>22.1</v>
      </c>
      <c r="X278" s="286">
        <v>25.7</v>
      </c>
      <c r="Z278" s="423" t="s">
        <v>413</v>
      </c>
      <c r="AA278" s="286">
        <v>10.5</v>
      </c>
      <c r="AB278" s="286">
        <v>18.600000000000001</v>
      </c>
      <c r="AC278" s="286">
        <v>3</v>
      </c>
      <c r="AD278" s="286">
        <f t="shared" si="532"/>
        <v>3.1052631578947367</v>
      </c>
      <c r="AE278" s="286">
        <v>5</v>
      </c>
      <c r="AF278" s="398">
        <f t="shared" ref="AF278:AF290" si="548">1-0.058*(5-AD278)^1.07</f>
        <v>0.88507743347731438</v>
      </c>
      <c r="AG278" s="398">
        <f t="shared" ref="AG278:AG290" si="549">AF278*AA278</f>
        <v>9.2933130515118005</v>
      </c>
      <c r="AH278" s="398">
        <f t="shared" ref="AH278:AH290" si="550">AF278*AB278</f>
        <v>16.462440262678047</v>
      </c>
      <c r="AI278" s="403">
        <f t="shared" si="535"/>
        <v>14.900451652423948</v>
      </c>
      <c r="AJ278" s="286" t="s">
        <v>413</v>
      </c>
      <c r="AK278" s="286" t="s">
        <v>798</v>
      </c>
      <c r="AL278" s="286">
        <v>200</v>
      </c>
      <c r="AM278" s="286">
        <f t="shared" ref="AM278:AM290" si="551">2*AL278</f>
        <v>400</v>
      </c>
      <c r="AN278" s="306">
        <f t="shared" si="522"/>
        <v>1.4701558365186709E-3</v>
      </c>
      <c r="AO278" s="286">
        <v>448</v>
      </c>
      <c r="AP278" s="393">
        <f t="shared" si="507"/>
        <v>0.65862981476036453</v>
      </c>
      <c r="AQ278" s="286">
        <f t="shared" ref="AQ278:AQ290" si="552">1800-390</f>
        <v>1410</v>
      </c>
      <c r="AR278" s="286" t="s">
        <v>798</v>
      </c>
      <c r="AS278" s="286">
        <f t="shared" ref="AS278:AS288" si="553">2*AV278</f>
        <v>400</v>
      </c>
      <c r="AT278" s="286" t="s">
        <v>413</v>
      </c>
      <c r="AU278" s="286">
        <v>0</v>
      </c>
      <c r="AV278" s="286">
        <v>200</v>
      </c>
      <c r="AW278" s="286">
        <f t="shared" si="407"/>
        <v>400</v>
      </c>
      <c r="AX278" s="306">
        <f t="shared" si="519"/>
        <v>6.7476383265856947E-4</v>
      </c>
      <c r="AY278" s="286">
        <v>448</v>
      </c>
      <c r="AZ278" s="393">
        <f t="shared" si="525"/>
        <v>0.3022941970310391</v>
      </c>
      <c r="BA278" s="286">
        <f t="shared" ref="BA278:BA286" si="554">4*390</f>
        <v>1560</v>
      </c>
      <c r="BB278" s="414">
        <f t="shared" si="523"/>
        <v>680.2</v>
      </c>
      <c r="BC278" s="286">
        <v>2</v>
      </c>
      <c r="BD278" s="398">
        <f t="shared" si="445"/>
        <v>0.13422411928531358</v>
      </c>
      <c r="BE278" s="408">
        <f t="shared" si="513"/>
        <v>4.1551618814905318</v>
      </c>
      <c r="BF278" s="286">
        <v>276</v>
      </c>
      <c r="BG278" s="286">
        <v>327</v>
      </c>
      <c r="BH278" s="286">
        <f t="shared" si="508"/>
        <v>327</v>
      </c>
      <c r="BI278" s="286">
        <v>1</v>
      </c>
      <c r="BJ278" s="373">
        <f t="shared" si="514"/>
        <v>1</v>
      </c>
      <c r="BK278" s="312">
        <f t="shared" si="515"/>
        <v>1</v>
      </c>
      <c r="BL278" s="311">
        <f t="shared" ref="BL278:BL290" si="555">BH278*BI278*BJ278*BK278</f>
        <v>327</v>
      </c>
      <c r="BM278" s="309">
        <f t="shared" si="447"/>
        <v>0.96148191708321085</v>
      </c>
      <c r="BN278" s="309">
        <f t="shared" si="516"/>
        <v>1.9975565058032987</v>
      </c>
      <c r="BP278" s="328">
        <f t="shared" si="424"/>
        <v>7.7202206321902347</v>
      </c>
      <c r="BQ278" s="328">
        <f t="shared" si="425"/>
        <v>0.3022941970310391</v>
      </c>
      <c r="BR278" s="328">
        <f t="shared" si="426"/>
        <v>0.157749844954826</v>
      </c>
      <c r="BS278" s="328">
        <f t="shared" si="427"/>
        <v>1.021543039495981</v>
      </c>
      <c r="BT278" s="328">
        <f t="shared" si="428"/>
        <v>2</v>
      </c>
      <c r="BV278" s="328">
        <f t="shared" si="429"/>
        <v>0.48132902087621288</v>
      </c>
      <c r="BW278" s="328">
        <f t="shared" si="430"/>
        <v>0.625</v>
      </c>
      <c r="BX278" s="373">
        <f t="shared" si="517"/>
        <v>0.84922426954092578</v>
      </c>
      <c r="BY278" s="311">
        <f t="shared" si="431"/>
        <v>193064.41033907965</v>
      </c>
      <c r="BZ278" s="311">
        <f t="shared" si="432"/>
        <v>98697.846153846156</v>
      </c>
      <c r="CA278" s="311">
        <f t="shared" si="433"/>
        <v>202208.01879832664</v>
      </c>
      <c r="CB278" s="307">
        <f t="shared" si="434"/>
        <v>202.20801879832663</v>
      </c>
      <c r="CC278" s="309">
        <f t="shared" si="518"/>
        <v>0.59455459805447408</v>
      </c>
      <c r="CD278" s="379">
        <f t="shared" si="435"/>
        <v>1.6171465500887745</v>
      </c>
    </row>
    <row r="279" spans="1:82" x14ac:dyDescent="0.25">
      <c r="A279" s="373">
        <v>271</v>
      </c>
      <c r="B279" s="286" t="s">
        <v>950</v>
      </c>
      <c r="C279" s="286" t="s">
        <v>1007</v>
      </c>
      <c r="D279" s="286" t="s">
        <v>598</v>
      </c>
      <c r="E279" s="286" t="s">
        <v>668</v>
      </c>
      <c r="F279" s="286" t="s">
        <v>485</v>
      </c>
      <c r="G279" s="286">
        <v>1790</v>
      </c>
      <c r="H279" s="286">
        <f t="shared" si="537"/>
        <v>895</v>
      </c>
      <c r="I279" s="286">
        <v>1790</v>
      </c>
      <c r="J279" s="286">
        <f t="shared" si="538"/>
        <v>3204100</v>
      </c>
      <c r="K279" s="286">
        <v>190</v>
      </c>
      <c r="L279" s="286">
        <f t="shared" si="539"/>
        <v>1432</v>
      </c>
      <c r="M279" s="286">
        <f t="shared" si="540"/>
        <v>1</v>
      </c>
      <c r="N279" s="411">
        <f t="shared" si="541"/>
        <v>0.5</v>
      </c>
      <c r="O279" s="411">
        <f t="shared" si="542"/>
        <v>0.5</v>
      </c>
      <c r="P279" s="393">
        <f t="shared" si="543"/>
        <v>163700</v>
      </c>
      <c r="Q279" s="393">
        <f t="shared" si="544"/>
        <v>340100</v>
      </c>
      <c r="R279" s="408">
        <f t="shared" si="545"/>
        <v>0.48132902087621288</v>
      </c>
      <c r="S279" s="286">
        <f t="shared" si="546"/>
        <v>780</v>
      </c>
      <c r="T279" s="286">
        <f t="shared" si="547"/>
        <v>760</v>
      </c>
      <c r="U279" s="286">
        <v>35.700000000000003</v>
      </c>
      <c r="V279" s="286">
        <v>22.1</v>
      </c>
      <c r="X279" s="286">
        <v>25.7</v>
      </c>
      <c r="Z279" s="423" t="s">
        <v>413</v>
      </c>
      <c r="AA279" s="286">
        <v>10.5</v>
      </c>
      <c r="AB279" s="286">
        <v>18.600000000000001</v>
      </c>
      <c r="AC279" s="286">
        <v>3</v>
      </c>
      <c r="AD279" s="286">
        <f t="shared" si="532"/>
        <v>3.1052631578947367</v>
      </c>
      <c r="AE279" s="286">
        <v>5</v>
      </c>
      <c r="AF279" s="398">
        <f t="shared" si="548"/>
        <v>0.88507743347731438</v>
      </c>
      <c r="AG279" s="398">
        <f t="shared" si="549"/>
        <v>9.2933130515118005</v>
      </c>
      <c r="AH279" s="398">
        <f t="shared" si="550"/>
        <v>16.462440262678047</v>
      </c>
      <c r="AI279" s="403">
        <f t="shared" si="535"/>
        <v>14.900451652423948</v>
      </c>
      <c r="AJ279" s="286" t="s">
        <v>413</v>
      </c>
      <c r="AK279" s="286" t="s">
        <v>798</v>
      </c>
      <c r="AL279" s="286">
        <v>200</v>
      </c>
      <c r="AM279" s="286">
        <f t="shared" si="551"/>
        <v>400</v>
      </c>
      <c r="AN279" s="306">
        <f t="shared" si="522"/>
        <v>1.4701558365186709E-3</v>
      </c>
      <c r="AO279" s="286">
        <v>448</v>
      </c>
      <c r="AP279" s="393">
        <f t="shared" si="507"/>
        <v>0.65862981476036453</v>
      </c>
      <c r="AQ279" s="286">
        <f t="shared" si="552"/>
        <v>1410</v>
      </c>
      <c r="AR279" s="286" t="s">
        <v>798</v>
      </c>
      <c r="AS279" s="286">
        <f t="shared" si="553"/>
        <v>400</v>
      </c>
      <c r="AT279" s="286" t="s">
        <v>413</v>
      </c>
      <c r="AU279" s="286">
        <v>0</v>
      </c>
      <c r="AV279" s="286">
        <v>200</v>
      </c>
      <c r="AW279" s="286">
        <f t="shared" si="407"/>
        <v>400</v>
      </c>
      <c r="AX279" s="306">
        <f t="shared" si="519"/>
        <v>6.7476383265856947E-4</v>
      </c>
      <c r="AY279" s="286">
        <v>448</v>
      </c>
      <c r="AZ279" s="393">
        <f t="shared" si="525"/>
        <v>0.3022941970310391</v>
      </c>
      <c r="BA279" s="286">
        <f t="shared" si="554"/>
        <v>1560</v>
      </c>
      <c r="BB279" s="414">
        <f t="shared" si="523"/>
        <v>680.2</v>
      </c>
      <c r="BC279" s="286">
        <v>2</v>
      </c>
      <c r="BD279" s="398">
        <f t="shared" si="445"/>
        <v>0.13422411928531358</v>
      </c>
      <c r="BE279" s="408">
        <f t="shared" si="513"/>
        <v>4.1551618814905318</v>
      </c>
      <c r="BF279" s="286">
        <v>276</v>
      </c>
      <c r="BG279" s="286">
        <v>346</v>
      </c>
      <c r="BH279" s="286">
        <f t="shared" si="508"/>
        <v>346</v>
      </c>
      <c r="BI279" s="286">
        <v>1</v>
      </c>
      <c r="BJ279" s="373">
        <f t="shared" si="514"/>
        <v>1</v>
      </c>
      <c r="BK279" s="312">
        <f t="shared" si="515"/>
        <v>1</v>
      </c>
      <c r="BL279" s="311">
        <f t="shared" si="555"/>
        <v>346</v>
      </c>
      <c r="BM279" s="309">
        <f t="shared" si="447"/>
        <v>1.0173478388709203</v>
      </c>
      <c r="BN279" s="309">
        <f t="shared" si="516"/>
        <v>2.1136224801466099</v>
      </c>
      <c r="BP279" s="328">
        <f t="shared" si="424"/>
        <v>7.7202206321902347</v>
      </c>
      <c r="BQ279" s="328">
        <f t="shared" si="425"/>
        <v>0.3022941970310391</v>
      </c>
      <c r="BR279" s="328">
        <f t="shared" si="426"/>
        <v>0.157749844954826</v>
      </c>
      <c r="BS279" s="328">
        <f t="shared" si="427"/>
        <v>1.021543039495981</v>
      </c>
      <c r="BT279" s="328">
        <f t="shared" si="428"/>
        <v>2</v>
      </c>
      <c r="BV279" s="328">
        <f t="shared" si="429"/>
        <v>0.48132902087621288</v>
      </c>
      <c r="BW279" s="328">
        <f t="shared" si="430"/>
        <v>0.625</v>
      </c>
      <c r="BX279" s="373">
        <f t="shared" si="517"/>
        <v>0.84922426954092578</v>
      </c>
      <c r="BY279" s="311">
        <f t="shared" si="431"/>
        <v>193064.41033907965</v>
      </c>
      <c r="BZ279" s="311">
        <f t="shared" si="432"/>
        <v>98697.846153846156</v>
      </c>
      <c r="CA279" s="311">
        <f t="shared" si="433"/>
        <v>202208.01879832664</v>
      </c>
      <c r="CB279" s="307">
        <f t="shared" si="434"/>
        <v>202.20801879832663</v>
      </c>
      <c r="CC279" s="309">
        <f t="shared" si="518"/>
        <v>0.59455459805447408</v>
      </c>
      <c r="CD279" s="379">
        <f t="shared" si="435"/>
        <v>1.7111091936719145</v>
      </c>
    </row>
    <row r="280" spans="1:82" x14ac:dyDescent="0.25">
      <c r="A280" s="373">
        <v>272</v>
      </c>
      <c r="B280" s="286" t="s">
        <v>950</v>
      </c>
      <c r="C280" s="286" t="s">
        <v>1008</v>
      </c>
      <c r="D280" s="286" t="s">
        <v>598</v>
      </c>
      <c r="E280" s="286" t="s">
        <v>668</v>
      </c>
      <c r="F280" s="286" t="s">
        <v>485</v>
      </c>
      <c r="G280" s="286">
        <v>1790</v>
      </c>
      <c r="H280" s="286">
        <f t="shared" si="537"/>
        <v>895</v>
      </c>
      <c r="I280" s="286">
        <v>1790</v>
      </c>
      <c r="J280" s="286">
        <f t="shared" si="538"/>
        <v>3204100</v>
      </c>
      <c r="K280" s="286">
        <v>190</v>
      </c>
      <c r="L280" s="286">
        <f t="shared" si="539"/>
        <v>1432</v>
      </c>
      <c r="M280" s="286">
        <f t="shared" si="540"/>
        <v>1</v>
      </c>
      <c r="N280" s="411">
        <f t="shared" si="541"/>
        <v>0.5</v>
      </c>
      <c r="O280" s="411">
        <f t="shared" si="542"/>
        <v>0.5</v>
      </c>
      <c r="P280" s="393">
        <f t="shared" si="543"/>
        <v>163700</v>
      </c>
      <c r="Q280" s="393">
        <f t="shared" si="544"/>
        <v>340100</v>
      </c>
      <c r="R280" s="408">
        <f t="shared" si="545"/>
        <v>0.48132902087621288</v>
      </c>
      <c r="S280" s="286">
        <f t="shared" si="546"/>
        <v>780</v>
      </c>
      <c r="T280" s="286">
        <f t="shared" si="547"/>
        <v>760</v>
      </c>
      <c r="U280" s="286">
        <v>35.700000000000003</v>
      </c>
      <c r="V280" s="286">
        <v>22.1</v>
      </c>
      <c r="X280" s="286">
        <v>21.7</v>
      </c>
      <c r="Z280" s="423" t="s">
        <v>413</v>
      </c>
      <c r="AA280" s="286">
        <v>9.5</v>
      </c>
      <c r="AB280" s="286">
        <v>18.600000000000001</v>
      </c>
      <c r="AC280" s="286">
        <v>3</v>
      </c>
      <c r="AD280" s="286">
        <f t="shared" si="532"/>
        <v>3.1052631578947367</v>
      </c>
      <c r="AE280" s="286">
        <v>5</v>
      </c>
      <c r="AF280" s="398">
        <f t="shared" si="548"/>
        <v>0.88507743347731438</v>
      </c>
      <c r="AG280" s="398">
        <f t="shared" si="549"/>
        <v>8.408235618034487</v>
      </c>
      <c r="AH280" s="398">
        <f t="shared" si="550"/>
        <v>16.462440262678047</v>
      </c>
      <c r="AI280" s="403">
        <f t="shared" si="535"/>
        <v>14.707613552392578</v>
      </c>
      <c r="AJ280" s="286" t="s">
        <v>413</v>
      </c>
      <c r="AK280" s="286" t="s">
        <v>798</v>
      </c>
      <c r="AL280" s="286">
        <v>200</v>
      </c>
      <c r="AM280" s="286">
        <f t="shared" si="551"/>
        <v>400</v>
      </c>
      <c r="AN280" s="306">
        <f t="shared" si="522"/>
        <v>1.4701558365186709E-3</v>
      </c>
      <c r="AO280" s="286">
        <v>448</v>
      </c>
      <c r="AP280" s="393">
        <f t="shared" si="507"/>
        <v>0.65862981476036453</v>
      </c>
      <c r="AQ280" s="286">
        <f t="shared" si="552"/>
        <v>1410</v>
      </c>
      <c r="AR280" s="286" t="s">
        <v>798</v>
      </c>
      <c r="AS280" s="286">
        <f t="shared" si="553"/>
        <v>400</v>
      </c>
      <c r="AT280" s="286" t="s">
        <v>413</v>
      </c>
      <c r="AU280" s="286">
        <v>0</v>
      </c>
      <c r="AV280" s="286">
        <v>200</v>
      </c>
      <c r="AW280" s="286">
        <f t="shared" si="407"/>
        <v>400</v>
      </c>
      <c r="AX280" s="306">
        <f t="shared" si="519"/>
        <v>6.7476383265856947E-4</v>
      </c>
      <c r="AY280" s="286">
        <v>448</v>
      </c>
      <c r="AZ280" s="393">
        <f t="shared" si="525"/>
        <v>0.3022941970310391</v>
      </c>
      <c r="BA280" s="286">
        <f t="shared" si="554"/>
        <v>1560</v>
      </c>
      <c r="BB280" s="414">
        <f t="shared" si="523"/>
        <v>680.2</v>
      </c>
      <c r="BC280" s="286">
        <v>2</v>
      </c>
      <c r="BD280" s="398">
        <f t="shared" si="445"/>
        <v>0.13598399175198941</v>
      </c>
      <c r="BE280" s="408">
        <f t="shared" si="513"/>
        <v>4.1551618814905318</v>
      </c>
      <c r="BF280" s="286">
        <v>282</v>
      </c>
      <c r="BG280" s="286">
        <v>334</v>
      </c>
      <c r="BH280" s="286">
        <f t="shared" si="508"/>
        <v>334</v>
      </c>
      <c r="BI280" s="286">
        <v>1</v>
      </c>
      <c r="BJ280" s="373">
        <f t="shared" si="514"/>
        <v>1</v>
      </c>
      <c r="BK280" s="312">
        <f t="shared" si="515"/>
        <v>1</v>
      </c>
      <c r="BL280" s="311">
        <f t="shared" si="555"/>
        <v>334</v>
      </c>
      <c r="BM280" s="309">
        <f t="shared" si="447"/>
        <v>0.9820640987944721</v>
      </c>
      <c r="BN280" s="309">
        <f t="shared" si="516"/>
        <v>2.040317654245571</v>
      </c>
      <c r="BP280" s="328">
        <f t="shared" si="424"/>
        <v>7.6701013167734828</v>
      </c>
      <c r="BQ280" s="328">
        <f t="shared" si="425"/>
        <v>0.3022941970310391</v>
      </c>
      <c r="BR280" s="328">
        <f t="shared" si="426"/>
        <v>0.14495468160142672</v>
      </c>
      <c r="BS280" s="328">
        <f t="shared" si="427"/>
        <v>1.0149112293123694</v>
      </c>
      <c r="BT280" s="328">
        <f t="shared" si="428"/>
        <v>2</v>
      </c>
      <c r="BV280" s="328">
        <f t="shared" si="429"/>
        <v>0.48132902087621288</v>
      </c>
      <c r="BW280" s="328">
        <f t="shared" si="430"/>
        <v>0.625</v>
      </c>
      <c r="BX280" s="373">
        <f t="shared" si="517"/>
        <v>0.84371114484508314</v>
      </c>
      <c r="BY280" s="311">
        <f t="shared" si="431"/>
        <v>192342.41152891208</v>
      </c>
      <c r="BZ280" s="311">
        <f t="shared" si="432"/>
        <v>98697.846153846156</v>
      </c>
      <c r="CA280" s="311">
        <f t="shared" si="433"/>
        <v>200895.29368893109</v>
      </c>
      <c r="CB280" s="307">
        <f t="shared" si="434"/>
        <v>200.8952936889311</v>
      </c>
      <c r="CC280" s="309">
        <f t="shared" si="518"/>
        <v>0.59069477709182916</v>
      </c>
      <c r="CD280" s="379">
        <f t="shared" si="435"/>
        <v>1.6625576133066111</v>
      </c>
    </row>
    <row r="281" spans="1:82" x14ac:dyDescent="0.25">
      <c r="A281" s="373">
        <v>273</v>
      </c>
      <c r="B281" s="286" t="s">
        <v>950</v>
      </c>
      <c r="C281" s="286" t="s">
        <v>1009</v>
      </c>
      <c r="D281" s="286" t="s">
        <v>598</v>
      </c>
      <c r="E281" s="286" t="s">
        <v>668</v>
      </c>
      <c r="F281" s="286" t="s">
        <v>485</v>
      </c>
      <c r="G281" s="286">
        <v>1790</v>
      </c>
      <c r="H281" s="286">
        <f t="shared" si="537"/>
        <v>895</v>
      </c>
      <c r="I281" s="286">
        <v>1790</v>
      </c>
      <c r="J281" s="286">
        <f t="shared" si="538"/>
        <v>3204100</v>
      </c>
      <c r="K281" s="286">
        <v>190</v>
      </c>
      <c r="L281" s="286">
        <f t="shared" si="539"/>
        <v>1432</v>
      </c>
      <c r="M281" s="286">
        <f t="shared" si="540"/>
        <v>1</v>
      </c>
      <c r="N281" s="411">
        <f t="shared" si="541"/>
        <v>0.5</v>
      </c>
      <c r="O281" s="411">
        <f t="shared" si="542"/>
        <v>0.5</v>
      </c>
      <c r="P281" s="393">
        <f t="shared" si="543"/>
        <v>163700</v>
      </c>
      <c r="Q281" s="393">
        <f t="shared" si="544"/>
        <v>340100</v>
      </c>
      <c r="R281" s="408">
        <f t="shared" si="545"/>
        <v>0.48132902087621288</v>
      </c>
      <c r="S281" s="286">
        <f t="shared" si="546"/>
        <v>780</v>
      </c>
      <c r="T281" s="286">
        <f t="shared" si="547"/>
        <v>760</v>
      </c>
      <c r="U281" s="286">
        <v>29.3</v>
      </c>
      <c r="V281" s="286">
        <v>9.5</v>
      </c>
      <c r="X281" s="286">
        <v>25.2</v>
      </c>
      <c r="Z281" s="423" t="s">
        <v>413</v>
      </c>
      <c r="AA281" s="286">
        <v>12.7</v>
      </c>
      <c r="AB281" s="286">
        <v>22.3</v>
      </c>
      <c r="AC281" s="286">
        <v>3</v>
      </c>
      <c r="AD281" s="286">
        <f t="shared" si="532"/>
        <v>3.1052631578947367</v>
      </c>
      <c r="AE281" s="286">
        <v>5</v>
      </c>
      <c r="AF281" s="398">
        <f t="shared" si="548"/>
        <v>0.88507743347731438</v>
      </c>
      <c r="AG281" s="398">
        <f t="shared" si="549"/>
        <v>11.240483405161893</v>
      </c>
      <c r="AH281" s="398">
        <f t="shared" si="550"/>
        <v>19.737226766544111</v>
      </c>
      <c r="AI281" s="403">
        <f t="shared" si="535"/>
        <v>17.885981006242957</v>
      </c>
      <c r="AJ281" s="286" t="s">
        <v>413</v>
      </c>
      <c r="AK281" s="286" t="s">
        <v>798</v>
      </c>
      <c r="AL281" s="286">
        <v>200</v>
      </c>
      <c r="AM281" s="286">
        <f t="shared" si="551"/>
        <v>400</v>
      </c>
      <c r="AN281" s="306">
        <f t="shared" si="522"/>
        <v>1.4701558365186709E-3</v>
      </c>
      <c r="AO281" s="286">
        <v>448</v>
      </c>
      <c r="AP281" s="393">
        <f t="shared" si="507"/>
        <v>0.65862981476036453</v>
      </c>
      <c r="AQ281" s="286">
        <f t="shared" si="552"/>
        <v>1410</v>
      </c>
      <c r="AR281" s="286" t="s">
        <v>1003</v>
      </c>
      <c r="AS281" s="286">
        <f t="shared" si="553"/>
        <v>200</v>
      </c>
      <c r="AT281" s="286" t="s">
        <v>413</v>
      </c>
      <c r="AU281" s="286">
        <v>0</v>
      </c>
      <c r="AV281" s="286">
        <v>100</v>
      </c>
      <c r="AW281" s="286">
        <f t="shared" si="407"/>
        <v>200</v>
      </c>
      <c r="AX281" s="306">
        <f t="shared" si="519"/>
        <v>3.3738191632928474E-4</v>
      </c>
      <c r="AY281" s="286">
        <v>456</v>
      </c>
      <c r="AZ281" s="393">
        <f t="shared" si="525"/>
        <v>0.15384615384615383</v>
      </c>
      <c r="BA281" s="286">
        <f t="shared" si="554"/>
        <v>1560</v>
      </c>
      <c r="BB281" s="414">
        <f t="shared" si="523"/>
        <v>680.2</v>
      </c>
      <c r="BC281" s="286">
        <v>2</v>
      </c>
      <c r="BD281" s="398">
        <f t="shared" si="445"/>
        <v>0.11181941875605907</v>
      </c>
      <c r="BE281" s="408">
        <f t="shared" si="513"/>
        <v>4.1551618814905318</v>
      </c>
      <c r="BF281" s="286">
        <v>216</v>
      </c>
      <c r="BG281" s="286">
        <v>232</v>
      </c>
      <c r="BH281" s="286">
        <f t="shared" si="508"/>
        <v>232</v>
      </c>
      <c r="BI281" s="286">
        <v>1</v>
      </c>
      <c r="BJ281" s="373">
        <f t="shared" si="514"/>
        <v>1</v>
      </c>
      <c r="BK281" s="312">
        <f t="shared" si="515"/>
        <v>1</v>
      </c>
      <c r="BL281" s="311">
        <f t="shared" si="555"/>
        <v>232</v>
      </c>
      <c r="BM281" s="309">
        <f t="shared" si="447"/>
        <v>0.68215230814466332</v>
      </c>
      <c r="BN281" s="309">
        <f t="shared" si="516"/>
        <v>1.4172266340867441</v>
      </c>
      <c r="BP281" s="328">
        <f t="shared" si="424"/>
        <v>8.4583641459192229</v>
      </c>
      <c r="BQ281" s="328">
        <f t="shared" si="425"/>
        <v>0.15384615384615383</v>
      </c>
      <c r="BR281" s="328">
        <f t="shared" si="426"/>
        <v>0.15620777621531542</v>
      </c>
      <c r="BS281" s="328">
        <f t="shared" si="427"/>
        <v>0.79843901787721228</v>
      </c>
      <c r="BT281" s="328">
        <f t="shared" si="428"/>
        <v>2</v>
      </c>
      <c r="BV281" s="328">
        <f t="shared" si="429"/>
        <v>0.48132902087621288</v>
      </c>
      <c r="BW281" s="328">
        <f t="shared" si="430"/>
        <v>0.625</v>
      </c>
      <c r="BX281" s="373">
        <f t="shared" si="517"/>
        <v>0.93042005605111455</v>
      </c>
      <c r="BY281" s="311">
        <f t="shared" si="431"/>
        <v>203697.81054045397</v>
      </c>
      <c r="BZ281" s="311">
        <f t="shared" si="432"/>
        <v>50230.153846153844</v>
      </c>
      <c r="CA281" s="311">
        <f t="shared" si="433"/>
        <v>221541.47370991629</v>
      </c>
      <c r="CB281" s="307">
        <f t="shared" si="434"/>
        <v>221.54147370991629</v>
      </c>
      <c r="CC281" s="309">
        <f t="shared" si="518"/>
        <v>0.65140098121116219</v>
      </c>
      <c r="CD281" s="379">
        <f t="shared" si="435"/>
        <v>1.0472079837465467</v>
      </c>
    </row>
    <row r="282" spans="1:82" x14ac:dyDescent="0.25">
      <c r="A282" s="373">
        <v>274</v>
      </c>
      <c r="B282" s="286" t="s">
        <v>950</v>
      </c>
      <c r="C282" s="286" t="s">
        <v>1010</v>
      </c>
      <c r="D282" s="286" t="s">
        <v>598</v>
      </c>
      <c r="E282" s="286" t="s">
        <v>668</v>
      </c>
      <c r="F282" s="286" t="s">
        <v>485</v>
      </c>
      <c r="G282" s="286">
        <v>1790</v>
      </c>
      <c r="H282" s="286">
        <f t="shared" si="537"/>
        <v>895</v>
      </c>
      <c r="I282" s="286">
        <v>1790</v>
      </c>
      <c r="J282" s="286">
        <f t="shared" si="538"/>
        <v>3204100</v>
      </c>
      <c r="K282" s="286">
        <v>190</v>
      </c>
      <c r="L282" s="286">
        <f t="shared" si="539"/>
        <v>1432</v>
      </c>
      <c r="M282" s="286">
        <f t="shared" si="540"/>
        <v>1</v>
      </c>
      <c r="N282" s="411">
        <f t="shared" si="541"/>
        <v>0.5</v>
      </c>
      <c r="O282" s="411">
        <f t="shared" si="542"/>
        <v>0.5</v>
      </c>
      <c r="P282" s="393">
        <f t="shared" si="543"/>
        <v>163700</v>
      </c>
      <c r="Q282" s="393">
        <f t="shared" si="544"/>
        <v>340100</v>
      </c>
      <c r="R282" s="408">
        <f t="shared" si="545"/>
        <v>0.48132902087621288</v>
      </c>
      <c r="S282" s="286">
        <f t="shared" si="546"/>
        <v>780</v>
      </c>
      <c r="T282" s="286">
        <f t="shared" si="547"/>
        <v>760</v>
      </c>
      <c r="U282" s="286">
        <v>29.3</v>
      </c>
      <c r="V282" s="286">
        <v>9.5</v>
      </c>
      <c r="X282" s="286">
        <v>25.2</v>
      </c>
      <c r="Z282" s="423" t="s">
        <v>413</v>
      </c>
      <c r="AA282" s="286">
        <v>12.7</v>
      </c>
      <c r="AB282" s="286">
        <v>22.3</v>
      </c>
      <c r="AC282" s="286">
        <v>3</v>
      </c>
      <c r="AD282" s="286">
        <f t="shared" si="532"/>
        <v>3.1052631578947367</v>
      </c>
      <c r="AE282" s="286">
        <v>5</v>
      </c>
      <c r="AF282" s="398">
        <f t="shared" si="548"/>
        <v>0.88507743347731438</v>
      </c>
      <c r="AG282" s="398">
        <f t="shared" si="549"/>
        <v>11.240483405161893</v>
      </c>
      <c r="AH282" s="398">
        <f t="shared" si="550"/>
        <v>19.737226766544111</v>
      </c>
      <c r="AI282" s="403">
        <f t="shared" si="535"/>
        <v>17.885981006242957</v>
      </c>
      <c r="AJ282" s="286" t="s">
        <v>413</v>
      </c>
      <c r="AK282" s="286" t="s">
        <v>798</v>
      </c>
      <c r="AL282" s="286">
        <v>200</v>
      </c>
      <c r="AM282" s="286">
        <f t="shared" si="551"/>
        <v>400</v>
      </c>
      <c r="AN282" s="306">
        <f t="shared" si="522"/>
        <v>1.4701558365186709E-3</v>
      </c>
      <c r="AO282" s="286">
        <v>448</v>
      </c>
      <c r="AP282" s="393">
        <f t="shared" si="507"/>
        <v>0.65862981476036453</v>
      </c>
      <c r="AQ282" s="286">
        <f t="shared" si="552"/>
        <v>1410</v>
      </c>
      <c r="AR282" s="286" t="s">
        <v>1003</v>
      </c>
      <c r="AS282" s="286">
        <f t="shared" si="553"/>
        <v>200</v>
      </c>
      <c r="AT282" s="286" t="s">
        <v>413</v>
      </c>
      <c r="AU282" s="286">
        <v>0</v>
      </c>
      <c r="AV282" s="286">
        <v>100</v>
      </c>
      <c r="AW282" s="286">
        <f t="shared" si="407"/>
        <v>200</v>
      </c>
      <c r="AX282" s="306">
        <f t="shared" si="519"/>
        <v>3.3738191632928474E-4</v>
      </c>
      <c r="AY282" s="286">
        <v>456</v>
      </c>
      <c r="AZ282" s="393">
        <f t="shared" si="525"/>
        <v>0.15384615384615383</v>
      </c>
      <c r="BA282" s="286">
        <f t="shared" si="554"/>
        <v>1560</v>
      </c>
      <c r="BB282" s="414">
        <f t="shared" si="523"/>
        <v>680.2</v>
      </c>
      <c r="BC282" s="286">
        <v>2</v>
      </c>
      <c r="BD282" s="398">
        <f t="shared" si="445"/>
        <v>0.11181941875605907</v>
      </c>
      <c r="BE282" s="408">
        <f t="shared" si="513"/>
        <v>4.1551618814905318</v>
      </c>
      <c r="BF282" s="286">
        <v>191</v>
      </c>
      <c r="BG282" s="286">
        <v>215</v>
      </c>
      <c r="BH282" s="286">
        <f t="shared" si="508"/>
        <v>215</v>
      </c>
      <c r="BI282" s="286">
        <v>1</v>
      </c>
      <c r="BJ282" s="373">
        <f t="shared" si="514"/>
        <v>1</v>
      </c>
      <c r="BK282" s="312">
        <f t="shared" si="515"/>
        <v>1</v>
      </c>
      <c r="BL282" s="311">
        <f t="shared" si="555"/>
        <v>215</v>
      </c>
      <c r="BM282" s="309">
        <f t="shared" si="447"/>
        <v>0.63216700970302853</v>
      </c>
      <c r="BN282" s="309">
        <f t="shared" si="516"/>
        <v>1.3133781307269394</v>
      </c>
      <c r="BP282" s="328">
        <f t="shared" si="424"/>
        <v>8.4583641459192229</v>
      </c>
      <c r="BQ282" s="328">
        <f t="shared" si="425"/>
        <v>0.15384615384615383</v>
      </c>
      <c r="BR282" s="328">
        <f t="shared" si="426"/>
        <v>0.15620777621531542</v>
      </c>
      <c r="BS282" s="328">
        <f t="shared" si="427"/>
        <v>0.79843901787721228</v>
      </c>
      <c r="BT282" s="328">
        <f t="shared" si="428"/>
        <v>2</v>
      </c>
      <c r="BV282" s="328">
        <f t="shared" si="429"/>
        <v>0.48132902087621288</v>
      </c>
      <c r="BW282" s="328">
        <f t="shared" si="430"/>
        <v>0.625</v>
      </c>
      <c r="BX282" s="373">
        <f t="shared" si="517"/>
        <v>0.93042005605111455</v>
      </c>
      <c r="BY282" s="311">
        <f t="shared" si="431"/>
        <v>203697.81054045397</v>
      </c>
      <c r="BZ282" s="311">
        <f t="shared" si="432"/>
        <v>50230.153846153844</v>
      </c>
      <c r="CA282" s="311">
        <f t="shared" si="433"/>
        <v>221541.47370991629</v>
      </c>
      <c r="CB282" s="307">
        <f t="shared" si="434"/>
        <v>221.54147370991629</v>
      </c>
      <c r="CC282" s="309">
        <f t="shared" si="518"/>
        <v>0.65140098121116219</v>
      </c>
      <c r="CD282" s="379">
        <f t="shared" si="435"/>
        <v>0.97047291597201513</v>
      </c>
    </row>
    <row r="283" spans="1:82" x14ac:dyDescent="0.25">
      <c r="A283" s="373">
        <v>275</v>
      </c>
      <c r="B283" s="286" t="s">
        <v>950</v>
      </c>
      <c r="C283" s="286" t="s">
        <v>1011</v>
      </c>
      <c r="D283" s="286" t="s">
        <v>598</v>
      </c>
      <c r="E283" s="286" t="s">
        <v>668</v>
      </c>
      <c r="F283" s="286" t="s">
        <v>485</v>
      </c>
      <c r="G283" s="286">
        <v>1790</v>
      </c>
      <c r="H283" s="286">
        <f t="shared" si="537"/>
        <v>895</v>
      </c>
      <c r="I283" s="286">
        <v>1790</v>
      </c>
      <c r="J283" s="286">
        <f t="shared" si="538"/>
        <v>3204100</v>
      </c>
      <c r="K283" s="286">
        <v>190</v>
      </c>
      <c r="L283" s="286">
        <f t="shared" si="539"/>
        <v>1432</v>
      </c>
      <c r="M283" s="286">
        <f t="shared" si="540"/>
        <v>1</v>
      </c>
      <c r="N283" s="411">
        <f t="shared" si="541"/>
        <v>0.5</v>
      </c>
      <c r="O283" s="411">
        <f t="shared" si="542"/>
        <v>0.5</v>
      </c>
      <c r="P283" s="393">
        <f t="shared" si="543"/>
        <v>163700</v>
      </c>
      <c r="Q283" s="393">
        <f t="shared" si="544"/>
        <v>340100</v>
      </c>
      <c r="R283" s="408">
        <f t="shared" si="545"/>
        <v>0.48132902087621288</v>
      </c>
      <c r="S283" s="286">
        <f t="shared" si="546"/>
        <v>780</v>
      </c>
      <c r="T283" s="286">
        <f t="shared" si="547"/>
        <v>760</v>
      </c>
      <c r="U283" s="286">
        <v>29.3</v>
      </c>
      <c r="V283" s="286">
        <v>11.5</v>
      </c>
      <c r="X283" s="286">
        <v>31.7</v>
      </c>
      <c r="Z283" s="423" t="s">
        <v>413</v>
      </c>
      <c r="AA283" s="286">
        <v>12.7</v>
      </c>
      <c r="AB283" s="286">
        <v>22.3</v>
      </c>
      <c r="AC283" s="286">
        <v>3</v>
      </c>
      <c r="AD283" s="286">
        <f t="shared" si="532"/>
        <v>3.1052631578947367</v>
      </c>
      <c r="AE283" s="286">
        <v>5</v>
      </c>
      <c r="AF283" s="398">
        <f t="shared" si="548"/>
        <v>0.88507743347731438</v>
      </c>
      <c r="AG283" s="398">
        <f t="shared" si="549"/>
        <v>11.240483405161893</v>
      </c>
      <c r="AH283" s="398">
        <f t="shared" si="550"/>
        <v>19.737226766544111</v>
      </c>
      <c r="AI283" s="403">
        <f t="shared" si="535"/>
        <v>17.885981006242957</v>
      </c>
      <c r="AJ283" s="286" t="s">
        <v>413</v>
      </c>
      <c r="AK283" s="286" t="s">
        <v>798</v>
      </c>
      <c r="AL283" s="286">
        <v>200</v>
      </c>
      <c r="AM283" s="286">
        <f t="shared" si="551"/>
        <v>400</v>
      </c>
      <c r="AN283" s="306">
        <f t="shared" si="522"/>
        <v>1.4701558365186709E-3</v>
      </c>
      <c r="AO283" s="286">
        <v>448</v>
      </c>
      <c r="AP283" s="393">
        <f t="shared" si="507"/>
        <v>0.65862981476036453</v>
      </c>
      <c r="AQ283" s="286">
        <f t="shared" si="552"/>
        <v>1410</v>
      </c>
      <c r="AR283" s="286" t="s">
        <v>1003</v>
      </c>
      <c r="AS283" s="286">
        <f t="shared" si="553"/>
        <v>200</v>
      </c>
      <c r="AT283" s="286" t="s">
        <v>413</v>
      </c>
      <c r="AU283" s="286">
        <v>0</v>
      </c>
      <c r="AV283" s="286">
        <v>100</v>
      </c>
      <c r="AW283" s="286">
        <f t="shared" si="407"/>
        <v>200</v>
      </c>
      <c r="AX283" s="306">
        <f t="shared" si="519"/>
        <v>3.3738191632928474E-4</v>
      </c>
      <c r="AY283" s="286">
        <v>456</v>
      </c>
      <c r="AZ283" s="393">
        <f t="shared" si="525"/>
        <v>0.15384615384615383</v>
      </c>
      <c r="BA283" s="286">
        <f t="shared" si="554"/>
        <v>1560</v>
      </c>
      <c r="BB283" s="414">
        <f t="shared" si="523"/>
        <v>680.2</v>
      </c>
      <c r="BC283" s="286">
        <v>2</v>
      </c>
      <c r="BD283" s="398">
        <f t="shared" si="445"/>
        <v>0.11181941875605907</v>
      </c>
      <c r="BE283" s="408">
        <f t="shared" si="513"/>
        <v>4.1551618814905318</v>
      </c>
      <c r="BF283" s="286">
        <v>208</v>
      </c>
      <c r="BG283" s="286">
        <v>244</v>
      </c>
      <c r="BH283" s="286">
        <f t="shared" si="508"/>
        <v>244</v>
      </c>
      <c r="BI283" s="286">
        <v>1</v>
      </c>
      <c r="BJ283" s="373">
        <f t="shared" si="514"/>
        <v>1</v>
      </c>
      <c r="BK283" s="312">
        <f t="shared" si="515"/>
        <v>1</v>
      </c>
      <c r="BL283" s="311">
        <f t="shared" si="555"/>
        <v>244</v>
      </c>
      <c r="BM283" s="309">
        <f t="shared" si="447"/>
        <v>0.71743604822111151</v>
      </c>
      <c r="BN283" s="309">
        <f t="shared" si="516"/>
        <v>1.4905314599877826</v>
      </c>
      <c r="BP283" s="328">
        <f t="shared" si="424"/>
        <v>8.4583641459192229</v>
      </c>
      <c r="BQ283" s="328">
        <f t="shared" si="425"/>
        <v>0.15384615384615383</v>
      </c>
      <c r="BR283" s="328">
        <f t="shared" si="426"/>
        <v>0.17519915633621813</v>
      </c>
      <c r="BS283" s="328">
        <f t="shared" si="427"/>
        <v>0.79843901787721228</v>
      </c>
      <c r="BT283" s="328">
        <f t="shared" si="428"/>
        <v>2</v>
      </c>
      <c r="BV283" s="328">
        <f t="shared" si="429"/>
        <v>0.48132902087621288</v>
      </c>
      <c r="BW283" s="328">
        <f t="shared" si="430"/>
        <v>0.625</v>
      </c>
      <c r="BX283" s="373">
        <f t="shared" si="517"/>
        <v>0.93042005605111455</v>
      </c>
      <c r="BY283" s="311">
        <f t="shared" si="431"/>
        <v>203697.81054045397</v>
      </c>
      <c r="BZ283" s="311">
        <f t="shared" si="432"/>
        <v>50230.153846153844</v>
      </c>
      <c r="CA283" s="311">
        <f t="shared" si="433"/>
        <v>221541.47370991629</v>
      </c>
      <c r="CB283" s="307">
        <f t="shared" si="434"/>
        <v>221.54147370991629</v>
      </c>
      <c r="CC283" s="309">
        <f t="shared" si="518"/>
        <v>0.65140098121116219</v>
      </c>
      <c r="CD283" s="379">
        <f t="shared" si="435"/>
        <v>1.1013739139403336</v>
      </c>
    </row>
    <row r="284" spans="1:82" x14ac:dyDescent="0.25">
      <c r="A284" s="373">
        <v>276</v>
      </c>
      <c r="B284" s="286" t="s">
        <v>950</v>
      </c>
      <c r="C284" s="286" t="s">
        <v>1012</v>
      </c>
      <c r="D284" s="286" t="s">
        <v>598</v>
      </c>
      <c r="E284" s="286" t="s">
        <v>668</v>
      </c>
      <c r="F284" s="286" t="s">
        <v>485</v>
      </c>
      <c r="G284" s="286">
        <v>1790</v>
      </c>
      <c r="H284" s="286">
        <f t="shared" si="537"/>
        <v>895</v>
      </c>
      <c r="I284" s="286">
        <v>1790</v>
      </c>
      <c r="J284" s="286">
        <f t="shared" si="538"/>
        <v>3204100</v>
      </c>
      <c r="K284" s="286">
        <v>190</v>
      </c>
      <c r="L284" s="286">
        <f t="shared" si="539"/>
        <v>1432</v>
      </c>
      <c r="M284" s="286">
        <f t="shared" si="540"/>
        <v>1</v>
      </c>
      <c r="N284" s="411">
        <f t="shared" si="541"/>
        <v>0.5</v>
      </c>
      <c r="O284" s="411">
        <f t="shared" si="542"/>
        <v>0.5</v>
      </c>
      <c r="P284" s="393">
        <f t="shared" si="543"/>
        <v>163700</v>
      </c>
      <c r="Q284" s="393">
        <f t="shared" si="544"/>
        <v>340100</v>
      </c>
      <c r="R284" s="408">
        <f t="shared" si="545"/>
        <v>0.48132902087621288</v>
      </c>
      <c r="S284" s="286">
        <f t="shared" si="546"/>
        <v>780</v>
      </c>
      <c r="T284" s="286">
        <f t="shared" si="547"/>
        <v>760</v>
      </c>
      <c r="U284" s="286">
        <v>29.3</v>
      </c>
      <c r="V284" s="286">
        <v>11.5</v>
      </c>
      <c r="X284" s="286">
        <v>31.7</v>
      </c>
      <c r="Z284" s="423" t="s">
        <v>413</v>
      </c>
      <c r="AA284" s="286">
        <v>12.7</v>
      </c>
      <c r="AB284" s="286">
        <v>22.3</v>
      </c>
      <c r="AC284" s="286">
        <v>3</v>
      </c>
      <c r="AD284" s="286">
        <f t="shared" si="532"/>
        <v>3.1052631578947367</v>
      </c>
      <c r="AE284" s="286">
        <v>5</v>
      </c>
      <c r="AF284" s="398">
        <f t="shared" si="548"/>
        <v>0.88507743347731438</v>
      </c>
      <c r="AG284" s="398">
        <f t="shared" si="549"/>
        <v>11.240483405161893</v>
      </c>
      <c r="AH284" s="398">
        <f t="shared" si="550"/>
        <v>19.737226766544111</v>
      </c>
      <c r="AI284" s="403">
        <f t="shared" si="535"/>
        <v>17.885981006242957</v>
      </c>
      <c r="AJ284" s="286" t="s">
        <v>413</v>
      </c>
      <c r="AK284" s="286" t="s">
        <v>798</v>
      </c>
      <c r="AL284" s="286">
        <v>200</v>
      </c>
      <c r="AM284" s="286">
        <f t="shared" si="551"/>
        <v>400</v>
      </c>
      <c r="AN284" s="306">
        <f t="shared" si="522"/>
        <v>1.4701558365186709E-3</v>
      </c>
      <c r="AO284" s="286">
        <v>448</v>
      </c>
      <c r="AP284" s="393">
        <f t="shared" si="507"/>
        <v>0.65862981476036453</v>
      </c>
      <c r="AQ284" s="286">
        <f t="shared" si="552"/>
        <v>1410</v>
      </c>
      <c r="AR284" s="286" t="s">
        <v>1003</v>
      </c>
      <c r="AS284" s="286">
        <f t="shared" si="553"/>
        <v>200</v>
      </c>
      <c r="AT284" s="286" t="s">
        <v>413</v>
      </c>
      <c r="AU284" s="286">
        <v>0</v>
      </c>
      <c r="AV284" s="286">
        <v>100</v>
      </c>
      <c r="AW284" s="286">
        <f t="shared" si="407"/>
        <v>200</v>
      </c>
      <c r="AX284" s="306">
        <f t="shared" si="519"/>
        <v>3.3738191632928474E-4</v>
      </c>
      <c r="AY284" s="286">
        <v>456</v>
      </c>
      <c r="AZ284" s="393">
        <f t="shared" si="525"/>
        <v>0.15384615384615383</v>
      </c>
      <c r="BA284" s="286">
        <f t="shared" si="554"/>
        <v>1560</v>
      </c>
      <c r="BB284" s="414">
        <f t="shared" si="523"/>
        <v>680.2</v>
      </c>
      <c r="BC284" s="286">
        <v>2</v>
      </c>
      <c r="BD284" s="398">
        <f t="shared" si="445"/>
        <v>0.11181941875605907</v>
      </c>
      <c r="BE284" s="408">
        <f t="shared" si="513"/>
        <v>4.1551618814905318</v>
      </c>
      <c r="BF284" s="286">
        <v>217</v>
      </c>
      <c r="BG284" s="286">
        <v>223</v>
      </c>
      <c r="BH284" s="286">
        <f t="shared" si="508"/>
        <v>223</v>
      </c>
      <c r="BI284" s="286">
        <v>1</v>
      </c>
      <c r="BJ284" s="373">
        <f t="shared" si="514"/>
        <v>1</v>
      </c>
      <c r="BK284" s="312">
        <f t="shared" si="515"/>
        <v>1</v>
      </c>
      <c r="BL284" s="311">
        <f t="shared" si="555"/>
        <v>223</v>
      </c>
      <c r="BM284" s="309">
        <f t="shared" si="447"/>
        <v>0.65568950308732721</v>
      </c>
      <c r="BN284" s="309">
        <f t="shared" si="516"/>
        <v>1.362248014660965</v>
      </c>
      <c r="BP284" s="328">
        <f t="shared" si="424"/>
        <v>8.4583641459192229</v>
      </c>
      <c r="BQ284" s="328">
        <f t="shared" si="425"/>
        <v>0.15384615384615383</v>
      </c>
      <c r="BR284" s="328">
        <f t="shared" si="426"/>
        <v>0.17519915633621813</v>
      </c>
      <c r="BS284" s="328">
        <f t="shared" si="427"/>
        <v>0.79843901787721228</v>
      </c>
      <c r="BT284" s="328">
        <f t="shared" si="428"/>
        <v>2</v>
      </c>
      <c r="BV284" s="328">
        <f t="shared" si="429"/>
        <v>0.48132902087621288</v>
      </c>
      <c r="BW284" s="328">
        <f t="shared" si="430"/>
        <v>0.625</v>
      </c>
      <c r="BX284" s="373">
        <f t="shared" si="517"/>
        <v>0.93042005605111455</v>
      </c>
      <c r="BY284" s="311">
        <f t="shared" si="431"/>
        <v>203697.81054045397</v>
      </c>
      <c r="BZ284" s="311">
        <f t="shared" si="432"/>
        <v>50230.153846153844</v>
      </c>
      <c r="CA284" s="311">
        <f t="shared" si="433"/>
        <v>221541.47370991629</v>
      </c>
      <c r="CB284" s="307">
        <f t="shared" si="434"/>
        <v>221.54147370991629</v>
      </c>
      <c r="CC284" s="309">
        <f t="shared" si="518"/>
        <v>0.65140098121116219</v>
      </c>
      <c r="CD284" s="379">
        <f t="shared" si="435"/>
        <v>1.0065835361012065</v>
      </c>
    </row>
    <row r="285" spans="1:82" x14ac:dyDescent="0.25">
      <c r="A285" s="373">
        <v>277</v>
      </c>
      <c r="B285" s="286" t="s">
        <v>950</v>
      </c>
      <c r="C285" s="286" t="s">
        <v>1013</v>
      </c>
      <c r="D285" s="286" t="s">
        <v>598</v>
      </c>
      <c r="E285" s="286" t="s">
        <v>668</v>
      </c>
      <c r="F285" s="286" t="s">
        <v>485</v>
      </c>
      <c r="G285" s="286">
        <v>1790</v>
      </c>
      <c r="H285" s="286">
        <f t="shared" si="537"/>
        <v>895</v>
      </c>
      <c r="I285" s="286">
        <v>1790</v>
      </c>
      <c r="J285" s="286">
        <f t="shared" si="538"/>
        <v>3204100</v>
      </c>
      <c r="K285" s="286">
        <v>190</v>
      </c>
      <c r="L285" s="286">
        <f t="shared" si="539"/>
        <v>1432</v>
      </c>
      <c r="M285" s="286">
        <f t="shared" si="540"/>
        <v>1</v>
      </c>
      <c r="N285" s="411">
        <f t="shared" si="541"/>
        <v>0.5</v>
      </c>
      <c r="O285" s="411">
        <f t="shared" si="542"/>
        <v>0.5</v>
      </c>
      <c r="P285" s="393">
        <f t="shared" si="543"/>
        <v>163700</v>
      </c>
      <c r="Q285" s="393">
        <f t="shared" si="544"/>
        <v>340100</v>
      </c>
      <c r="R285" s="408">
        <f t="shared" si="545"/>
        <v>0.48132902087621288</v>
      </c>
      <c r="S285" s="286">
        <f t="shared" si="546"/>
        <v>780</v>
      </c>
      <c r="T285" s="286">
        <f t="shared" si="547"/>
        <v>760</v>
      </c>
      <c r="U285" s="286">
        <v>29.3</v>
      </c>
      <c r="V285" s="286">
        <v>11</v>
      </c>
      <c r="X285" s="286">
        <v>31.8</v>
      </c>
      <c r="Z285" s="423" t="s">
        <v>413</v>
      </c>
      <c r="AA285" s="286">
        <v>12.7</v>
      </c>
      <c r="AB285" s="286">
        <v>22.3</v>
      </c>
      <c r="AC285" s="286">
        <v>3</v>
      </c>
      <c r="AD285" s="286">
        <f t="shared" si="532"/>
        <v>3.1052631578947367</v>
      </c>
      <c r="AE285" s="286">
        <v>5</v>
      </c>
      <c r="AF285" s="398">
        <f t="shared" si="548"/>
        <v>0.88507743347731438</v>
      </c>
      <c r="AG285" s="398">
        <f t="shared" si="549"/>
        <v>11.240483405161893</v>
      </c>
      <c r="AH285" s="398">
        <f t="shared" si="550"/>
        <v>19.737226766544111</v>
      </c>
      <c r="AI285" s="403">
        <f t="shared" si="535"/>
        <v>17.885981006242957</v>
      </c>
      <c r="AJ285" s="286" t="s">
        <v>413</v>
      </c>
      <c r="AK285" s="286" t="s">
        <v>798</v>
      </c>
      <c r="AL285" s="286">
        <v>200</v>
      </c>
      <c r="AM285" s="286">
        <f t="shared" si="551"/>
        <v>400</v>
      </c>
      <c r="AN285" s="306">
        <f t="shared" si="522"/>
        <v>1.4701558365186709E-3</v>
      </c>
      <c r="AO285" s="286">
        <v>448</v>
      </c>
      <c r="AP285" s="393">
        <f t="shared" si="507"/>
        <v>0.65862981476036453</v>
      </c>
      <c r="AQ285" s="286">
        <f t="shared" si="552"/>
        <v>1410</v>
      </c>
      <c r="AR285" s="286" t="s">
        <v>1003</v>
      </c>
      <c r="AS285" s="286">
        <f t="shared" si="553"/>
        <v>200</v>
      </c>
      <c r="AT285" s="286" t="s">
        <v>413</v>
      </c>
      <c r="AU285" s="286">
        <v>0</v>
      </c>
      <c r="AV285" s="286">
        <v>100</v>
      </c>
      <c r="AW285" s="286">
        <f t="shared" si="407"/>
        <v>200</v>
      </c>
      <c r="AX285" s="306">
        <f t="shared" si="519"/>
        <v>3.3738191632928474E-4</v>
      </c>
      <c r="AY285" s="286">
        <v>456</v>
      </c>
      <c r="AZ285" s="393">
        <f t="shared" si="525"/>
        <v>0.15384615384615383</v>
      </c>
      <c r="BA285" s="286">
        <f t="shared" si="554"/>
        <v>1560</v>
      </c>
      <c r="BB285" s="414">
        <f t="shared" si="523"/>
        <v>680.2</v>
      </c>
      <c r="BC285" s="286">
        <v>2</v>
      </c>
      <c r="BD285" s="398">
        <f t="shared" si="445"/>
        <v>0.11181941875605907</v>
      </c>
      <c r="BE285" s="408">
        <f t="shared" si="513"/>
        <v>4.1551618814905318</v>
      </c>
      <c r="BF285" s="286">
        <v>214</v>
      </c>
      <c r="BG285" s="286">
        <v>226</v>
      </c>
      <c r="BH285" s="286">
        <f t="shared" si="508"/>
        <v>226</v>
      </c>
      <c r="BI285" s="286">
        <v>1</v>
      </c>
      <c r="BJ285" s="373">
        <f t="shared" si="514"/>
        <v>1</v>
      </c>
      <c r="BK285" s="312">
        <f t="shared" si="515"/>
        <v>1</v>
      </c>
      <c r="BL285" s="311">
        <f t="shared" si="555"/>
        <v>226</v>
      </c>
      <c r="BM285" s="309">
        <f t="shared" si="447"/>
        <v>0.66451043810643928</v>
      </c>
      <c r="BN285" s="309">
        <f t="shared" si="516"/>
        <v>1.3805742211362249</v>
      </c>
      <c r="BP285" s="328">
        <f t="shared" si="424"/>
        <v>8.4583641459192229</v>
      </c>
      <c r="BQ285" s="328">
        <f t="shared" si="425"/>
        <v>0.15384615384615383</v>
      </c>
      <c r="BR285" s="328">
        <f t="shared" si="426"/>
        <v>0.17547527810933972</v>
      </c>
      <c r="BS285" s="328">
        <f t="shared" si="427"/>
        <v>0.79843901787721228</v>
      </c>
      <c r="BT285" s="328">
        <f t="shared" si="428"/>
        <v>2</v>
      </c>
      <c r="BV285" s="328">
        <f t="shared" si="429"/>
        <v>0.48132902087621288</v>
      </c>
      <c r="BW285" s="328">
        <f t="shared" si="430"/>
        <v>0.625</v>
      </c>
      <c r="BX285" s="373">
        <f t="shared" si="517"/>
        <v>0.93042005605111455</v>
      </c>
      <c r="BY285" s="311">
        <f t="shared" si="431"/>
        <v>203697.81054045397</v>
      </c>
      <c r="BZ285" s="311">
        <f t="shared" si="432"/>
        <v>50230.153846153844</v>
      </c>
      <c r="CA285" s="311">
        <f t="shared" si="433"/>
        <v>221541.47370991629</v>
      </c>
      <c r="CB285" s="307">
        <f t="shared" si="434"/>
        <v>221.54147370991629</v>
      </c>
      <c r="CC285" s="309">
        <f t="shared" si="518"/>
        <v>0.65140098121116219</v>
      </c>
      <c r="CD285" s="379">
        <f t="shared" si="435"/>
        <v>1.0201250186496531</v>
      </c>
    </row>
    <row r="286" spans="1:82" x14ac:dyDescent="0.25">
      <c r="A286" s="373">
        <v>278</v>
      </c>
      <c r="B286" s="286" t="s">
        <v>950</v>
      </c>
      <c r="C286" s="286" t="s">
        <v>1014</v>
      </c>
      <c r="D286" s="286" t="s">
        <v>598</v>
      </c>
      <c r="E286" s="286" t="s">
        <v>668</v>
      </c>
      <c r="F286" s="286" t="s">
        <v>485</v>
      </c>
      <c r="G286" s="286">
        <v>1790</v>
      </c>
      <c r="H286" s="286">
        <f t="shared" si="537"/>
        <v>895</v>
      </c>
      <c r="I286" s="286">
        <v>1790</v>
      </c>
      <c r="J286" s="286">
        <f t="shared" si="538"/>
        <v>3204100</v>
      </c>
      <c r="K286" s="286">
        <v>190</v>
      </c>
      <c r="L286" s="286">
        <f t="shared" si="539"/>
        <v>1432</v>
      </c>
      <c r="M286" s="286">
        <f t="shared" si="540"/>
        <v>1</v>
      </c>
      <c r="N286" s="411">
        <f t="shared" si="541"/>
        <v>0.5</v>
      </c>
      <c r="O286" s="411">
        <f t="shared" si="542"/>
        <v>0.5</v>
      </c>
      <c r="P286" s="393">
        <f t="shared" si="543"/>
        <v>163700</v>
      </c>
      <c r="Q286" s="393">
        <f t="shared" si="544"/>
        <v>340100</v>
      </c>
      <c r="R286" s="408">
        <f t="shared" si="545"/>
        <v>0.48132902087621288</v>
      </c>
      <c r="S286" s="286">
        <f t="shared" si="546"/>
        <v>780</v>
      </c>
      <c r="T286" s="286">
        <f t="shared" si="547"/>
        <v>760</v>
      </c>
      <c r="U286" s="286">
        <v>29.3</v>
      </c>
      <c r="V286" s="286">
        <v>11</v>
      </c>
      <c r="X286" s="286">
        <v>31.8</v>
      </c>
      <c r="Z286" s="423" t="s">
        <v>413</v>
      </c>
      <c r="AA286" s="286">
        <v>12.7</v>
      </c>
      <c r="AB286" s="286">
        <v>22.3</v>
      </c>
      <c r="AC286" s="286">
        <v>3</v>
      </c>
      <c r="AD286" s="286">
        <f t="shared" si="532"/>
        <v>3.1052631578947367</v>
      </c>
      <c r="AE286" s="286">
        <v>5</v>
      </c>
      <c r="AF286" s="398">
        <f t="shared" si="548"/>
        <v>0.88507743347731438</v>
      </c>
      <c r="AG286" s="398">
        <f t="shared" si="549"/>
        <v>11.240483405161893</v>
      </c>
      <c r="AH286" s="398">
        <f t="shared" si="550"/>
        <v>19.737226766544111</v>
      </c>
      <c r="AI286" s="403">
        <f t="shared" si="535"/>
        <v>17.885981006242957</v>
      </c>
      <c r="AJ286" s="286" t="s">
        <v>413</v>
      </c>
      <c r="AK286" s="286" t="s">
        <v>798</v>
      </c>
      <c r="AL286" s="286">
        <v>200</v>
      </c>
      <c r="AM286" s="286">
        <f t="shared" si="551"/>
        <v>400</v>
      </c>
      <c r="AN286" s="306">
        <f t="shared" si="522"/>
        <v>1.4701558365186709E-3</v>
      </c>
      <c r="AO286" s="286">
        <v>448</v>
      </c>
      <c r="AP286" s="393">
        <f t="shared" si="507"/>
        <v>0.65862981476036453</v>
      </c>
      <c r="AQ286" s="286">
        <f t="shared" si="552"/>
        <v>1410</v>
      </c>
      <c r="AR286" s="286" t="s">
        <v>1003</v>
      </c>
      <c r="AS286" s="286">
        <f t="shared" si="553"/>
        <v>200</v>
      </c>
      <c r="AT286" s="286" t="s">
        <v>413</v>
      </c>
      <c r="AU286" s="286">
        <v>0</v>
      </c>
      <c r="AV286" s="286">
        <v>100</v>
      </c>
      <c r="AW286" s="286">
        <f t="shared" si="407"/>
        <v>200</v>
      </c>
      <c r="AX286" s="306">
        <f t="shared" si="519"/>
        <v>3.3738191632928474E-4</v>
      </c>
      <c r="AY286" s="286">
        <v>456</v>
      </c>
      <c r="AZ286" s="393">
        <f t="shared" si="525"/>
        <v>0.15384615384615383</v>
      </c>
      <c r="BA286" s="286">
        <f t="shared" si="554"/>
        <v>1560</v>
      </c>
      <c r="BB286" s="414">
        <f t="shared" si="523"/>
        <v>680.2</v>
      </c>
      <c r="BC286" s="286">
        <v>2</v>
      </c>
      <c r="BD286" s="398">
        <f t="shared" si="445"/>
        <v>0.11181941875605907</v>
      </c>
      <c r="BE286" s="408">
        <f t="shared" si="513"/>
        <v>4.1551618814905318</v>
      </c>
      <c r="BF286" s="286">
        <v>184</v>
      </c>
      <c r="BG286" s="286">
        <v>213</v>
      </c>
      <c r="BH286" s="286">
        <f t="shared" si="508"/>
        <v>213</v>
      </c>
      <c r="BI286" s="286">
        <v>1</v>
      </c>
      <c r="BJ286" s="373">
        <f t="shared" si="514"/>
        <v>1</v>
      </c>
      <c r="BK286" s="312">
        <f t="shared" si="515"/>
        <v>1</v>
      </c>
      <c r="BL286" s="311">
        <f t="shared" si="555"/>
        <v>213</v>
      </c>
      <c r="BM286" s="309">
        <f t="shared" si="447"/>
        <v>0.62628638635695377</v>
      </c>
      <c r="BN286" s="309">
        <f t="shared" si="516"/>
        <v>1.3011606597434331</v>
      </c>
      <c r="BP286" s="328">
        <f t="shared" si="424"/>
        <v>8.4583641459192229</v>
      </c>
      <c r="BQ286" s="328">
        <f t="shared" si="425"/>
        <v>0.15384615384615383</v>
      </c>
      <c r="BR286" s="328">
        <f t="shared" si="426"/>
        <v>0.17547527810933972</v>
      </c>
      <c r="BS286" s="328">
        <f t="shared" si="427"/>
        <v>0.79843901787721228</v>
      </c>
      <c r="BT286" s="328">
        <f t="shared" si="428"/>
        <v>2</v>
      </c>
      <c r="BV286" s="328">
        <f t="shared" si="429"/>
        <v>0.48132902087621288</v>
      </c>
      <c r="BW286" s="328">
        <f t="shared" si="430"/>
        <v>0.625</v>
      </c>
      <c r="BX286" s="373">
        <f t="shared" si="517"/>
        <v>0.93042005605111455</v>
      </c>
      <c r="BY286" s="311">
        <f t="shared" si="431"/>
        <v>203697.81054045397</v>
      </c>
      <c r="BZ286" s="311">
        <f t="shared" si="432"/>
        <v>50230.153846153844</v>
      </c>
      <c r="CA286" s="311">
        <f t="shared" si="433"/>
        <v>221541.47370991629</v>
      </c>
      <c r="CB286" s="307">
        <f t="shared" si="434"/>
        <v>221.54147370991629</v>
      </c>
      <c r="CC286" s="309">
        <f t="shared" si="518"/>
        <v>0.65140098121116219</v>
      </c>
      <c r="CD286" s="379">
        <f t="shared" si="435"/>
        <v>0.96144526093971738</v>
      </c>
    </row>
    <row r="287" spans="1:82" x14ac:dyDescent="0.25">
      <c r="A287" s="373">
        <v>279</v>
      </c>
      <c r="B287" s="286" t="s">
        <v>950</v>
      </c>
      <c r="C287" s="286" t="s">
        <v>1015</v>
      </c>
      <c r="D287" s="286" t="s">
        <v>598</v>
      </c>
      <c r="E287" s="286" t="s">
        <v>668</v>
      </c>
      <c r="F287" s="286" t="s">
        <v>485</v>
      </c>
      <c r="G287" s="286">
        <v>1790</v>
      </c>
      <c r="H287" s="286">
        <f t="shared" si="537"/>
        <v>895</v>
      </c>
      <c r="I287" s="286">
        <v>1790</v>
      </c>
      <c r="J287" s="286">
        <f t="shared" si="538"/>
        <v>3204100</v>
      </c>
      <c r="K287" s="286">
        <v>190</v>
      </c>
      <c r="L287" s="286">
        <f t="shared" si="539"/>
        <v>1432</v>
      </c>
      <c r="M287" s="286">
        <f t="shared" si="540"/>
        <v>1</v>
      </c>
      <c r="N287" s="411">
        <f t="shared" si="541"/>
        <v>0.5</v>
      </c>
      <c r="O287" s="411">
        <f t="shared" si="542"/>
        <v>0.5</v>
      </c>
      <c r="P287" s="393">
        <f t="shared" si="543"/>
        <v>163700</v>
      </c>
      <c r="Q287" s="393">
        <f t="shared" si="544"/>
        <v>340100</v>
      </c>
      <c r="R287" s="408">
        <f t="shared" si="545"/>
        <v>0.48132902087621288</v>
      </c>
      <c r="S287" s="286">
        <f t="shared" si="546"/>
        <v>780</v>
      </c>
      <c r="T287" s="286">
        <f>3*190</f>
        <v>570</v>
      </c>
      <c r="U287" s="286">
        <v>20.100000000000001</v>
      </c>
      <c r="V287" s="286">
        <v>9.3000000000000007</v>
      </c>
      <c r="X287" s="286">
        <v>24.7</v>
      </c>
      <c r="Z287" s="423" t="s">
        <v>413</v>
      </c>
      <c r="AA287" s="286">
        <v>8.8000000000000007</v>
      </c>
      <c r="AB287" s="286">
        <v>14.7</v>
      </c>
      <c r="AC287" s="286">
        <v>3</v>
      </c>
      <c r="AD287" s="286">
        <f t="shared" si="532"/>
        <v>3.1052631578947367</v>
      </c>
      <c r="AE287" s="286">
        <v>5</v>
      </c>
      <c r="AF287" s="398">
        <f t="shared" si="548"/>
        <v>0.88507743347731438</v>
      </c>
      <c r="AG287" s="398">
        <f t="shared" si="549"/>
        <v>7.7886814146003669</v>
      </c>
      <c r="AH287" s="398">
        <f t="shared" si="550"/>
        <v>13.010638272116521</v>
      </c>
      <c r="AI287" s="403">
        <f t="shared" si="535"/>
        <v>11.872893481931436</v>
      </c>
      <c r="AJ287" s="286" t="s">
        <v>413</v>
      </c>
      <c r="AK287" s="286" t="s">
        <v>798</v>
      </c>
      <c r="AL287" s="286">
        <v>200</v>
      </c>
      <c r="AM287" s="286">
        <f t="shared" si="551"/>
        <v>400</v>
      </c>
      <c r="AN287" s="306">
        <f t="shared" si="522"/>
        <v>1.4701558365186709E-3</v>
      </c>
      <c r="AO287" s="286">
        <v>448</v>
      </c>
      <c r="AP287" s="393">
        <f t="shared" si="507"/>
        <v>0.65862981476036453</v>
      </c>
      <c r="AQ287" s="286">
        <f t="shared" si="552"/>
        <v>1410</v>
      </c>
      <c r="AR287" s="286" t="s">
        <v>1003</v>
      </c>
      <c r="AS287" s="286">
        <f t="shared" si="553"/>
        <v>200</v>
      </c>
      <c r="AT287" s="286" t="s">
        <v>413</v>
      </c>
      <c r="AU287" s="286">
        <v>0</v>
      </c>
      <c r="AV287" s="286">
        <v>100</v>
      </c>
      <c r="AW287" s="286">
        <f t="shared" si="407"/>
        <v>200</v>
      </c>
      <c r="AX287" s="306">
        <f t="shared" si="519"/>
        <v>4.4984255510571302E-4</v>
      </c>
      <c r="AY287" s="286">
        <v>456</v>
      </c>
      <c r="AZ287" s="393">
        <f t="shared" si="525"/>
        <v>0.20512820512820515</v>
      </c>
      <c r="BA287" s="286">
        <f>3*390</f>
        <v>1170</v>
      </c>
      <c r="BB287" s="414">
        <f t="shared" si="523"/>
        <v>680.2</v>
      </c>
      <c r="BC287" s="286">
        <v>2</v>
      </c>
      <c r="BD287" s="398">
        <f t="shared" si="445"/>
        <v>0.16845093431046665</v>
      </c>
      <c r="BE287" s="408">
        <f t="shared" si="513"/>
        <v>4.1551618814905318</v>
      </c>
      <c r="BF287" s="286">
        <v>180</v>
      </c>
      <c r="BG287" s="286">
        <v>211</v>
      </c>
      <c r="BH287" s="286">
        <f t="shared" si="508"/>
        <v>211</v>
      </c>
      <c r="BI287" s="286">
        <v>1</v>
      </c>
      <c r="BJ287" s="373">
        <f t="shared" si="514"/>
        <v>1</v>
      </c>
      <c r="BK287" s="312">
        <f t="shared" si="515"/>
        <v>1</v>
      </c>
      <c r="BL287" s="311">
        <f t="shared" si="555"/>
        <v>211</v>
      </c>
      <c r="BM287" s="309">
        <f t="shared" si="447"/>
        <v>0.62040576301087913</v>
      </c>
      <c r="BN287" s="309">
        <f t="shared" si="516"/>
        <v>1.2889431887599265</v>
      </c>
      <c r="BP287" s="328">
        <f t="shared" si="424"/>
        <v>6.8914130574016346</v>
      </c>
      <c r="BQ287" s="328">
        <f t="shared" si="425"/>
        <v>0.20512820512820515</v>
      </c>
      <c r="BR287" s="328">
        <f t="shared" si="426"/>
        <v>0.15465033177137538</v>
      </c>
      <c r="BS287" s="328">
        <f t="shared" si="427"/>
        <v>0.75116098580505763</v>
      </c>
      <c r="BT287" s="328">
        <f t="shared" si="428"/>
        <v>2</v>
      </c>
      <c r="BV287" s="328">
        <f t="shared" si="429"/>
        <v>0.48132902087621288</v>
      </c>
      <c r="BW287" s="328">
        <f t="shared" si="430"/>
        <v>0.625</v>
      </c>
      <c r="BX287" s="373">
        <f t="shared" si="517"/>
        <v>0.75805543631417982</v>
      </c>
      <c r="BY287" s="311">
        <f t="shared" si="431"/>
        <v>181124.93993970501</v>
      </c>
      <c r="BZ287" s="311">
        <f t="shared" si="432"/>
        <v>66973.538461538468</v>
      </c>
      <c r="CA287" s="311">
        <f t="shared" si="433"/>
        <v>180499.89079946364</v>
      </c>
      <c r="CB287" s="307">
        <f t="shared" si="434"/>
        <v>180.49989079946363</v>
      </c>
      <c r="CC287" s="309">
        <f t="shared" si="518"/>
        <v>0.53072593589962846</v>
      </c>
      <c r="CD287" s="379">
        <f t="shared" si="435"/>
        <v>1.1689757764697053</v>
      </c>
    </row>
    <row r="288" spans="1:82" x14ac:dyDescent="0.25">
      <c r="A288" s="373">
        <v>280</v>
      </c>
      <c r="B288" s="286" t="s">
        <v>950</v>
      </c>
      <c r="C288" s="286" t="s">
        <v>1016</v>
      </c>
      <c r="D288" s="286" t="s">
        <v>598</v>
      </c>
      <c r="E288" s="286" t="s">
        <v>668</v>
      </c>
      <c r="F288" s="286" t="s">
        <v>485</v>
      </c>
      <c r="G288" s="286">
        <v>1790</v>
      </c>
      <c r="H288" s="286">
        <f t="shared" si="537"/>
        <v>895</v>
      </c>
      <c r="I288" s="286">
        <v>1790</v>
      </c>
      <c r="J288" s="286">
        <f t="shared" si="538"/>
        <v>3204100</v>
      </c>
      <c r="K288" s="286">
        <v>190</v>
      </c>
      <c r="L288" s="286">
        <f t="shared" si="539"/>
        <v>1432</v>
      </c>
      <c r="M288" s="286">
        <f t="shared" si="540"/>
        <v>1</v>
      </c>
      <c r="N288" s="411">
        <f t="shared" si="541"/>
        <v>0.5</v>
      </c>
      <c r="O288" s="411">
        <f t="shared" si="542"/>
        <v>0.5</v>
      </c>
      <c r="P288" s="393">
        <f t="shared" si="543"/>
        <v>163700</v>
      </c>
      <c r="Q288" s="393">
        <f t="shared" si="544"/>
        <v>340100</v>
      </c>
      <c r="R288" s="408">
        <f t="shared" si="545"/>
        <v>0.48132902087621288</v>
      </c>
      <c r="S288" s="286">
        <f t="shared" si="546"/>
        <v>780</v>
      </c>
      <c r="T288" s="286">
        <f>3*190</f>
        <v>570</v>
      </c>
      <c r="U288" s="286">
        <v>20.100000000000001</v>
      </c>
      <c r="V288" s="286">
        <v>9.3000000000000007</v>
      </c>
      <c r="X288" s="286">
        <v>24.7</v>
      </c>
      <c r="Z288" s="423" t="s">
        <v>413</v>
      </c>
      <c r="AA288" s="286">
        <v>8.8000000000000007</v>
      </c>
      <c r="AB288" s="286">
        <v>14.7</v>
      </c>
      <c r="AC288" s="286">
        <v>3</v>
      </c>
      <c r="AD288" s="286">
        <f t="shared" si="532"/>
        <v>3.1052631578947367</v>
      </c>
      <c r="AE288" s="286">
        <v>5</v>
      </c>
      <c r="AF288" s="398">
        <f t="shared" si="548"/>
        <v>0.88507743347731438</v>
      </c>
      <c r="AG288" s="398">
        <f t="shared" si="549"/>
        <v>7.7886814146003669</v>
      </c>
      <c r="AH288" s="398">
        <f t="shared" si="550"/>
        <v>13.010638272116521</v>
      </c>
      <c r="AI288" s="403">
        <f t="shared" si="535"/>
        <v>11.872893481931436</v>
      </c>
      <c r="AJ288" s="286" t="s">
        <v>413</v>
      </c>
      <c r="AK288" s="286" t="s">
        <v>798</v>
      </c>
      <c r="AL288" s="286">
        <v>200</v>
      </c>
      <c r="AM288" s="286">
        <f t="shared" si="551"/>
        <v>400</v>
      </c>
      <c r="AN288" s="306">
        <f t="shared" si="522"/>
        <v>1.4701558365186709E-3</v>
      </c>
      <c r="AO288" s="286">
        <v>448</v>
      </c>
      <c r="AP288" s="393">
        <f t="shared" si="507"/>
        <v>0.65862981476036453</v>
      </c>
      <c r="AQ288" s="286">
        <f t="shared" si="552"/>
        <v>1410</v>
      </c>
      <c r="AR288" s="286" t="s">
        <v>1003</v>
      </c>
      <c r="AS288" s="286">
        <f t="shared" si="553"/>
        <v>200</v>
      </c>
      <c r="AT288" s="286" t="s">
        <v>413</v>
      </c>
      <c r="AU288" s="286">
        <v>0</v>
      </c>
      <c r="AV288" s="286">
        <v>100</v>
      </c>
      <c r="AW288" s="286">
        <f t="shared" si="407"/>
        <v>200</v>
      </c>
      <c r="AX288" s="306">
        <f t="shared" si="519"/>
        <v>4.4984255510571302E-4</v>
      </c>
      <c r="AY288" s="286">
        <v>456</v>
      </c>
      <c r="AZ288" s="393">
        <f t="shared" si="525"/>
        <v>0.20512820512820515</v>
      </c>
      <c r="BA288" s="286">
        <f>3*390</f>
        <v>1170</v>
      </c>
      <c r="BB288" s="414">
        <f t="shared" si="523"/>
        <v>680.2</v>
      </c>
      <c r="BC288" s="286">
        <v>2</v>
      </c>
      <c r="BD288" s="398">
        <f t="shared" si="445"/>
        <v>0.16845093431046665</v>
      </c>
      <c r="BE288" s="408">
        <f t="shared" si="513"/>
        <v>4.1551618814905318</v>
      </c>
      <c r="BF288" s="286">
        <v>206</v>
      </c>
      <c r="BG288" s="286">
        <v>209</v>
      </c>
      <c r="BH288" s="286">
        <f t="shared" si="508"/>
        <v>209</v>
      </c>
      <c r="BI288" s="286">
        <v>1</v>
      </c>
      <c r="BJ288" s="373">
        <f t="shared" si="514"/>
        <v>1</v>
      </c>
      <c r="BK288" s="312">
        <f t="shared" si="515"/>
        <v>1</v>
      </c>
      <c r="BL288" s="311">
        <f t="shared" si="555"/>
        <v>209</v>
      </c>
      <c r="BM288" s="309">
        <f t="shared" si="447"/>
        <v>0.61452513966480449</v>
      </c>
      <c r="BN288" s="309">
        <f t="shared" si="516"/>
        <v>1.2767257177764204</v>
      </c>
      <c r="BP288" s="328">
        <f t="shared" si="424"/>
        <v>6.8914130574016346</v>
      </c>
      <c r="BQ288" s="328">
        <f t="shared" si="425"/>
        <v>0.20512820512820515</v>
      </c>
      <c r="BR288" s="328">
        <f t="shared" si="426"/>
        <v>0.15465033177137538</v>
      </c>
      <c r="BS288" s="328">
        <f t="shared" si="427"/>
        <v>0.75116098580505763</v>
      </c>
      <c r="BT288" s="328">
        <f t="shared" si="428"/>
        <v>2</v>
      </c>
      <c r="BV288" s="328">
        <f t="shared" si="429"/>
        <v>0.48132902087621288</v>
      </c>
      <c r="BW288" s="328">
        <f t="shared" si="430"/>
        <v>0.625</v>
      </c>
      <c r="BX288" s="373">
        <f t="shared" si="517"/>
        <v>0.75805543631417982</v>
      </c>
      <c r="BY288" s="311">
        <f t="shared" si="431"/>
        <v>181124.93993970501</v>
      </c>
      <c r="BZ288" s="311">
        <f t="shared" si="432"/>
        <v>66973.538461538468</v>
      </c>
      <c r="CA288" s="311">
        <f t="shared" si="433"/>
        <v>180499.89079946364</v>
      </c>
      <c r="CB288" s="307">
        <f t="shared" si="434"/>
        <v>180.49989079946363</v>
      </c>
      <c r="CC288" s="309">
        <f t="shared" si="518"/>
        <v>0.53072593589962846</v>
      </c>
      <c r="CD288" s="379">
        <f t="shared" si="435"/>
        <v>1.1578954373562482</v>
      </c>
    </row>
    <row r="289" spans="1:82" x14ac:dyDescent="0.25">
      <c r="A289" s="373">
        <v>281</v>
      </c>
      <c r="B289" s="286" t="s">
        <v>950</v>
      </c>
      <c r="C289" s="286" t="s">
        <v>1017</v>
      </c>
      <c r="D289" s="286" t="s">
        <v>598</v>
      </c>
      <c r="E289" s="286" t="s">
        <v>668</v>
      </c>
      <c r="F289" s="286" t="s">
        <v>485</v>
      </c>
      <c r="G289" s="286">
        <v>1790</v>
      </c>
      <c r="H289" s="286">
        <f t="shared" si="537"/>
        <v>895</v>
      </c>
      <c r="I289" s="286">
        <v>1790</v>
      </c>
      <c r="J289" s="286">
        <f t="shared" si="538"/>
        <v>3204100</v>
      </c>
      <c r="K289" s="286">
        <v>190</v>
      </c>
      <c r="L289" s="286">
        <f t="shared" si="539"/>
        <v>1432</v>
      </c>
      <c r="M289" s="286">
        <f t="shared" si="540"/>
        <v>1</v>
      </c>
      <c r="N289" s="411">
        <f t="shared" si="541"/>
        <v>0.5</v>
      </c>
      <c r="O289" s="411">
        <f t="shared" si="542"/>
        <v>0.5</v>
      </c>
      <c r="P289" s="393">
        <f t="shared" si="543"/>
        <v>163700</v>
      </c>
      <c r="Q289" s="393">
        <f t="shared" si="544"/>
        <v>340100</v>
      </c>
      <c r="R289" s="408">
        <f t="shared" si="545"/>
        <v>0.48132902087621288</v>
      </c>
      <c r="S289" s="286">
        <f t="shared" si="546"/>
        <v>780</v>
      </c>
      <c r="T289" s="286">
        <f t="shared" si="547"/>
        <v>760</v>
      </c>
      <c r="U289" s="286">
        <v>20.100000000000001</v>
      </c>
      <c r="V289" s="286">
        <v>11.6</v>
      </c>
      <c r="X289" s="286">
        <v>29.3</v>
      </c>
      <c r="Z289" s="423" t="s">
        <v>413</v>
      </c>
      <c r="AA289" s="286">
        <v>8.8000000000000007</v>
      </c>
      <c r="AB289" s="286">
        <v>14.7</v>
      </c>
      <c r="AC289" s="286">
        <v>3</v>
      </c>
      <c r="AD289" s="286">
        <f t="shared" si="532"/>
        <v>3.1052631578947367</v>
      </c>
      <c r="AE289" s="286">
        <v>5</v>
      </c>
      <c r="AF289" s="398">
        <f t="shared" si="548"/>
        <v>0.88507743347731438</v>
      </c>
      <c r="AG289" s="398">
        <f t="shared" si="549"/>
        <v>7.7886814146003669</v>
      </c>
      <c r="AH289" s="398">
        <f t="shared" si="550"/>
        <v>13.010638272116521</v>
      </c>
      <c r="AI289" s="403">
        <f t="shared" si="535"/>
        <v>11.872893481931436</v>
      </c>
      <c r="AJ289" s="286" t="s">
        <v>413</v>
      </c>
      <c r="AK289" s="286" t="s">
        <v>798</v>
      </c>
      <c r="AL289" s="286">
        <v>200</v>
      </c>
      <c r="AM289" s="286">
        <f t="shared" si="551"/>
        <v>400</v>
      </c>
      <c r="AN289" s="306">
        <f t="shared" si="522"/>
        <v>1.4701558365186709E-3</v>
      </c>
      <c r="AO289" s="286">
        <v>448</v>
      </c>
      <c r="AP289" s="393">
        <f t="shared" si="507"/>
        <v>0.65862981476036453</v>
      </c>
      <c r="AQ289" s="286">
        <f t="shared" si="552"/>
        <v>1410</v>
      </c>
      <c r="AR289" s="286" t="s">
        <v>1003</v>
      </c>
      <c r="AS289" s="286">
        <f>1*AV289</f>
        <v>100</v>
      </c>
      <c r="AT289" s="286" t="s">
        <v>413</v>
      </c>
      <c r="AU289" s="286">
        <v>0</v>
      </c>
      <c r="AV289" s="286">
        <v>100</v>
      </c>
      <c r="AW289" s="286">
        <f t="shared" si="407"/>
        <v>100</v>
      </c>
      <c r="AX289" s="306">
        <f t="shared" si="519"/>
        <v>3.3738191632928474E-4</v>
      </c>
      <c r="AY289" s="286">
        <v>456</v>
      </c>
      <c r="AZ289" s="393">
        <f t="shared" si="525"/>
        <v>0.15384615384615383</v>
      </c>
      <c r="BA289" s="286">
        <f t="shared" ref="BA289:BA290" si="556">4*390</f>
        <v>1560</v>
      </c>
      <c r="BB289" s="414">
        <f t="shared" si="523"/>
        <v>680.2</v>
      </c>
      <c r="BC289" s="286">
        <v>2</v>
      </c>
      <c r="BD289" s="398">
        <f t="shared" si="445"/>
        <v>0.16845093431046665</v>
      </c>
      <c r="BE289" s="408">
        <f t="shared" si="513"/>
        <v>4.1551618814905318</v>
      </c>
      <c r="BF289" s="286">
        <v>175</v>
      </c>
      <c r="BG289" s="286">
        <v>215</v>
      </c>
      <c r="BH289" s="286">
        <f t="shared" si="508"/>
        <v>215</v>
      </c>
      <c r="BI289" s="286">
        <v>1</v>
      </c>
      <c r="BJ289" s="373">
        <f t="shared" si="514"/>
        <v>1</v>
      </c>
      <c r="BK289" s="312">
        <f t="shared" si="515"/>
        <v>1</v>
      </c>
      <c r="BL289" s="311">
        <f t="shared" si="555"/>
        <v>215</v>
      </c>
      <c r="BM289" s="309">
        <f t="shared" si="447"/>
        <v>0.63216700970302853</v>
      </c>
      <c r="BN289" s="309">
        <f t="shared" si="516"/>
        <v>1.3133781307269394</v>
      </c>
      <c r="BP289" s="328">
        <f t="shared" si="424"/>
        <v>6.8914130574016346</v>
      </c>
      <c r="BQ289" s="328">
        <f t="shared" si="425"/>
        <v>0.15384615384615383</v>
      </c>
      <c r="BR289" s="328">
        <f t="shared" si="426"/>
        <v>0.16843649266670871</v>
      </c>
      <c r="BS289" s="328">
        <f t="shared" si="427"/>
        <v>0.65052449603894191</v>
      </c>
      <c r="BT289" s="328">
        <f t="shared" si="428"/>
        <v>2</v>
      </c>
      <c r="BV289" s="328">
        <f t="shared" si="429"/>
        <v>0.48132902087621288</v>
      </c>
      <c r="BW289" s="328">
        <f t="shared" si="430"/>
        <v>0.625</v>
      </c>
      <c r="BX289" s="373">
        <f t="shared" si="517"/>
        <v>0.75805543631417982</v>
      </c>
      <c r="BY289" s="311">
        <f t="shared" si="431"/>
        <v>181124.93993970501</v>
      </c>
      <c r="BZ289" s="311">
        <f t="shared" si="432"/>
        <v>25115.076923076922</v>
      </c>
      <c r="CA289" s="311">
        <f t="shared" si="433"/>
        <v>180499.89079946364</v>
      </c>
      <c r="CB289" s="307">
        <f t="shared" si="434"/>
        <v>180.49989079946363</v>
      </c>
      <c r="CC289" s="309">
        <f t="shared" si="518"/>
        <v>0.53072593589962846</v>
      </c>
      <c r="CD289" s="379">
        <f t="shared" si="435"/>
        <v>1.191136454696619</v>
      </c>
    </row>
    <row r="290" spans="1:82" x14ac:dyDescent="0.25">
      <c r="A290" s="315">
        <v>282</v>
      </c>
      <c r="B290" s="390" t="s">
        <v>950</v>
      </c>
      <c r="C290" s="390" t="s">
        <v>1018</v>
      </c>
      <c r="D290" s="390" t="s">
        <v>598</v>
      </c>
      <c r="E290" s="390" t="s">
        <v>668</v>
      </c>
      <c r="F290" s="390" t="s">
        <v>485</v>
      </c>
      <c r="G290" s="390">
        <v>1790</v>
      </c>
      <c r="H290" s="390">
        <f t="shared" si="537"/>
        <v>895</v>
      </c>
      <c r="I290" s="390">
        <v>1790</v>
      </c>
      <c r="J290" s="390">
        <f t="shared" si="538"/>
        <v>3204100</v>
      </c>
      <c r="K290" s="390">
        <v>190</v>
      </c>
      <c r="L290" s="390">
        <f t="shared" si="539"/>
        <v>1432</v>
      </c>
      <c r="M290" s="390">
        <f t="shared" si="540"/>
        <v>1</v>
      </c>
      <c r="N290" s="412">
        <f t="shared" si="541"/>
        <v>0.5</v>
      </c>
      <c r="O290" s="412">
        <f t="shared" si="542"/>
        <v>0.5</v>
      </c>
      <c r="P290" s="394">
        <f t="shared" si="543"/>
        <v>163700</v>
      </c>
      <c r="Q290" s="394">
        <f t="shared" si="544"/>
        <v>340100</v>
      </c>
      <c r="R290" s="409">
        <f t="shared" si="545"/>
        <v>0.48132902087621288</v>
      </c>
      <c r="S290" s="390">
        <f t="shared" si="546"/>
        <v>780</v>
      </c>
      <c r="T290" s="390">
        <f t="shared" si="547"/>
        <v>760</v>
      </c>
      <c r="U290" s="390">
        <v>20.100000000000001</v>
      </c>
      <c r="V290" s="390">
        <v>11.6</v>
      </c>
      <c r="W290" s="391"/>
      <c r="X290" s="390">
        <v>29.3</v>
      </c>
      <c r="Y290" s="391"/>
      <c r="Z290" s="424" t="s">
        <v>413</v>
      </c>
      <c r="AA290" s="390">
        <v>8.8000000000000007</v>
      </c>
      <c r="AB290" s="390">
        <v>14.7</v>
      </c>
      <c r="AC290" s="390">
        <v>3</v>
      </c>
      <c r="AD290" s="390">
        <f t="shared" si="532"/>
        <v>3.1052631578947367</v>
      </c>
      <c r="AE290" s="390">
        <v>5</v>
      </c>
      <c r="AF290" s="399">
        <f t="shared" si="548"/>
        <v>0.88507743347731438</v>
      </c>
      <c r="AG290" s="399">
        <f t="shared" si="549"/>
        <v>7.7886814146003669</v>
      </c>
      <c r="AH290" s="399">
        <f t="shared" si="550"/>
        <v>13.010638272116521</v>
      </c>
      <c r="AI290" s="405">
        <f t="shared" si="535"/>
        <v>11.872893481931436</v>
      </c>
      <c r="AJ290" s="390" t="s">
        <v>413</v>
      </c>
      <c r="AK290" s="390" t="s">
        <v>798</v>
      </c>
      <c r="AL290" s="390">
        <v>200</v>
      </c>
      <c r="AM290" s="390">
        <f t="shared" si="551"/>
        <v>400</v>
      </c>
      <c r="AN290" s="316">
        <f t="shared" si="522"/>
        <v>1.4701558365186709E-3</v>
      </c>
      <c r="AO290" s="390">
        <v>448</v>
      </c>
      <c r="AP290" s="394">
        <f t="shared" si="507"/>
        <v>0.65862981476036453</v>
      </c>
      <c r="AQ290" s="390">
        <f t="shared" si="552"/>
        <v>1410</v>
      </c>
      <c r="AR290" s="390" t="s">
        <v>1003</v>
      </c>
      <c r="AS290" s="390">
        <f>1*AV290</f>
        <v>100</v>
      </c>
      <c r="AT290" s="390" t="s">
        <v>413</v>
      </c>
      <c r="AU290" s="390">
        <v>0</v>
      </c>
      <c r="AV290" s="390">
        <v>100</v>
      </c>
      <c r="AW290" s="390">
        <f t="shared" si="407"/>
        <v>100</v>
      </c>
      <c r="AX290" s="316">
        <f t="shared" si="519"/>
        <v>3.3738191632928474E-4</v>
      </c>
      <c r="AY290" s="390">
        <v>456</v>
      </c>
      <c r="AZ290" s="394">
        <f t="shared" si="525"/>
        <v>0.15384615384615383</v>
      </c>
      <c r="BA290" s="390">
        <f t="shared" si="556"/>
        <v>1560</v>
      </c>
      <c r="BB290" s="415">
        <f t="shared" si="523"/>
        <v>680.2</v>
      </c>
      <c r="BC290" s="390">
        <v>2</v>
      </c>
      <c r="BD290" s="399">
        <f t="shared" si="445"/>
        <v>0.16845093431046665</v>
      </c>
      <c r="BE290" s="409">
        <f t="shared" si="513"/>
        <v>4.1551618814905318</v>
      </c>
      <c r="BF290" s="390">
        <v>206</v>
      </c>
      <c r="BG290" s="390">
        <v>230</v>
      </c>
      <c r="BH290" s="390">
        <f t="shared" si="508"/>
        <v>230</v>
      </c>
      <c r="BI290" s="390">
        <v>1</v>
      </c>
      <c r="BJ290" s="315">
        <f t="shared" si="514"/>
        <v>1</v>
      </c>
      <c r="BK290" s="322">
        <f t="shared" si="515"/>
        <v>1</v>
      </c>
      <c r="BL290" s="321">
        <f t="shared" si="555"/>
        <v>230</v>
      </c>
      <c r="BM290" s="319">
        <f t="shared" si="447"/>
        <v>0.67627168479858868</v>
      </c>
      <c r="BN290" s="319">
        <f t="shared" si="516"/>
        <v>1.4050091631032375</v>
      </c>
      <c r="BO290" s="392"/>
      <c r="BP290" s="330">
        <f t="shared" si="424"/>
        <v>6.8914130574016346</v>
      </c>
      <c r="BQ290" s="330">
        <f t="shared" si="425"/>
        <v>0.15384615384615383</v>
      </c>
      <c r="BR290" s="330">
        <f t="shared" si="426"/>
        <v>0.16843649266670871</v>
      </c>
      <c r="BS290" s="330">
        <f t="shared" si="427"/>
        <v>0.65052449603894191</v>
      </c>
      <c r="BT290" s="330">
        <f t="shared" si="428"/>
        <v>2</v>
      </c>
      <c r="BV290" s="328">
        <f t="shared" si="429"/>
        <v>0.48132902087621288</v>
      </c>
      <c r="BW290" s="328">
        <f t="shared" si="430"/>
        <v>0.625</v>
      </c>
      <c r="BX290" s="373">
        <f t="shared" si="517"/>
        <v>0.75805543631417982</v>
      </c>
      <c r="BY290" s="311">
        <f t="shared" si="431"/>
        <v>181124.93993970501</v>
      </c>
      <c r="BZ290" s="311">
        <f t="shared" si="432"/>
        <v>25115.076923076922</v>
      </c>
      <c r="CA290" s="311">
        <f t="shared" si="433"/>
        <v>180499.89079946364</v>
      </c>
      <c r="CB290" s="307">
        <f t="shared" si="434"/>
        <v>180.49989079946363</v>
      </c>
      <c r="CC290" s="309">
        <f t="shared" si="518"/>
        <v>0.53072593589962846</v>
      </c>
      <c r="CD290" s="379">
        <f t="shared" si="435"/>
        <v>1.2742389980475459</v>
      </c>
    </row>
    <row r="291" spans="1:82" x14ac:dyDescent="0.25">
      <c r="A291" s="373">
        <v>283</v>
      </c>
      <c r="B291" s="298" t="s">
        <v>89</v>
      </c>
      <c r="C291" s="298" t="s">
        <v>542</v>
      </c>
      <c r="D291" s="298" t="s">
        <v>598</v>
      </c>
      <c r="E291" s="298" t="s">
        <v>668</v>
      </c>
      <c r="F291" s="298" t="s">
        <v>484</v>
      </c>
      <c r="G291" s="311">
        <v>1930</v>
      </c>
      <c r="H291" s="311">
        <f t="shared" ref="H291:H297" si="557">IF(F291="Cantilever",G291,0.5*G291)</f>
        <v>1930</v>
      </c>
      <c r="I291" s="311">
        <v>1990</v>
      </c>
      <c r="J291" s="306">
        <f t="shared" ref="J291:J300" si="558">I291*G291</f>
        <v>3840700</v>
      </c>
      <c r="K291" s="311">
        <v>140</v>
      </c>
      <c r="L291" s="327">
        <f t="shared" ref="L291:L300" si="559">0.8*I291</f>
        <v>1592</v>
      </c>
      <c r="M291" s="309">
        <f t="shared" ref="M291:M297" si="560">G291/I291</f>
        <v>0.96984924623115576</v>
      </c>
      <c r="N291" s="309">
        <f t="shared" si="377"/>
        <v>0.96984924623115576</v>
      </c>
      <c r="O291" s="309">
        <f t="shared" si="367"/>
        <v>0.96984924623115576</v>
      </c>
      <c r="P291" s="306">
        <f>(4*390/2*K291)+(I291-4*390/2)*(25.4)*2</f>
        <v>170668</v>
      </c>
      <c r="Q291" s="306">
        <f t="shared" si="368"/>
        <v>278600</v>
      </c>
      <c r="R291" s="407">
        <f t="shared" si="545"/>
        <v>0.6125915290739411</v>
      </c>
      <c r="S291" s="295">
        <v>618</v>
      </c>
      <c r="T291" s="312">
        <v>1930</v>
      </c>
      <c r="U291" s="325">
        <v>6.36</v>
      </c>
      <c r="V291" s="310">
        <v>18.03</v>
      </c>
      <c r="W291" s="387">
        <f t="shared" si="378"/>
        <v>18.03</v>
      </c>
      <c r="X291" s="298">
        <v>31.7</v>
      </c>
      <c r="Y291" s="387">
        <f t="shared" si="379"/>
        <v>31.7</v>
      </c>
      <c r="Z291" s="418">
        <v>0.52900000000000003</v>
      </c>
      <c r="AA291" s="310">
        <v>5.54</v>
      </c>
      <c r="AB291" s="426">
        <f t="shared" ref="AB291:AB300" si="561">(Z291^0.636)*(U291^0.688)*(V291^0.317)</f>
        <v>5.9572653962075437</v>
      </c>
      <c r="AC291" s="298">
        <v>1</v>
      </c>
      <c r="AD291" s="298">
        <v>1</v>
      </c>
      <c r="AE291" s="298">
        <v>5</v>
      </c>
      <c r="AF291" s="313">
        <f t="shared" si="392"/>
        <v>0.7443580131166263</v>
      </c>
      <c r="AG291" s="313">
        <f t="shared" si="533"/>
        <v>4.1237433926661096</v>
      </c>
      <c r="AH291" s="313">
        <f t="shared" si="534"/>
        <v>4.4343382339294788</v>
      </c>
      <c r="AI291" s="404">
        <f>((4*390/2)*AG291+(I291-4*390/2)*AH291)/I291</f>
        <v>4.312597542379013</v>
      </c>
      <c r="AJ291" s="361" t="s">
        <v>800</v>
      </c>
      <c r="AK291" s="361" t="s">
        <v>739</v>
      </c>
      <c r="AL291" s="298" t="s">
        <v>589</v>
      </c>
      <c r="AM291" s="311">
        <f>2*PI()*(22^2)/4+2*PI()*(10^2)/4</f>
        <v>917.34505484821966</v>
      </c>
      <c r="AN291" s="306">
        <f t="shared" si="522"/>
        <v>4.1158697722910075E-3</v>
      </c>
      <c r="AO291" s="298">
        <v>474</v>
      </c>
      <c r="AP291" s="306">
        <f t="shared" ref="AP291:AP300" si="562">AN291*AO291</f>
        <v>1.9509222720659376</v>
      </c>
      <c r="AQ291" s="298">
        <v>618</v>
      </c>
      <c r="AR291" s="311" t="s">
        <v>413</v>
      </c>
      <c r="AS291" s="311">
        <v>0</v>
      </c>
      <c r="AT291" s="361" t="s">
        <v>804</v>
      </c>
      <c r="AU291" s="311">
        <f>4*(2*PI()*4.2^2/4)</f>
        <v>110.8353888186479</v>
      </c>
      <c r="AV291" s="307">
        <f>(2*PI()*4.2^2/4)</f>
        <v>27.708847204661975</v>
      </c>
      <c r="AW291" s="312">
        <f t="shared" ref="AW291:AW300" si="563">AU291+AS291</f>
        <v>110.8353888186479</v>
      </c>
      <c r="AX291" s="306">
        <f t="shared" ref="AX291:AX300" si="564">AV291/BA291/K291</f>
        <v>4.9480084294039239E-4</v>
      </c>
      <c r="AY291" s="298">
        <v>610</v>
      </c>
      <c r="AZ291" s="306">
        <f t="shared" ref="AZ291:AZ300" si="565">AX291*AY291</f>
        <v>0.30182851419363937</v>
      </c>
      <c r="BA291" s="298">
        <v>400</v>
      </c>
      <c r="BB291" s="306">
        <f t="shared" si="523"/>
        <v>156.01600000000002</v>
      </c>
      <c r="BC291" s="298">
        <v>0.56000000000000005</v>
      </c>
      <c r="BD291" s="313">
        <f t="shared" si="445"/>
        <v>0.12985213540029986</v>
      </c>
      <c r="BE291" s="309">
        <f t="shared" si="513"/>
        <v>0.91414910821009221</v>
      </c>
      <c r="BF291" s="307">
        <v>211.67</v>
      </c>
      <c r="BG291" s="307">
        <v>221.08</v>
      </c>
      <c r="BH291" s="307">
        <f t="shared" ref="BH291:BH295" si="566">(BF291+BG291)/2</f>
        <v>216.375</v>
      </c>
      <c r="BI291" s="311">
        <v>1</v>
      </c>
      <c r="BJ291" s="373">
        <f t="shared" si="514"/>
        <v>1</v>
      </c>
      <c r="BK291" s="311">
        <f t="shared" si="515"/>
        <v>1</v>
      </c>
      <c r="BL291" s="311">
        <f t="shared" si="414"/>
        <v>216.375</v>
      </c>
      <c r="BM291" s="309">
        <f t="shared" si="447"/>
        <v>0.77665111270638909</v>
      </c>
      <c r="BN291" s="309">
        <f t="shared" si="516"/>
        <v>1.2678123608409311</v>
      </c>
      <c r="BO291" s="376"/>
      <c r="BP291" s="328">
        <f t="shared" si="424"/>
        <v>2.1412394339756777</v>
      </c>
      <c r="BQ291" s="328">
        <f t="shared" si="425"/>
        <v>0.30182851419363937</v>
      </c>
      <c r="BR291" s="328">
        <f t="shared" si="426"/>
        <v>0.50452236981488729</v>
      </c>
      <c r="BS291" s="328">
        <f t="shared" si="427"/>
        <v>0.41934535415282964</v>
      </c>
      <c r="BT291" s="328">
        <f t="shared" si="428"/>
        <v>0.56000000000000005</v>
      </c>
      <c r="BU291" s="376"/>
      <c r="BV291" s="328">
        <f t="shared" si="429"/>
        <v>0.5</v>
      </c>
      <c r="BW291" s="328">
        <f t="shared" si="430"/>
        <v>1</v>
      </c>
      <c r="BX291" s="373">
        <f t="shared" si="517"/>
        <v>0.33226871216667803</v>
      </c>
      <c r="BY291" s="311">
        <f t="shared" si="431"/>
        <v>56530.0252838546</v>
      </c>
      <c r="BZ291" s="311">
        <f t="shared" si="432"/>
        <v>161451.69418434802</v>
      </c>
      <c r="CA291" s="311">
        <f t="shared" si="433"/>
        <v>92570.063209636501</v>
      </c>
      <c r="CB291" s="307">
        <f t="shared" si="434"/>
        <v>92.570063209636501</v>
      </c>
      <c r="CC291" s="309">
        <f t="shared" si="518"/>
        <v>0.33226871216667803</v>
      </c>
      <c r="CD291" s="379">
        <f t="shared" si="435"/>
        <v>2.3374187344994213</v>
      </c>
    </row>
    <row r="292" spans="1:82" x14ac:dyDescent="0.25">
      <c r="A292" s="373">
        <v>284</v>
      </c>
      <c r="B292" s="298" t="s">
        <v>89</v>
      </c>
      <c r="C292" s="298" t="s">
        <v>543</v>
      </c>
      <c r="D292" s="298" t="s">
        <v>598</v>
      </c>
      <c r="E292" s="298" t="s">
        <v>668</v>
      </c>
      <c r="F292" s="298" t="s">
        <v>484</v>
      </c>
      <c r="G292" s="311">
        <v>1930</v>
      </c>
      <c r="H292" s="311">
        <f t="shared" si="557"/>
        <v>1930</v>
      </c>
      <c r="I292" s="311">
        <v>1990</v>
      </c>
      <c r="J292" s="306">
        <f t="shared" si="558"/>
        <v>3840700</v>
      </c>
      <c r="K292" s="311">
        <v>140</v>
      </c>
      <c r="L292" s="327">
        <f t="shared" si="559"/>
        <v>1592</v>
      </c>
      <c r="M292" s="309">
        <f t="shared" si="560"/>
        <v>0.96984924623115576</v>
      </c>
      <c r="N292" s="309">
        <f t="shared" si="377"/>
        <v>0.96984924623115576</v>
      </c>
      <c r="O292" s="309">
        <f t="shared" si="367"/>
        <v>0.96984924623115576</v>
      </c>
      <c r="P292" s="306">
        <f>(4*390/2*K292)+(I292-4*390/2)*(25.4)*2</f>
        <v>170668</v>
      </c>
      <c r="Q292" s="306">
        <f t="shared" si="368"/>
        <v>278600</v>
      </c>
      <c r="R292" s="408">
        <f t="shared" si="545"/>
        <v>0.6125915290739411</v>
      </c>
      <c r="S292" s="295">
        <v>618</v>
      </c>
      <c r="T292" s="312">
        <v>1930</v>
      </c>
      <c r="U292" s="325">
        <v>6.36</v>
      </c>
      <c r="V292" s="310">
        <v>18.03</v>
      </c>
      <c r="W292" s="387">
        <f t="shared" si="378"/>
        <v>18.03</v>
      </c>
      <c r="X292" s="298">
        <v>31.7</v>
      </c>
      <c r="Y292" s="387">
        <f t="shared" si="379"/>
        <v>31.7</v>
      </c>
      <c r="Z292" s="418">
        <v>0.52900000000000003</v>
      </c>
      <c r="AA292" s="310">
        <v>5.5</v>
      </c>
      <c r="AB292" s="366">
        <f t="shared" si="561"/>
        <v>5.9572653962075437</v>
      </c>
      <c r="AC292" s="298">
        <v>1</v>
      </c>
      <c r="AD292" s="298">
        <v>1</v>
      </c>
      <c r="AE292" s="298">
        <v>5</v>
      </c>
      <c r="AF292" s="313">
        <f t="shared" si="392"/>
        <v>0.7443580131166263</v>
      </c>
      <c r="AG292" s="313">
        <f t="shared" si="533"/>
        <v>4.0939690721414443</v>
      </c>
      <c r="AH292" s="313">
        <f t="shared" si="534"/>
        <v>4.4343382339294788</v>
      </c>
      <c r="AI292" s="403">
        <f t="shared" ref="AI292:AI294" si="567">((4*390/2)*AG292+(I292-4*390/2)*AH292)/I292</f>
        <v>4.3009272056909529</v>
      </c>
      <c r="AJ292" s="361" t="s">
        <v>800</v>
      </c>
      <c r="AK292" s="361" t="s">
        <v>739</v>
      </c>
      <c r="AL292" s="298" t="s">
        <v>589</v>
      </c>
      <c r="AM292" s="311">
        <f>2*PI()*(22^2)/4+2*PI()*(10^2)/4</f>
        <v>917.34505484821966</v>
      </c>
      <c r="AN292" s="306">
        <f t="shared" si="522"/>
        <v>4.1158697722910075E-3</v>
      </c>
      <c r="AO292" s="298">
        <v>474</v>
      </c>
      <c r="AP292" s="306">
        <f t="shared" si="562"/>
        <v>1.9509222720659376</v>
      </c>
      <c r="AQ292" s="298">
        <v>618</v>
      </c>
      <c r="AR292" s="311" t="s">
        <v>413</v>
      </c>
      <c r="AS292" s="311">
        <v>0</v>
      </c>
      <c r="AT292" s="361" t="s">
        <v>804</v>
      </c>
      <c r="AU292" s="311">
        <f>4*(2*PI()*4.2^2/4)</f>
        <v>110.8353888186479</v>
      </c>
      <c r="AV292" s="307">
        <f t="shared" ref="AV292:AV300" si="568">(2*PI()*4.2^2/4)</f>
        <v>27.708847204661975</v>
      </c>
      <c r="AW292" s="312">
        <f t="shared" si="563"/>
        <v>110.8353888186479</v>
      </c>
      <c r="AX292" s="306">
        <f t="shared" si="564"/>
        <v>4.9480084294039239E-4</v>
      </c>
      <c r="AY292" s="298">
        <v>610</v>
      </c>
      <c r="AZ292" s="306">
        <f t="shared" si="565"/>
        <v>0.30182851419363937</v>
      </c>
      <c r="BA292" s="298">
        <v>400</v>
      </c>
      <c r="BB292" s="306">
        <f t="shared" si="523"/>
        <v>156.01600000000002</v>
      </c>
      <c r="BC292" s="298">
        <v>0.56000000000000005</v>
      </c>
      <c r="BD292" s="313">
        <f t="shared" si="445"/>
        <v>0.13020448224722625</v>
      </c>
      <c r="BE292" s="309">
        <f t="shared" si="513"/>
        <v>0.91414910821009221</v>
      </c>
      <c r="BF292" s="307">
        <v>196.34</v>
      </c>
      <c r="BG292" s="307">
        <v>220.85</v>
      </c>
      <c r="BH292" s="307">
        <f t="shared" si="566"/>
        <v>208.595</v>
      </c>
      <c r="BI292" s="311">
        <v>1</v>
      </c>
      <c r="BJ292" s="361">
        <f t="shared" si="514"/>
        <v>1</v>
      </c>
      <c r="BK292" s="311">
        <f t="shared" si="515"/>
        <v>1</v>
      </c>
      <c r="BL292" s="311">
        <f t="shared" si="414"/>
        <v>208.595</v>
      </c>
      <c r="BM292" s="309">
        <f t="shared" si="447"/>
        <v>0.74872577171572152</v>
      </c>
      <c r="BN292" s="309">
        <f t="shared" si="516"/>
        <v>1.2222267794782853</v>
      </c>
      <c r="BO292" s="376"/>
      <c r="BP292" s="328">
        <f t="shared" si="424"/>
        <v>2.1383402631756439</v>
      </c>
      <c r="BQ292" s="328">
        <f t="shared" si="425"/>
        <v>0.30182851419363937</v>
      </c>
      <c r="BR292" s="328">
        <f t="shared" si="426"/>
        <v>0.50452236981488729</v>
      </c>
      <c r="BS292" s="328">
        <f t="shared" si="427"/>
        <v>0.41877757374182134</v>
      </c>
      <c r="BT292" s="328">
        <f t="shared" si="428"/>
        <v>0.56000000000000005</v>
      </c>
      <c r="BU292" s="376"/>
      <c r="BV292" s="328">
        <f t="shared" si="429"/>
        <v>0.5</v>
      </c>
      <c r="BW292" s="328">
        <f t="shared" si="430"/>
        <v>1</v>
      </c>
      <c r="BX292" s="373">
        <f t="shared" si="517"/>
        <v>0.33181883078826069</v>
      </c>
      <c r="BY292" s="311">
        <f t="shared" si="431"/>
        <v>56479.890503043775</v>
      </c>
      <c r="BZ292" s="311">
        <f t="shared" si="432"/>
        <v>161451.69418434802</v>
      </c>
      <c r="CA292" s="311">
        <f t="shared" si="433"/>
        <v>92444.726257609436</v>
      </c>
      <c r="CB292" s="307">
        <f t="shared" si="434"/>
        <v>92.444726257609432</v>
      </c>
      <c r="CC292" s="309">
        <f t="shared" si="518"/>
        <v>0.33181883078826074</v>
      </c>
      <c r="CD292" s="379">
        <f t="shared" si="435"/>
        <v>2.2564294194427328</v>
      </c>
    </row>
    <row r="293" spans="1:82" x14ac:dyDescent="0.25">
      <c r="A293" s="373">
        <v>285</v>
      </c>
      <c r="B293" s="298" t="s">
        <v>89</v>
      </c>
      <c r="C293" s="298" t="s">
        <v>544</v>
      </c>
      <c r="D293" s="298" t="s">
        <v>598</v>
      </c>
      <c r="E293" s="298" t="s">
        <v>668</v>
      </c>
      <c r="F293" s="298" t="s">
        <v>484</v>
      </c>
      <c r="G293" s="311">
        <v>1930</v>
      </c>
      <c r="H293" s="311">
        <f t="shared" si="557"/>
        <v>1930</v>
      </c>
      <c r="I293" s="311">
        <v>1990</v>
      </c>
      <c r="J293" s="306">
        <f t="shared" si="558"/>
        <v>3840700</v>
      </c>
      <c r="K293" s="311">
        <v>140</v>
      </c>
      <c r="L293" s="327">
        <f t="shared" si="559"/>
        <v>1592</v>
      </c>
      <c r="M293" s="309">
        <f t="shared" si="560"/>
        <v>0.96984924623115576</v>
      </c>
      <c r="N293" s="309">
        <f t="shared" si="377"/>
        <v>0.96984924623115576</v>
      </c>
      <c r="O293" s="309">
        <f t="shared" si="367"/>
        <v>0.96984924623115576</v>
      </c>
      <c r="P293" s="306">
        <f>(4*390/2*K293)+(I293-4*390/2)*(25.4)*2</f>
        <v>170668</v>
      </c>
      <c r="Q293" s="306">
        <f t="shared" si="368"/>
        <v>278600</v>
      </c>
      <c r="R293" s="408">
        <f t="shared" si="545"/>
        <v>0.6125915290739411</v>
      </c>
      <c r="S293" s="295">
        <v>618</v>
      </c>
      <c r="T293" s="312">
        <v>1930</v>
      </c>
      <c r="U293" s="325">
        <v>6.36</v>
      </c>
      <c r="V293" s="310">
        <v>18.03</v>
      </c>
      <c r="W293" s="387">
        <f t="shared" si="378"/>
        <v>18.03</v>
      </c>
      <c r="X293" s="298">
        <v>31.7</v>
      </c>
      <c r="Y293" s="387">
        <f t="shared" si="379"/>
        <v>31.7</v>
      </c>
      <c r="Z293" s="418">
        <v>0.52900000000000003</v>
      </c>
      <c r="AA293" s="310">
        <v>5.54</v>
      </c>
      <c r="AB293" s="366">
        <f t="shared" si="561"/>
        <v>5.9572653962075437</v>
      </c>
      <c r="AC293" s="298">
        <v>1</v>
      </c>
      <c r="AD293" s="298">
        <v>1</v>
      </c>
      <c r="AE293" s="298">
        <v>5</v>
      </c>
      <c r="AF293" s="313">
        <f t="shared" si="392"/>
        <v>0.7443580131166263</v>
      </c>
      <c r="AG293" s="313">
        <f t="shared" si="533"/>
        <v>4.1237433926661096</v>
      </c>
      <c r="AH293" s="313">
        <f t="shared" si="534"/>
        <v>4.4343382339294788</v>
      </c>
      <c r="AI293" s="403">
        <f t="shared" si="567"/>
        <v>4.312597542379013</v>
      </c>
      <c r="AJ293" s="361" t="s">
        <v>800</v>
      </c>
      <c r="AK293" s="361" t="s">
        <v>739</v>
      </c>
      <c r="AL293" s="298" t="s">
        <v>589</v>
      </c>
      <c r="AM293" s="311">
        <f>2*PI()*(22^2)/4+2*PI()*(10^2)/4</f>
        <v>917.34505484821966</v>
      </c>
      <c r="AN293" s="306">
        <f t="shared" si="522"/>
        <v>4.1158697722910075E-3</v>
      </c>
      <c r="AO293" s="298">
        <v>474</v>
      </c>
      <c r="AP293" s="306">
        <f t="shared" si="562"/>
        <v>1.9509222720659376</v>
      </c>
      <c r="AQ293" s="298">
        <v>618</v>
      </c>
      <c r="AR293" s="311" t="s">
        <v>413</v>
      </c>
      <c r="AS293" s="311">
        <v>0</v>
      </c>
      <c r="AT293" s="361" t="s">
        <v>805</v>
      </c>
      <c r="AU293" s="311">
        <f>9*(2*PI()*4.2^2/4)</f>
        <v>249.37962484195776</v>
      </c>
      <c r="AV293" s="307">
        <f t="shared" si="568"/>
        <v>27.708847204661975</v>
      </c>
      <c r="AW293" s="312">
        <f t="shared" si="563"/>
        <v>249.37962484195776</v>
      </c>
      <c r="AX293" s="306">
        <f t="shared" si="564"/>
        <v>9.8960168588078479E-4</v>
      </c>
      <c r="AY293" s="298">
        <v>610</v>
      </c>
      <c r="AZ293" s="306">
        <f t="shared" si="565"/>
        <v>0.60365702838727875</v>
      </c>
      <c r="BA293" s="298">
        <v>200</v>
      </c>
      <c r="BB293" s="306">
        <f t="shared" si="523"/>
        <v>156.01600000000002</v>
      </c>
      <c r="BC293" s="298">
        <v>0.56000000000000005</v>
      </c>
      <c r="BD293" s="313">
        <f t="shared" si="445"/>
        <v>0.12985213540029986</v>
      </c>
      <c r="BE293" s="309">
        <f t="shared" si="513"/>
        <v>0.91414910821009221</v>
      </c>
      <c r="BF293" s="307">
        <v>283.58</v>
      </c>
      <c r="BG293" s="307">
        <v>303.14</v>
      </c>
      <c r="BH293" s="307">
        <f t="shared" si="566"/>
        <v>293.36</v>
      </c>
      <c r="BI293" s="311">
        <v>1</v>
      </c>
      <c r="BJ293" s="361">
        <f t="shared" si="514"/>
        <v>1</v>
      </c>
      <c r="BK293" s="311">
        <f t="shared" si="515"/>
        <v>1</v>
      </c>
      <c r="BL293" s="311">
        <f t="shared" si="414"/>
        <v>293.36</v>
      </c>
      <c r="BM293" s="309">
        <f t="shared" si="447"/>
        <v>1.0529791816223979</v>
      </c>
      <c r="BN293" s="309">
        <f t="shared" si="516"/>
        <v>1.7188928211498349</v>
      </c>
      <c r="BO293" s="376"/>
      <c r="BP293" s="328">
        <f t="shared" si="424"/>
        <v>2.1412394339756777</v>
      </c>
      <c r="BQ293" s="328">
        <f t="shared" si="425"/>
        <v>0.60365702838727875</v>
      </c>
      <c r="BR293" s="328">
        <f t="shared" si="426"/>
        <v>0.50452236981488729</v>
      </c>
      <c r="BS293" s="328">
        <f t="shared" si="427"/>
        <v>0.59304388716108036</v>
      </c>
      <c r="BT293" s="328">
        <f t="shared" si="428"/>
        <v>0.56000000000000005</v>
      </c>
      <c r="BU293" s="376"/>
      <c r="BV293" s="328">
        <f t="shared" si="429"/>
        <v>0.5</v>
      </c>
      <c r="BW293" s="328">
        <f t="shared" si="430"/>
        <v>1</v>
      </c>
      <c r="BX293" s="373">
        <f t="shared" si="517"/>
        <v>0.33226871216667803</v>
      </c>
      <c r="BY293" s="311">
        <f t="shared" si="431"/>
        <v>56530.0252838546</v>
      </c>
      <c r="BZ293" s="311">
        <f t="shared" si="432"/>
        <v>726532.62382956594</v>
      </c>
      <c r="CA293" s="311">
        <f t="shared" si="433"/>
        <v>92570.063209636501</v>
      </c>
      <c r="CB293" s="307">
        <f t="shared" si="434"/>
        <v>92.570063209636501</v>
      </c>
      <c r="CC293" s="309">
        <f t="shared" si="518"/>
        <v>0.33226871216667803</v>
      </c>
      <c r="CD293" s="379">
        <f t="shared" si="435"/>
        <v>3.1690590870144439</v>
      </c>
    </row>
    <row r="294" spans="1:82" x14ac:dyDescent="0.25">
      <c r="A294" s="373">
        <v>286</v>
      </c>
      <c r="B294" s="298" t="s">
        <v>89</v>
      </c>
      <c r="C294" s="298" t="s">
        <v>545</v>
      </c>
      <c r="D294" s="298" t="s">
        <v>598</v>
      </c>
      <c r="E294" s="298" t="s">
        <v>668</v>
      </c>
      <c r="F294" s="298" t="s">
        <v>484</v>
      </c>
      <c r="G294" s="311">
        <v>1930</v>
      </c>
      <c r="H294" s="311">
        <f t="shared" si="557"/>
        <v>1930</v>
      </c>
      <c r="I294" s="311">
        <v>1990</v>
      </c>
      <c r="J294" s="306">
        <f t="shared" si="558"/>
        <v>3840700</v>
      </c>
      <c r="K294" s="311">
        <v>140</v>
      </c>
      <c r="L294" s="327">
        <f t="shared" si="559"/>
        <v>1592</v>
      </c>
      <c r="M294" s="309">
        <f t="shared" si="560"/>
        <v>0.96984924623115576</v>
      </c>
      <c r="N294" s="309">
        <f t="shared" si="377"/>
        <v>0.96984924623115576</v>
      </c>
      <c r="O294" s="309">
        <f t="shared" si="367"/>
        <v>0.96984924623115576</v>
      </c>
      <c r="P294" s="306">
        <f>(4*390/2*K294)+(I294-4*390/2)*(25.4)*2</f>
        <v>170668</v>
      </c>
      <c r="Q294" s="306">
        <f t="shared" si="368"/>
        <v>278600</v>
      </c>
      <c r="R294" s="408">
        <f t="shared" si="545"/>
        <v>0.6125915290739411</v>
      </c>
      <c r="S294" s="295">
        <v>618</v>
      </c>
      <c r="T294" s="312">
        <v>1930</v>
      </c>
      <c r="U294" s="325">
        <v>6.36</v>
      </c>
      <c r="V294" s="310">
        <v>18.03</v>
      </c>
      <c r="W294" s="387">
        <f t="shared" si="378"/>
        <v>18.03</v>
      </c>
      <c r="X294" s="298">
        <v>31.7</v>
      </c>
      <c r="Y294" s="387">
        <f t="shared" si="379"/>
        <v>31.7</v>
      </c>
      <c r="Z294" s="418">
        <v>0.52900000000000003</v>
      </c>
      <c r="AA294" s="310">
        <v>5.54</v>
      </c>
      <c r="AB294" s="366">
        <f t="shared" si="561"/>
        <v>5.9572653962075437</v>
      </c>
      <c r="AC294" s="298">
        <v>1</v>
      </c>
      <c r="AD294" s="298">
        <v>1</v>
      </c>
      <c r="AE294" s="298">
        <v>5</v>
      </c>
      <c r="AF294" s="313">
        <f t="shared" si="392"/>
        <v>0.7443580131166263</v>
      </c>
      <c r="AG294" s="313">
        <f t="shared" si="533"/>
        <v>4.1237433926661096</v>
      </c>
      <c r="AH294" s="313">
        <f t="shared" si="534"/>
        <v>4.4343382339294788</v>
      </c>
      <c r="AI294" s="403">
        <f t="shared" si="567"/>
        <v>4.312597542379013</v>
      </c>
      <c r="AJ294" s="361" t="s">
        <v>800</v>
      </c>
      <c r="AK294" s="361" t="s">
        <v>739</v>
      </c>
      <c r="AL294" s="298" t="s">
        <v>589</v>
      </c>
      <c r="AM294" s="311">
        <f>2*PI()*(22^2)/4+2*PI()*(10^2)/4</f>
        <v>917.34505484821966</v>
      </c>
      <c r="AN294" s="306">
        <f t="shared" si="522"/>
        <v>4.1158697722910075E-3</v>
      </c>
      <c r="AO294" s="298">
        <v>474</v>
      </c>
      <c r="AP294" s="306">
        <f t="shared" si="562"/>
        <v>1.9509222720659376</v>
      </c>
      <c r="AQ294" s="298">
        <v>618</v>
      </c>
      <c r="AR294" s="311" t="s">
        <v>413</v>
      </c>
      <c r="AS294" s="311">
        <v>0</v>
      </c>
      <c r="AT294" s="361" t="s">
        <v>805</v>
      </c>
      <c r="AU294" s="311">
        <f>9*(2*PI()*4.2^2/4)</f>
        <v>249.37962484195776</v>
      </c>
      <c r="AV294" s="307">
        <f t="shared" si="568"/>
        <v>27.708847204661975</v>
      </c>
      <c r="AW294" s="312">
        <f t="shared" si="563"/>
        <v>249.37962484195776</v>
      </c>
      <c r="AX294" s="306">
        <f t="shared" si="564"/>
        <v>9.8960168588078479E-4</v>
      </c>
      <c r="AY294" s="298">
        <v>610</v>
      </c>
      <c r="AZ294" s="306">
        <f t="shared" si="565"/>
        <v>0.60365702838727875</v>
      </c>
      <c r="BA294" s="298">
        <v>200</v>
      </c>
      <c r="BB294" s="306">
        <f t="shared" si="523"/>
        <v>156.01600000000002</v>
      </c>
      <c r="BC294" s="298">
        <v>0.56000000000000005</v>
      </c>
      <c r="BD294" s="313">
        <f t="shared" si="445"/>
        <v>0.12985213540029986</v>
      </c>
      <c r="BE294" s="309">
        <f t="shared" si="513"/>
        <v>0.91414910821009221</v>
      </c>
      <c r="BF294" s="307">
        <v>291.55</v>
      </c>
      <c r="BG294" s="307">
        <v>308.32</v>
      </c>
      <c r="BH294" s="307">
        <f t="shared" si="566"/>
        <v>299.935</v>
      </c>
      <c r="BI294" s="311">
        <v>1</v>
      </c>
      <c r="BJ294" s="361">
        <f t="shared" si="514"/>
        <v>1</v>
      </c>
      <c r="BK294" s="311">
        <f t="shared" si="515"/>
        <v>1</v>
      </c>
      <c r="BL294" s="311">
        <f t="shared" si="414"/>
        <v>299.935</v>
      </c>
      <c r="BM294" s="309">
        <f t="shared" si="447"/>
        <v>1.0765793251974156</v>
      </c>
      <c r="BN294" s="309">
        <f t="shared" si="516"/>
        <v>1.757417910797572</v>
      </c>
      <c r="BO294" s="376"/>
      <c r="BP294" s="328">
        <f t="shared" si="424"/>
        <v>2.1412394339756777</v>
      </c>
      <c r="BQ294" s="328">
        <f t="shared" si="425"/>
        <v>0.60365702838727875</v>
      </c>
      <c r="BR294" s="328">
        <f t="shared" si="426"/>
        <v>0.50452236981488729</v>
      </c>
      <c r="BS294" s="328">
        <f t="shared" si="427"/>
        <v>0.59304388716108036</v>
      </c>
      <c r="BT294" s="328">
        <f t="shared" si="428"/>
        <v>0.56000000000000005</v>
      </c>
      <c r="BU294" s="376"/>
      <c r="BV294" s="328">
        <f t="shared" si="429"/>
        <v>0.5</v>
      </c>
      <c r="BW294" s="328">
        <f t="shared" si="430"/>
        <v>1</v>
      </c>
      <c r="BX294" s="373">
        <f t="shared" si="517"/>
        <v>0.33226871216667803</v>
      </c>
      <c r="BY294" s="311">
        <f t="shared" si="431"/>
        <v>56530.0252838546</v>
      </c>
      <c r="BZ294" s="311">
        <f t="shared" si="432"/>
        <v>726532.62382956594</v>
      </c>
      <c r="CA294" s="311">
        <f t="shared" si="433"/>
        <v>92570.063209636501</v>
      </c>
      <c r="CB294" s="307">
        <f t="shared" si="434"/>
        <v>92.570063209636501</v>
      </c>
      <c r="CC294" s="309">
        <f t="shared" si="518"/>
        <v>0.33226871216667803</v>
      </c>
      <c r="CD294" s="379">
        <f t="shared" si="435"/>
        <v>3.2400863691835191</v>
      </c>
    </row>
    <row r="295" spans="1:82" x14ac:dyDescent="0.25">
      <c r="A295" s="373">
        <v>287</v>
      </c>
      <c r="B295" s="298" t="s">
        <v>89</v>
      </c>
      <c r="C295" s="298" t="s">
        <v>546</v>
      </c>
      <c r="D295" s="298" t="s">
        <v>598</v>
      </c>
      <c r="E295" s="298" t="s">
        <v>668</v>
      </c>
      <c r="F295" s="298" t="s">
        <v>484</v>
      </c>
      <c r="G295" s="311">
        <v>1130</v>
      </c>
      <c r="H295" s="311">
        <f t="shared" si="557"/>
        <v>1130</v>
      </c>
      <c r="I295" s="311">
        <v>2590</v>
      </c>
      <c r="J295" s="306">
        <f t="shared" si="558"/>
        <v>2926700</v>
      </c>
      <c r="K295" s="311">
        <v>140</v>
      </c>
      <c r="L295" s="327">
        <f t="shared" si="559"/>
        <v>2072</v>
      </c>
      <c r="M295" s="309">
        <f t="shared" si="560"/>
        <v>0.43629343629343631</v>
      </c>
      <c r="N295" s="309">
        <f t="shared" si="377"/>
        <v>0.43629343629343631</v>
      </c>
      <c r="O295" s="309">
        <f t="shared" si="367"/>
        <v>0.43629343629343631</v>
      </c>
      <c r="P295" s="306">
        <f>(5*390/2*K295)+(I295-5*390/2)*(25.4)*2</f>
        <v>218542</v>
      </c>
      <c r="Q295" s="306">
        <f t="shared" si="368"/>
        <v>362600</v>
      </c>
      <c r="R295" s="408">
        <f t="shared" si="545"/>
        <v>0.60270821842250411</v>
      </c>
      <c r="S295" s="295">
        <v>607</v>
      </c>
      <c r="T295" s="312">
        <v>1130</v>
      </c>
      <c r="U295" s="325">
        <v>6.36</v>
      </c>
      <c r="V295" s="310">
        <v>18.03</v>
      </c>
      <c r="W295" s="387">
        <f t="shared" si="378"/>
        <v>18.03</v>
      </c>
      <c r="X295" s="298">
        <v>31.7</v>
      </c>
      <c r="Y295" s="387">
        <f t="shared" si="379"/>
        <v>31.7</v>
      </c>
      <c r="Z295" s="418">
        <v>0.52900000000000003</v>
      </c>
      <c r="AA295" s="310">
        <v>5.54</v>
      </c>
      <c r="AB295" s="366">
        <f t="shared" si="561"/>
        <v>5.9572653962075437</v>
      </c>
      <c r="AC295" s="298">
        <v>1</v>
      </c>
      <c r="AD295" s="298">
        <v>1</v>
      </c>
      <c r="AE295" s="298">
        <v>5</v>
      </c>
      <c r="AF295" s="313">
        <f t="shared" si="392"/>
        <v>0.7443580131166263</v>
      </c>
      <c r="AG295" s="313">
        <f t="shared" si="533"/>
        <v>4.1237433926661096</v>
      </c>
      <c r="AH295" s="313">
        <f t="shared" si="534"/>
        <v>4.4343382339294788</v>
      </c>
      <c r="AI295" s="403">
        <f>((5*390/2)*AG295+(I295-5*390/2)*AH295)/I295</f>
        <v>4.3174154655002184</v>
      </c>
      <c r="AJ295" s="361" t="s">
        <v>803</v>
      </c>
      <c r="AK295" s="361" t="s">
        <v>801</v>
      </c>
      <c r="AL295" s="298" t="s">
        <v>590</v>
      </c>
      <c r="AM295" s="311">
        <f>2*PI()*(16^2)/4+3*PI()*(10^2)/4</f>
        <v>637.743308678728</v>
      </c>
      <c r="AN295" s="306">
        <f t="shared" si="522"/>
        <v>2.1985083724445948E-3</v>
      </c>
      <c r="AO295" s="298">
        <v>474</v>
      </c>
      <c r="AP295" s="306">
        <f t="shared" si="562"/>
        <v>1.0420929685387379</v>
      </c>
      <c r="AQ295" s="298">
        <v>607</v>
      </c>
      <c r="AR295" s="311" t="s">
        <v>413</v>
      </c>
      <c r="AS295" s="311">
        <v>0</v>
      </c>
      <c r="AT295" s="361" t="s">
        <v>806</v>
      </c>
      <c r="AU295" s="311">
        <f>3*(2*PI()*4.2^2/4)</f>
        <v>83.126541613985921</v>
      </c>
      <c r="AV295" s="307">
        <f t="shared" si="568"/>
        <v>27.708847204661975</v>
      </c>
      <c r="AW295" s="312">
        <f t="shared" si="563"/>
        <v>83.126541613985921</v>
      </c>
      <c r="AX295" s="306">
        <f t="shared" si="564"/>
        <v>4.9480084294039239E-4</v>
      </c>
      <c r="AY295" s="298">
        <v>610</v>
      </c>
      <c r="AZ295" s="306">
        <f t="shared" si="565"/>
        <v>0.30182851419363937</v>
      </c>
      <c r="BA295" s="298">
        <v>400</v>
      </c>
      <c r="BB295" s="306">
        <f t="shared" si="523"/>
        <v>203.05600000000004</v>
      </c>
      <c r="BC295" s="298">
        <v>0.56000000000000005</v>
      </c>
      <c r="BD295" s="313">
        <f t="shared" si="445"/>
        <v>0.12970722981720689</v>
      </c>
      <c r="BE295" s="309">
        <f t="shared" ref="BE295:BE300" si="569">BB295/P295*1000</f>
        <v>0.92913947891023263</v>
      </c>
      <c r="BF295" s="307">
        <v>290.14</v>
      </c>
      <c r="BG295" s="307">
        <v>316.35000000000002</v>
      </c>
      <c r="BH295" s="307">
        <f t="shared" si="566"/>
        <v>303.245</v>
      </c>
      <c r="BI295" s="311">
        <v>1</v>
      </c>
      <c r="BJ295" s="361">
        <f t="shared" si="514"/>
        <v>1</v>
      </c>
      <c r="BK295" s="311">
        <f t="shared" si="515"/>
        <v>1</v>
      </c>
      <c r="BL295" s="311">
        <f t="shared" si="414"/>
        <v>303.245</v>
      </c>
      <c r="BM295" s="309">
        <f t="shared" si="447"/>
        <v>0.8363072255929398</v>
      </c>
      <c r="BN295" s="309">
        <f t="shared" si="516"/>
        <v>1.3875822496362256</v>
      </c>
      <c r="BO295" s="376"/>
      <c r="BP295" s="328">
        <f t="shared" si="424"/>
        <v>4.7624808462488657</v>
      </c>
      <c r="BQ295" s="328">
        <f t="shared" si="425"/>
        <v>0.30182851419363937</v>
      </c>
      <c r="BR295" s="328">
        <f t="shared" si="426"/>
        <v>0.2694926505184852</v>
      </c>
      <c r="BS295" s="328">
        <f t="shared" si="427"/>
        <v>0.41281019868149871</v>
      </c>
      <c r="BT295" s="328">
        <f t="shared" si="428"/>
        <v>0.56000000000000005</v>
      </c>
      <c r="BU295" s="376"/>
      <c r="BV295" s="328">
        <f t="shared" si="429"/>
        <v>0.5</v>
      </c>
      <c r="BW295" s="328">
        <f t="shared" si="430"/>
        <v>0.54536679536679533</v>
      </c>
      <c r="BX295" s="373">
        <f t="shared" si="517"/>
        <v>0.48359900764065272</v>
      </c>
      <c r="BY295" s="311">
        <f t="shared" si="431"/>
        <v>95523.200068200269</v>
      </c>
      <c r="BZ295" s="311">
        <f t="shared" si="432"/>
        <v>157597.94771512362</v>
      </c>
      <c r="CA295" s="311">
        <f t="shared" si="433"/>
        <v>120547.91518025129</v>
      </c>
      <c r="CB295" s="307">
        <f t="shared" si="434"/>
        <v>120.54791518025129</v>
      </c>
      <c r="CC295" s="309">
        <f t="shared" si="518"/>
        <v>0.33245426139065443</v>
      </c>
      <c r="CD295" s="379">
        <f t="shared" si="435"/>
        <v>2.5155557401931659</v>
      </c>
    </row>
    <row r="296" spans="1:82" x14ac:dyDescent="0.25">
      <c r="A296" s="373">
        <v>288</v>
      </c>
      <c r="B296" s="298" t="s">
        <v>89</v>
      </c>
      <c r="C296" s="298" t="s">
        <v>547</v>
      </c>
      <c r="D296" s="298" t="s">
        <v>598</v>
      </c>
      <c r="E296" s="298" t="s">
        <v>668</v>
      </c>
      <c r="F296" s="298" t="s">
        <v>484</v>
      </c>
      <c r="G296" s="311">
        <v>1130</v>
      </c>
      <c r="H296" s="311">
        <f t="shared" si="557"/>
        <v>1130</v>
      </c>
      <c r="I296" s="311">
        <v>2590</v>
      </c>
      <c r="J296" s="306">
        <f t="shared" si="558"/>
        <v>2926700</v>
      </c>
      <c r="K296" s="311">
        <v>140</v>
      </c>
      <c r="L296" s="327">
        <f t="shared" si="559"/>
        <v>2072</v>
      </c>
      <c r="M296" s="309">
        <f t="shared" si="560"/>
        <v>0.43629343629343631</v>
      </c>
      <c r="N296" s="309">
        <f t="shared" si="377"/>
        <v>0.43629343629343631</v>
      </c>
      <c r="O296" s="309">
        <f t="shared" si="367"/>
        <v>0.43629343629343631</v>
      </c>
      <c r="P296" s="306">
        <f>(5*390/2*K296)+(I296-5*390/2)*(25.4)*2</f>
        <v>218542</v>
      </c>
      <c r="Q296" s="306">
        <f t="shared" si="368"/>
        <v>362600</v>
      </c>
      <c r="R296" s="408">
        <f t="shared" si="545"/>
        <v>0.60270821842250411</v>
      </c>
      <c r="S296" s="295">
        <v>607</v>
      </c>
      <c r="T296" s="312">
        <v>1130</v>
      </c>
      <c r="U296" s="325">
        <v>6.36</v>
      </c>
      <c r="V296" s="310">
        <v>18.03</v>
      </c>
      <c r="W296" s="387">
        <f t="shared" si="378"/>
        <v>18.03</v>
      </c>
      <c r="X296" s="298">
        <v>31.7</v>
      </c>
      <c r="Y296" s="387">
        <f t="shared" si="379"/>
        <v>31.7</v>
      </c>
      <c r="Z296" s="418">
        <v>0.52900000000000003</v>
      </c>
      <c r="AA296" s="310">
        <v>5.54</v>
      </c>
      <c r="AB296" s="366">
        <f t="shared" si="561"/>
        <v>5.9572653962075437</v>
      </c>
      <c r="AC296" s="298">
        <v>1</v>
      </c>
      <c r="AD296" s="298">
        <v>1</v>
      </c>
      <c r="AE296" s="298">
        <v>5</v>
      </c>
      <c r="AF296" s="313">
        <f t="shared" si="392"/>
        <v>0.7443580131166263</v>
      </c>
      <c r="AG296" s="313">
        <f t="shared" si="533"/>
        <v>4.1237433926661096</v>
      </c>
      <c r="AH296" s="313">
        <f t="shared" si="534"/>
        <v>4.4343382339294788</v>
      </c>
      <c r="AI296" s="403">
        <f t="shared" ref="AI296:AI297" si="570">((5*390/2)*AG296+(I296-5*390/2)*AH296)/I296</f>
        <v>4.3174154655002184</v>
      </c>
      <c r="AJ296" s="361" t="s">
        <v>803</v>
      </c>
      <c r="AK296" s="361" t="s">
        <v>801</v>
      </c>
      <c r="AL296" s="298" t="s">
        <v>590</v>
      </c>
      <c r="AM296" s="311">
        <f>2*PI()*(16^2)/4+3*PI()*(10^2)/4</f>
        <v>637.743308678728</v>
      </c>
      <c r="AN296" s="306">
        <f t="shared" si="522"/>
        <v>2.1985083724445948E-3</v>
      </c>
      <c r="AO296" s="298">
        <v>474</v>
      </c>
      <c r="AP296" s="306">
        <f t="shared" si="562"/>
        <v>1.0420929685387379</v>
      </c>
      <c r="AQ296" s="298">
        <v>607</v>
      </c>
      <c r="AR296" s="311" t="s">
        <v>413</v>
      </c>
      <c r="AS296" s="311">
        <v>0</v>
      </c>
      <c r="AT296" s="361" t="s">
        <v>807</v>
      </c>
      <c r="AU296" s="311">
        <f>6*(2*PI()*4.2^2/4)</f>
        <v>166.25308322797184</v>
      </c>
      <c r="AV296" s="307">
        <f t="shared" si="568"/>
        <v>27.708847204661975</v>
      </c>
      <c r="AW296" s="312">
        <f t="shared" si="563"/>
        <v>166.25308322797184</v>
      </c>
      <c r="AX296" s="306">
        <f t="shared" si="564"/>
        <v>9.8960168588078479E-4</v>
      </c>
      <c r="AY296" s="298">
        <v>610</v>
      </c>
      <c r="AZ296" s="306">
        <f t="shared" si="565"/>
        <v>0.60365702838727875</v>
      </c>
      <c r="BA296" s="298">
        <v>200</v>
      </c>
      <c r="BB296" s="306">
        <f t="shared" si="523"/>
        <v>203.05600000000004</v>
      </c>
      <c r="BC296" s="298">
        <v>0.56000000000000005</v>
      </c>
      <c r="BD296" s="313">
        <f t="shared" si="445"/>
        <v>0.12970722981720689</v>
      </c>
      <c r="BE296" s="309">
        <f t="shared" si="569"/>
        <v>0.92913947891023263</v>
      </c>
      <c r="BF296" s="307">
        <v>330.38</v>
      </c>
      <c r="BG296" s="307">
        <v>342.41</v>
      </c>
      <c r="BH296" s="307">
        <f t="shared" ref="BH296:BH300" si="571">(BF296+BG296)/2</f>
        <v>336.39499999999998</v>
      </c>
      <c r="BI296" s="311">
        <v>1</v>
      </c>
      <c r="BJ296" s="361">
        <f t="shared" si="514"/>
        <v>1</v>
      </c>
      <c r="BK296" s="311">
        <f t="shared" si="515"/>
        <v>1</v>
      </c>
      <c r="BL296" s="311">
        <f t="shared" si="414"/>
        <v>336.39499999999998</v>
      </c>
      <c r="BM296" s="309">
        <f t="shared" si="447"/>
        <v>0.92773028130170976</v>
      </c>
      <c r="BN296" s="309">
        <f t="shared" si="516"/>
        <v>1.5392693395319892</v>
      </c>
      <c r="BO296" s="376"/>
      <c r="BP296" s="328">
        <f t="shared" si="424"/>
        <v>4.7624808462488657</v>
      </c>
      <c r="BQ296" s="328">
        <f t="shared" si="425"/>
        <v>0.60365702838727875</v>
      </c>
      <c r="BR296" s="328">
        <f t="shared" si="426"/>
        <v>0.2694926505184852</v>
      </c>
      <c r="BS296" s="328">
        <f t="shared" si="427"/>
        <v>0.58380178166130747</v>
      </c>
      <c r="BT296" s="328">
        <f t="shared" si="428"/>
        <v>0.56000000000000005</v>
      </c>
      <c r="BU296" s="376"/>
      <c r="BV296" s="328">
        <f t="shared" si="429"/>
        <v>0.5</v>
      </c>
      <c r="BW296" s="328">
        <f t="shared" si="430"/>
        <v>0.54536679536679533</v>
      </c>
      <c r="BX296" s="373">
        <f t="shared" si="517"/>
        <v>0.48359900764065272</v>
      </c>
      <c r="BY296" s="311">
        <f t="shared" si="431"/>
        <v>95523.200068200269</v>
      </c>
      <c r="BZ296" s="311">
        <f t="shared" si="432"/>
        <v>630391.79086049448</v>
      </c>
      <c r="CA296" s="311">
        <f t="shared" si="433"/>
        <v>120547.91518025129</v>
      </c>
      <c r="CB296" s="307">
        <f t="shared" si="434"/>
        <v>120.54791518025129</v>
      </c>
      <c r="CC296" s="309">
        <f t="shared" si="518"/>
        <v>0.33245426139065443</v>
      </c>
      <c r="CD296" s="379">
        <f t="shared" si="435"/>
        <v>2.7905501268686375</v>
      </c>
    </row>
    <row r="297" spans="1:82" x14ac:dyDescent="0.25">
      <c r="A297" s="373">
        <v>289</v>
      </c>
      <c r="B297" s="298" t="s">
        <v>89</v>
      </c>
      <c r="C297" s="298" t="s">
        <v>548</v>
      </c>
      <c r="D297" s="298" t="s">
        <v>598</v>
      </c>
      <c r="E297" s="298" t="s">
        <v>668</v>
      </c>
      <c r="F297" s="298" t="s">
        <v>484</v>
      </c>
      <c r="G297" s="311">
        <v>1130</v>
      </c>
      <c r="H297" s="311">
        <f t="shared" si="557"/>
        <v>1130</v>
      </c>
      <c r="I297" s="311">
        <v>2590</v>
      </c>
      <c r="J297" s="306">
        <f t="shared" si="558"/>
        <v>2926700</v>
      </c>
      <c r="K297" s="311">
        <v>140</v>
      </c>
      <c r="L297" s="327">
        <f t="shared" si="559"/>
        <v>2072</v>
      </c>
      <c r="M297" s="309">
        <f t="shared" si="560"/>
        <v>0.43629343629343631</v>
      </c>
      <c r="N297" s="309">
        <f t="shared" si="377"/>
        <v>0.43629343629343631</v>
      </c>
      <c r="O297" s="309">
        <f t="shared" si="367"/>
        <v>0.43629343629343631</v>
      </c>
      <c r="P297" s="306">
        <f>(5*390/2*K297)+(I297-5*390/2)*(25.4)*2</f>
        <v>218542</v>
      </c>
      <c r="Q297" s="306">
        <f t="shared" si="368"/>
        <v>362600</v>
      </c>
      <c r="R297" s="408">
        <f t="shared" si="545"/>
        <v>0.60270821842250411</v>
      </c>
      <c r="S297" s="295">
        <v>607</v>
      </c>
      <c r="T297" s="312">
        <v>1130</v>
      </c>
      <c r="U297" s="325">
        <v>6.36</v>
      </c>
      <c r="V297" s="310">
        <v>18.03</v>
      </c>
      <c r="W297" s="387">
        <f t="shared" si="378"/>
        <v>18.03</v>
      </c>
      <c r="X297" s="298">
        <v>31.7</v>
      </c>
      <c r="Y297" s="387">
        <f t="shared" si="379"/>
        <v>31.7</v>
      </c>
      <c r="Z297" s="418">
        <v>0.52900000000000003</v>
      </c>
      <c r="AA297" s="310">
        <v>5.54</v>
      </c>
      <c r="AB297" s="366">
        <f t="shared" si="561"/>
        <v>5.9572653962075437</v>
      </c>
      <c r="AC297" s="298">
        <v>1</v>
      </c>
      <c r="AD297" s="298">
        <v>1</v>
      </c>
      <c r="AE297" s="298">
        <v>5</v>
      </c>
      <c r="AF297" s="313">
        <f t="shared" si="392"/>
        <v>0.7443580131166263</v>
      </c>
      <c r="AG297" s="313">
        <f t="shared" si="533"/>
        <v>4.1237433926661096</v>
      </c>
      <c r="AH297" s="313">
        <f t="shared" si="534"/>
        <v>4.4343382339294788</v>
      </c>
      <c r="AI297" s="403">
        <f t="shared" si="570"/>
        <v>4.3174154655002184</v>
      </c>
      <c r="AJ297" s="361" t="s">
        <v>803</v>
      </c>
      <c r="AK297" s="361" t="s">
        <v>801</v>
      </c>
      <c r="AL297" s="298" t="s">
        <v>590</v>
      </c>
      <c r="AM297" s="311">
        <f>2*PI()*(16^2)/4+3*PI()*(10^2)/4</f>
        <v>637.743308678728</v>
      </c>
      <c r="AN297" s="306">
        <f t="shared" si="522"/>
        <v>2.1985083724445948E-3</v>
      </c>
      <c r="AO297" s="298">
        <v>474</v>
      </c>
      <c r="AP297" s="306">
        <f t="shared" si="562"/>
        <v>1.0420929685387379</v>
      </c>
      <c r="AQ297" s="298">
        <v>607</v>
      </c>
      <c r="AR297" s="311" t="s">
        <v>413</v>
      </c>
      <c r="AS297" s="311">
        <v>0</v>
      </c>
      <c r="AT297" s="361" t="s">
        <v>806</v>
      </c>
      <c r="AU297" s="311">
        <f>3*(2*PI()*4.2^2/4)</f>
        <v>83.126541613985921</v>
      </c>
      <c r="AV297" s="307">
        <f t="shared" si="568"/>
        <v>27.708847204661975</v>
      </c>
      <c r="AW297" s="312">
        <f t="shared" si="563"/>
        <v>83.126541613985921</v>
      </c>
      <c r="AX297" s="306">
        <f t="shared" si="564"/>
        <v>4.9480084294039239E-4</v>
      </c>
      <c r="AY297" s="298">
        <v>610</v>
      </c>
      <c r="AZ297" s="306">
        <f t="shared" si="565"/>
        <v>0.30182851419363937</v>
      </c>
      <c r="BA297" s="298">
        <v>400</v>
      </c>
      <c r="BB297" s="306">
        <f t="shared" si="523"/>
        <v>0</v>
      </c>
      <c r="BC297" s="298">
        <v>0</v>
      </c>
      <c r="BD297" s="313">
        <f t="shared" si="445"/>
        <v>0</v>
      </c>
      <c r="BE297" s="309">
        <f t="shared" si="569"/>
        <v>0</v>
      </c>
      <c r="BF297" s="307">
        <v>199.86</v>
      </c>
      <c r="BG297" s="307">
        <v>221.78</v>
      </c>
      <c r="BH297" s="307">
        <f t="shared" si="571"/>
        <v>210.82</v>
      </c>
      <c r="BI297" s="311">
        <v>1</v>
      </c>
      <c r="BJ297" s="361">
        <f t="shared" si="514"/>
        <v>1</v>
      </c>
      <c r="BK297" s="311">
        <f t="shared" si="515"/>
        <v>1</v>
      </c>
      <c r="BL297" s="311">
        <f t="shared" si="414"/>
        <v>210.82</v>
      </c>
      <c r="BM297" s="309">
        <f t="shared" si="447"/>
        <v>0.58141202426916705</v>
      </c>
      <c r="BN297" s="309">
        <f t="shared" si="516"/>
        <v>0.96466583082428081</v>
      </c>
      <c r="BO297" s="376"/>
      <c r="BP297" s="328">
        <f t="shared" si="424"/>
        <v>4.7624808462488657</v>
      </c>
      <c r="BQ297" s="328">
        <f t="shared" si="425"/>
        <v>0.30182851419363937</v>
      </c>
      <c r="BR297" s="328">
        <f t="shared" si="426"/>
        <v>0.2694926505184852</v>
      </c>
      <c r="BS297" s="328">
        <f t="shared" si="427"/>
        <v>0.41281019868149871</v>
      </c>
      <c r="BT297" s="328">
        <f t="shared" si="428"/>
        <v>0</v>
      </c>
      <c r="BU297" s="376"/>
      <c r="BV297" s="328">
        <f t="shared" si="429"/>
        <v>0.5</v>
      </c>
      <c r="BW297" s="328">
        <f t="shared" si="430"/>
        <v>0.54536679536679533</v>
      </c>
      <c r="BX297" s="373">
        <f t="shared" si="517"/>
        <v>0.48359900764065272</v>
      </c>
      <c r="BY297" s="311">
        <f t="shared" si="431"/>
        <v>70141.200068200269</v>
      </c>
      <c r="BZ297" s="311">
        <f t="shared" si="432"/>
        <v>157597.94771512362</v>
      </c>
      <c r="CA297" s="311">
        <f t="shared" si="433"/>
        <v>120547.91518025129</v>
      </c>
      <c r="CB297" s="307">
        <f t="shared" si="434"/>
        <v>120.54791518025129</v>
      </c>
      <c r="CC297" s="309">
        <f t="shared" si="518"/>
        <v>0.33245426139065443</v>
      </c>
      <c r="CD297" s="379">
        <f t="shared" si="435"/>
        <v>1.7488481628634378</v>
      </c>
    </row>
    <row r="298" spans="1:82" x14ac:dyDescent="0.25">
      <c r="A298" s="373">
        <v>290</v>
      </c>
      <c r="B298" s="298" t="s">
        <v>89</v>
      </c>
      <c r="C298" s="298" t="s">
        <v>549</v>
      </c>
      <c r="D298" s="298" t="s">
        <v>598</v>
      </c>
      <c r="E298" s="298" t="s">
        <v>668</v>
      </c>
      <c r="F298" s="298" t="s">
        <v>484</v>
      </c>
      <c r="G298" s="311">
        <v>1930</v>
      </c>
      <c r="H298" s="311">
        <f t="shared" ref="H298:H300" si="572">IF(F298="Cantilever",G298,0.5*G298)</f>
        <v>1930</v>
      </c>
      <c r="I298" s="311">
        <v>990</v>
      </c>
      <c r="J298" s="306">
        <f t="shared" si="558"/>
        <v>1910700</v>
      </c>
      <c r="K298" s="311">
        <v>140</v>
      </c>
      <c r="L298" s="327">
        <f t="shared" si="559"/>
        <v>792</v>
      </c>
      <c r="M298" s="309">
        <f t="shared" ref="M298:M300" si="573">G298/I298</f>
        <v>1.9494949494949494</v>
      </c>
      <c r="N298" s="309">
        <f t="shared" si="377"/>
        <v>1.9494949494949494</v>
      </c>
      <c r="O298" s="309">
        <f t="shared" ref="O298:O300" si="574">H298/I298</f>
        <v>1.9494949494949494</v>
      </c>
      <c r="P298" s="306">
        <f>(3*390/2*K298)+(I298-3*390/2)*(25.4)*2</f>
        <v>102474</v>
      </c>
      <c r="Q298" s="306">
        <f t="shared" si="368"/>
        <v>138600</v>
      </c>
      <c r="R298" s="408">
        <f t="shared" si="545"/>
        <v>0.73935064935064931</v>
      </c>
      <c r="S298" s="295">
        <v>400</v>
      </c>
      <c r="T298" s="312">
        <v>1930</v>
      </c>
      <c r="U298" s="325">
        <v>6.36</v>
      </c>
      <c r="V298" s="310">
        <v>18.03</v>
      </c>
      <c r="W298" s="387">
        <f t="shared" si="378"/>
        <v>18.03</v>
      </c>
      <c r="X298" s="298">
        <v>31.7</v>
      </c>
      <c r="Y298" s="387">
        <f t="shared" si="379"/>
        <v>31.7</v>
      </c>
      <c r="Z298" s="418">
        <v>0.52900000000000003</v>
      </c>
      <c r="AA298" s="310">
        <v>5.54</v>
      </c>
      <c r="AB298" s="366">
        <f t="shared" si="561"/>
        <v>5.9572653962075437</v>
      </c>
      <c r="AC298" s="298">
        <v>1</v>
      </c>
      <c r="AD298" s="298">
        <v>1</v>
      </c>
      <c r="AE298" s="298">
        <v>5</v>
      </c>
      <c r="AF298" s="313">
        <f t="shared" si="392"/>
        <v>0.7443580131166263</v>
      </c>
      <c r="AG298" s="313">
        <f t="shared" si="533"/>
        <v>4.1237433926661096</v>
      </c>
      <c r="AH298" s="313">
        <f t="shared" si="534"/>
        <v>4.4343382339294788</v>
      </c>
      <c r="AI298" s="403">
        <f>((3*390/2)*AG298+(I298-3*390/2)*AH298)/I298</f>
        <v>4.2508049186374874</v>
      </c>
      <c r="AJ298" s="361" t="s">
        <v>800</v>
      </c>
      <c r="AK298" s="361" t="s">
        <v>802</v>
      </c>
      <c r="AL298" s="298" t="s">
        <v>589</v>
      </c>
      <c r="AM298" s="311">
        <f>2*PI()*(22^2)/4+1*PI()*(10^2)/4</f>
        <v>838.80523850847476</v>
      </c>
      <c r="AN298" s="306">
        <f t="shared" si="522"/>
        <v>7.5649823097806166E-3</v>
      </c>
      <c r="AO298" s="298">
        <v>474</v>
      </c>
      <c r="AP298" s="306">
        <f t="shared" si="562"/>
        <v>3.5858016148360123</v>
      </c>
      <c r="AQ298" s="298">
        <v>400</v>
      </c>
      <c r="AR298" s="311" t="s">
        <v>413</v>
      </c>
      <c r="AS298" s="311">
        <v>0</v>
      </c>
      <c r="AT298" s="361" t="s">
        <v>804</v>
      </c>
      <c r="AU298" s="311">
        <f>4*(2*PI()*4.2^2/4)</f>
        <v>110.8353888186479</v>
      </c>
      <c r="AV298" s="307">
        <f t="shared" si="568"/>
        <v>27.708847204661975</v>
      </c>
      <c r="AW298" s="312">
        <f t="shared" si="563"/>
        <v>110.8353888186479</v>
      </c>
      <c r="AX298" s="306">
        <f t="shared" si="564"/>
        <v>4.9480084294039239E-4</v>
      </c>
      <c r="AY298" s="298">
        <v>610</v>
      </c>
      <c r="AZ298" s="306">
        <f t="shared" si="565"/>
        <v>0.30182851419363937</v>
      </c>
      <c r="BA298" s="298">
        <v>400</v>
      </c>
      <c r="BB298" s="306">
        <f t="shared" si="523"/>
        <v>77.616000000000014</v>
      </c>
      <c r="BC298" s="298">
        <v>0.56000000000000005</v>
      </c>
      <c r="BD298" s="313">
        <f t="shared" si="445"/>
        <v>0.13173975534485294</v>
      </c>
      <c r="BE298" s="309">
        <f t="shared" si="569"/>
        <v>0.75742139469523995</v>
      </c>
      <c r="BF298" s="307">
        <v>99.21</v>
      </c>
      <c r="BG298" s="307">
        <v>100.31</v>
      </c>
      <c r="BH298" s="307">
        <f t="shared" si="571"/>
        <v>99.759999999999991</v>
      </c>
      <c r="BI298" s="311">
        <v>1</v>
      </c>
      <c r="BJ298" s="361">
        <f t="shared" si="514"/>
        <v>1</v>
      </c>
      <c r="BK298" s="311">
        <f t="shared" si="515"/>
        <v>1</v>
      </c>
      <c r="BL298" s="311">
        <f t="shared" si="414"/>
        <v>99.759999999999991</v>
      </c>
      <c r="BM298" s="309">
        <f t="shared" si="447"/>
        <v>0.71976911976911973</v>
      </c>
      <c r="BN298" s="309">
        <f t="shared" si="516"/>
        <v>0.97351523313230659</v>
      </c>
      <c r="BO298" s="376"/>
      <c r="BP298" s="328">
        <f t="shared" si="424"/>
        <v>1.0575805931404483</v>
      </c>
      <c r="BQ298" s="328">
        <f t="shared" si="425"/>
        <v>0.30182851419363937</v>
      </c>
      <c r="BR298" s="328">
        <f t="shared" si="426"/>
        <v>0.92731379117802692</v>
      </c>
      <c r="BS298" s="328">
        <f t="shared" si="427"/>
        <v>0.5024784366115902</v>
      </c>
      <c r="BT298" s="328">
        <f t="shared" si="428"/>
        <v>0.56000000000000005</v>
      </c>
      <c r="BU298" s="376"/>
      <c r="BV298" s="328">
        <f t="shared" si="429"/>
        <v>0.5</v>
      </c>
      <c r="BW298" s="328">
        <f t="shared" si="430"/>
        <v>1</v>
      </c>
      <c r="BX298" s="373">
        <f t="shared" si="517"/>
        <v>0.3298796840017883</v>
      </c>
      <c r="BY298" s="311">
        <f t="shared" si="431"/>
        <v>27990.529681059146</v>
      </c>
      <c r="BZ298" s="311">
        <f t="shared" si="432"/>
        <v>80320.189569097754</v>
      </c>
      <c r="CA298" s="311">
        <f t="shared" si="433"/>
        <v>45721.324202647855</v>
      </c>
      <c r="CB298" s="307">
        <f t="shared" si="434"/>
        <v>45.721324202647857</v>
      </c>
      <c r="CC298" s="309">
        <f t="shared" si="518"/>
        <v>0.3298796840017883</v>
      </c>
      <c r="CD298" s="379">
        <f t="shared" si="435"/>
        <v>2.1819140573846854</v>
      </c>
    </row>
    <row r="299" spans="1:82" x14ac:dyDescent="0.25">
      <c r="A299" s="373">
        <v>291</v>
      </c>
      <c r="B299" s="298" t="s">
        <v>89</v>
      </c>
      <c r="C299" s="298" t="s">
        <v>550</v>
      </c>
      <c r="D299" s="298" t="s">
        <v>598</v>
      </c>
      <c r="E299" s="298" t="s">
        <v>668</v>
      </c>
      <c r="F299" s="298" t="s">
        <v>484</v>
      </c>
      <c r="G299" s="311">
        <v>1930</v>
      </c>
      <c r="H299" s="311">
        <f t="shared" si="572"/>
        <v>1930</v>
      </c>
      <c r="I299" s="311">
        <v>990</v>
      </c>
      <c r="J299" s="306">
        <f t="shared" si="558"/>
        <v>1910700</v>
      </c>
      <c r="K299" s="311">
        <v>140</v>
      </c>
      <c r="L299" s="327">
        <f t="shared" si="559"/>
        <v>792</v>
      </c>
      <c r="M299" s="309">
        <f t="shared" si="573"/>
        <v>1.9494949494949494</v>
      </c>
      <c r="N299" s="309">
        <f t="shared" si="377"/>
        <v>1.9494949494949494</v>
      </c>
      <c r="O299" s="309">
        <f t="shared" si="574"/>
        <v>1.9494949494949494</v>
      </c>
      <c r="P299" s="306">
        <f>(3*390/2*K299)+(I299-3*390/2)*(25.4)*2</f>
        <v>102474</v>
      </c>
      <c r="Q299" s="306">
        <f t="shared" si="368"/>
        <v>138600</v>
      </c>
      <c r="R299" s="408">
        <f t="shared" si="545"/>
        <v>0.73935064935064931</v>
      </c>
      <c r="S299" s="295">
        <v>400</v>
      </c>
      <c r="T299" s="312">
        <v>1930</v>
      </c>
      <c r="U299" s="325">
        <v>6.36</v>
      </c>
      <c r="V299" s="310">
        <v>18.03</v>
      </c>
      <c r="W299" s="387">
        <f t="shared" si="378"/>
        <v>18.03</v>
      </c>
      <c r="X299" s="298">
        <v>31.7</v>
      </c>
      <c r="Y299" s="387">
        <f t="shared" si="379"/>
        <v>31.7</v>
      </c>
      <c r="Z299" s="418">
        <v>0.52900000000000003</v>
      </c>
      <c r="AA299" s="310">
        <v>5.54</v>
      </c>
      <c r="AB299" s="366">
        <f t="shared" si="561"/>
        <v>5.9572653962075437</v>
      </c>
      <c r="AC299" s="298">
        <v>1</v>
      </c>
      <c r="AD299" s="298">
        <v>1</v>
      </c>
      <c r="AE299" s="298">
        <v>5</v>
      </c>
      <c r="AF299" s="313">
        <f t="shared" si="392"/>
        <v>0.7443580131166263</v>
      </c>
      <c r="AG299" s="313">
        <f t="shared" si="533"/>
        <v>4.1237433926661096</v>
      </c>
      <c r="AH299" s="313">
        <f t="shared" si="534"/>
        <v>4.4343382339294788</v>
      </c>
      <c r="AI299" s="403">
        <f t="shared" ref="AI299:AI300" si="575">((3*390/2)*AG299+(I299-3*390/2)*AH299)/I299</f>
        <v>4.2508049186374874</v>
      </c>
      <c r="AJ299" s="361" t="s">
        <v>800</v>
      </c>
      <c r="AK299" s="361" t="s">
        <v>802</v>
      </c>
      <c r="AL299" s="298" t="s">
        <v>589</v>
      </c>
      <c r="AM299" s="311">
        <f>2*PI()*(22^2)/4+1*PI()*(10^2)/4</f>
        <v>838.80523850847476</v>
      </c>
      <c r="AN299" s="306">
        <f t="shared" si="522"/>
        <v>7.5649823097806166E-3</v>
      </c>
      <c r="AO299" s="298">
        <v>474</v>
      </c>
      <c r="AP299" s="306">
        <f t="shared" si="562"/>
        <v>3.5858016148360123</v>
      </c>
      <c r="AQ299" s="298">
        <v>400</v>
      </c>
      <c r="AR299" s="311" t="s">
        <v>413</v>
      </c>
      <c r="AS299" s="311">
        <v>0</v>
      </c>
      <c r="AT299" s="361" t="s">
        <v>805</v>
      </c>
      <c r="AU299" s="311">
        <f>9*(2*PI()*4.2^2/4)</f>
        <v>249.37962484195776</v>
      </c>
      <c r="AV299" s="307">
        <f t="shared" si="568"/>
        <v>27.708847204661975</v>
      </c>
      <c r="AW299" s="312">
        <f t="shared" si="563"/>
        <v>249.37962484195776</v>
      </c>
      <c r="AX299" s="306">
        <f t="shared" si="564"/>
        <v>9.8960168588078479E-4</v>
      </c>
      <c r="AY299" s="298">
        <v>610</v>
      </c>
      <c r="AZ299" s="306">
        <f t="shared" si="565"/>
        <v>0.60365702838727875</v>
      </c>
      <c r="BA299" s="298">
        <v>200</v>
      </c>
      <c r="BB299" s="306">
        <f t="shared" si="523"/>
        <v>77.616000000000014</v>
      </c>
      <c r="BC299" s="298">
        <v>0.56000000000000005</v>
      </c>
      <c r="BD299" s="313">
        <f t="shared" si="445"/>
        <v>0.13173975534485294</v>
      </c>
      <c r="BE299" s="309">
        <f t="shared" si="569"/>
        <v>0.75742139469523995</v>
      </c>
      <c r="BF299" s="307">
        <v>116.49</v>
      </c>
      <c r="BG299" s="307">
        <v>141.68</v>
      </c>
      <c r="BH299" s="307">
        <f t="shared" si="571"/>
        <v>129.08500000000001</v>
      </c>
      <c r="BI299" s="311">
        <v>1</v>
      </c>
      <c r="BJ299" s="361">
        <f t="shared" si="514"/>
        <v>1</v>
      </c>
      <c r="BK299" s="311">
        <f t="shared" si="515"/>
        <v>1</v>
      </c>
      <c r="BL299" s="311">
        <f t="shared" si="414"/>
        <v>129.08500000000001</v>
      </c>
      <c r="BM299" s="309">
        <f t="shared" si="447"/>
        <v>0.93134920634920648</v>
      </c>
      <c r="BN299" s="309">
        <f t="shared" si="516"/>
        <v>1.2596853836095012</v>
      </c>
      <c r="BO299" s="376"/>
      <c r="BP299" s="328">
        <f t="shared" si="424"/>
        <v>1.0575805931404483</v>
      </c>
      <c r="BQ299" s="328">
        <f t="shared" si="425"/>
        <v>0.60365702838727875</v>
      </c>
      <c r="BR299" s="328">
        <f t="shared" si="426"/>
        <v>0.92731379117802692</v>
      </c>
      <c r="BS299" s="328">
        <f t="shared" si="427"/>
        <v>0.71061181985614053</v>
      </c>
      <c r="BT299" s="328">
        <f t="shared" si="428"/>
        <v>0.56000000000000005</v>
      </c>
      <c r="BU299" s="376"/>
      <c r="BV299" s="328">
        <f t="shared" si="429"/>
        <v>0.5</v>
      </c>
      <c r="BW299" s="328">
        <f t="shared" si="430"/>
        <v>1</v>
      </c>
      <c r="BX299" s="373">
        <f t="shared" si="517"/>
        <v>0.3298796840017883</v>
      </c>
      <c r="BY299" s="311">
        <f t="shared" si="431"/>
        <v>27990.529681059146</v>
      </c>
      <c r="BZ299" s="311">
        <f t="shared" si="432"/>
        <v>361440.85306093981</v>
      </c>
      <c r="CA299" s="311">
        <f t="shared" si="433"/>
        <v>45721.324202647855</v>
      </c>
      <c r="CB299" s="307">
        <f t="shared" si="434"/>
        <v>45.721324202647857</v>
      </c>
      <c r="CC299" s="309">
        <f t="shared" si="518"/>
        <v>0.3298796840017883</v>
      </c>
      <c r="CD299" s="379">
        <f t="shared" si="435"/>
        <v>2.8232996802075192</v>
      </c>
    </row>
    <row r="300" spans="1:82" x14ac:dyDescent="0.25">
      <c r="A300" s="315">
        <v>292</v>
      </c>
      <c r="B300" s="315" t="s">
        <v>89</v>
      </c>
      <c r="C300" s="315" t="s">
        <v>551</v>
      </c>
      <c r="D300" s="315" t="s">
        <v>598</v>
      </c>
      <c r="E300" s="315" t="s">
        <v>668</v>
      </c>
      <c r="F300" s="315" t="s">
        <v>484</v>
      </c>
      <c r="G300" s="321">
        <v>1930</v>
      </c>
      <c r="H300" s="321">
        <f t="shared" si="572"/>
        <v>1930</v>
      </c>
      <c r="I300" s="321">
        <v>990</v>
      </c>
      <c r="J300" s="316">
        <f t="shared" si="558"/>
        <v>1910700</v>
      </c>
      <c r="K300" s="321">
        <v>140</v>
      </c>
      <c r="L300" s="329">
        <f t="shared" si="559"/>
        <v>792</v>
      </c>
      <c r="M300" s="319">
        <f t="shared" si="573"/>
        <v>1.9494949494949494</v>
      </c>
      <c r="N300" s="319">
        <f t="shared" si="377"/>
        <v>1.9494949494949494</v>
      </c>
      <c r="O300" s="319">
        <f t="shared" si="574"/>
        <v>1.9494949494949494</v>
      </c>
      <c r="P300" s="316">
        <f>(3*390/2*K300)+(I300-3*390/2)*(25.4)*2</f>
        <v>102474</v>
      </c>
      <c r="Q300" s="316">
        <f t="shared" si="368"/>
        <v>138600</v>
      </c>
      <c r="R300" s="409">
        <f t="shared" si="545"/>
        <v>0.73935064935064931</v>
      </c>
      <c r="S300" s="294">
        <v>400</v>
      </c>
      <c r="T300" s="322">
        <v>1930</v>
      </c>
      <c r="U300" s="326">
        <v>6.36</v>
      </c>
      <c r="V300" s="320">
        <v>18.03</v>
      </c>
      <c r="W300" s="387">
        <f t="shared" si="378"/>
        <v>18.03</v>
      </c>
      <c r="X300" s="315">
        <v>31.7</v>
      </c>
      <c r="Y300" s="387">
        <f t="shared" si="379"/>
        <v>31.7</v>
      </c>
      <c r="Z300" s="419">
        <v>0.52900000000000003</v>
      </c>
      <c r="AA300" s="320">
        <v>5.54</v>
      </c>
      <c r="AB300" s="367">
        <f t="shared" si="561"/>
        <v>5.9572653962075437</v>
      </c>
      <c r="AC300" s="315">
        <v>1</v>
      </c>
      <c r="AD300" s="315">
        <v>1</v>
      </c>
      <c r="AE300" s="315">
        <v>5</v>
      </c>
      <c r="AF300" s="324">
        <f t="shared" si="392"/>
        <v>0.7443580131166263</v>
      </c>
      <c r="AG300" s="324">
        <f t="shared" si="533"/>
        <v>4.1237433926661096</v>
      </c>
      <c r="AH300" s="324">
        <f t="shared" si="534"/>
        <v>4.4343382339294788</v>
      </c>
      <c r="AI300" s="405">
        <f t="shared" si="575"/>
        <v>4.2508049186374874</v>
      </c>
      <c r="AJ300" s="315" t="s">
        <v>800</v>
      </c>
      <c r="AK300" s="315" t="s">
        <v>802</v>
      </c>
      <c r="AL300" s="315" t="s">
        <v>589</v>
      </c>
      <c r="AM300" s="321">
        <f>2*PI()*(22^2)/4+1*PI()*(10^2)/4</f>
        <v>838.80523850847476</v>
      </c>
      <c r="AN300" s="316">
        <f t="shared" si="522"/>
        <v>7.5649823097806166E-3</v>
      </c>
      <c r="AO300" s="315">
        <v>474</v>
      </c>
      <c r="AP300" s="316">
        <f t="shared" si="562"/>
        <v>3.5858016148360123</v>
      </c>
      <c r="AQ300" s="315">
        <v>400</v>
      </c>
      <c r="AR300" s="321" t="s">
        <v>413</v>
      </c>
      <c r="AS300" s="321">
        <v>0</v>
      </c>
      <c r="AT300" s="315" t="s">
        <v>804</v>
      </c>
      <c r="AU300" s="321">
        <f>4*(2*PI()*4.2^2/4)</f>
        <v>110.8353888186479</v>
      </c>
      <c r="AV300" s="317">
        <f t="shared" si="568"/>
        <v>27.708847204661975</v>
      </c>
      <c r="AW300" s="322">
        <f t="shared" si="563"/>
        <v>110.8353888186479</v>
      </c>
      <c r="AX300" s="316">
        <f t="shared" si="564"/>
        <v>4.9480084294039239E-4</v>
      </c>
      <c r="AY300" s="315">
        <v>610</v>
      </c>
      <c r="AZ300" s="316">
        <f t="shared" si="565"/>
        <v>0.30182851419363937</v>
      </c>
      <c r="BA300" s="315">
        <v>400</v>
      </c>
      <c r="BB300" s="316">
        <f t="shared" si="523"/>
        <v>0</v>
      </c>
      <c r="BC300" s="315">
        <v>0</v>
      </c>
      <c r="BD300" s="324">
        <f t="shared" si="445"/>
        <v>0</v>
      </c>
      <c r="BE300" s="319">
        <f t="shared" si="569"/>
        <v>0</v>
      </c>
      <c r="BF300" s="317">
        <v>98.43</v>
      </c>
      <c r="BG300" s="317">
        <v>99.89</v>
      </c>
      <c r="BH300" s="317">
        <f t="shared" si="571"/>
        <v>99.16</v>
      </c>
      <c r="BI300" s="321">
        <v>1</v>
      </c>
      <c r="BJ300" s="315">
        <f t="shared" si="514"/>
        <v>1</v>
      </c>
      <c r="BK300" s="321">
        <f t="shared" si="515"/>
        <v>1</v>
      </c>
      <c r="BL300" s="321">
        <f t="shared" si="414"/>
        <v>99.16</v>
      </c>
      <c r="BM300" s="319">
        <f t="shared" si="447"/>
        <v>0.71544011544011543</v>
      </c>
      <c r="BN300" s="319">
        <f t="shared" si="516"/>
        <v>0.96766008938852777</v>
      </c>
      <c r="BO300" s="376"/>
      <c r="BP300" s="330">
        <f t="shared" si="424"/>
        <v>1.0575805931404483</v>
      </c>
      <c r="BQ300" s="330">
        <f t="shared" si="425"/>
        <v>0.30182851419363937</v>
      </c>
      <c r="BR300" s="330">
        <f t="shared" si="426"/>
        <v>0.92731379117802692</v>
      </c>
      <c r="BS300" s="330">
        <f t="shared" si="427"/>
        <v>0.5024784366115902</v>
      </c>
      <c r="BT300" s="330">
        <f t="shared" si="428"/>
        <v>0</v>
      </c>
      <c r="BU300" s="376"/>
      <c r="BV300" s="328">
        <f t="shared" si="429"/>
        <v>0.5</v>
      </c>
      <c r="BW300" s="328">
        <f t="shared" si="430"/>
        <v>1</v>
      </c>
      <c r="BX300" s="373">
        <f t="shared" si="517"/>
        <v>0.3298796840017883</v>
      </c>
      <c r="BY300" s="311">
        <f t="shared" si="431"/>
        <v>18288.529681059146</v>
      </c>
      <c r="BZ300" s="311">
        <f t="shared" si="432"/>
        <v>80320.189569097754</v>
      </c>
      <c r="CA300" s="311">
        <f t="shared" si="433"/>
        <v>45721.324202647855</v>
      </c>
      <c r="CB300" s="307">
        <f t="shared" si="434"/>
        <v>45.721324202647857</v>
      </c>
      <c r="CC300" s="309">
        <f t="shared" si="518"/>
        <v>0.3298796840017883</v>
      </c>
      <c r="CD300" s="379">
        <f t="shared" si="435"/>
        <v>2.1687910778895891</v>
      </c>
    </row>
    <row r="303" spans="1:82" x14ac:dyDescent="0.25">
      <c r="AA303" s="373"/>
      <c r="AB303" s="373"/>
      <c r="AI303" s="286"/>
      <c r="AJ303" s="422"/>
    </row>
  </sheetData>
  <autoFilter ref="A8:BN300" xr:uid="{00000000-0009-0000-0000-000007000000}"/>
  <dataConsolidate/>
  <customSheetViews>
    <customSheetView guid="{6A3968C5-0A0A-44BD-9D91-8A632DB179F3}" scale="55" showAutoFilter="1" hiddenColumns="1">
      <pane xSplit="3" ySplit="8" topLeftCell="D9" activePane="bottomRight" state="frozen"/>
      <selection pane="bottomRight" activeCell="J264" sqref="J264"/>
      <pageMargins left="0.7" right="0.7" top="0.75" bottom="0.75" header="0.3" footer="0.3"/>
      <pageSetup orientation="portrait" r:id="rId1"/>
      <autoFilter ref="A8:BN300" xr:uid="{45D4A583-EAD6-43D3-9FE5-9C815174E7BD}"/>
    </customSheetView>
    <customSheetView guid="{F952AE04-5FFA-4EC5-9AC4-659942525BDB}" showAutoFilter="1" hiddenColumns="1">
      <pane xSplit="3" ySplit="8" topLeftCell="D232" activePane="bottomRight" state="frozen"/>
      <selection pane="bottomRight" activeCell="M27" sqref="M27"/>
      <pageMargins left="0.7" right="0.7" top="0.75" bottom="0.75" header="0.3" footer="0.3"/>
      <pageSetup orientation="portrait" r:id="rId2"/>
      <autoFilter ref="A8:BN300" xr:uid="{8D9860CE-B85F-441C-B1CD-AC8CA28CCBD1}"/>
    </customSheetView>
  </customSheetViews>
  <mergeCells count="10">
    <mergeCell ref="BP7:BT7"/>
    <mergeCell ref="BV7:CD7"/>
    <mergeCell ref="D7:E7"/>
    <mergeCell ref="BF7:BN7"/>
    <mergeCell ref="AJ7:AQ7"/>
    <mergeCell ref="G7:O7"/>
    <mergeCell ref="P7:T7"/>
    <mergeCell ref="BB7:BE7"/>
    <mergeCell ref="AR7:BA7"/>
    <mergeCell ref="U7:AH7"/>
  </mergeCells>
  <conditionalFormatting sqref="AF80:AF89 AK80:AQ89 AS81:AV81 AU80:AW80 AS86:AT88 AS84:AS85 AU89:AV89 AS82:AT83 AS52:AS80 AY80:BC89 AW81:AW105 BG90:BG105 BN90:BN105 BK116:BK117 BK10:BN89 BM106:BN117 BH159:BH166 AT175:AT180 AS187:AS189 BH173:BH277 BI291:BI300 BK291:BK300 U9:V237 BP301:BT1996 B291:Q300 M238:S243 AJ90:AQ104 AC21:AF79 AE9:AF20 Q248:T254 AC90:AF238 AT132:AZ137 AU138:BC139 AS140:AZ161 AU162:AZ162 AU174:AZ177 AS178:AZ186 AU187:AZ243 AS163:AZ173 AX291:AZ300 BA106:BC137 AS106:AZ131 AW9:BC79 BA90:BA105 AS138:AS139 AS162 AS174:AS177 AS291:AU300 AS89:AS105 AJ9:AU79 AR80:AR104 AS190:AT191 AS192:AS207 AS208:AT209 AS210:AS243 AV9:AV243 BE42:BF47 BE48:BI79 BE106:BH117 BE118:BG125 BE172:BH172 BE167:BG171 BE159:BF166 BE149:BG158 BE140:BH148 BE138:BG139 BE126:BF137 BE80:BH89 BE238:BH243 BA140:BC243 BE173:BG243 BE9:BN9 A244:A300 A238:K243 A245:K246 A244:F244 M245:S246 M248:P255 S248:S255 A247:F247 U238:Y255 AJ105:AR243 AS238:BC243 AJ245:BC246 AJ244:AQ244 BE245:BH246 BF244:BH244 BF247:BH247 AJ247:AQ247 AV248:AV1996 BA248:BC300 BE10:BJ30 BE31:BH41 BH42:BI47 BJ31:BJ89 A248:K276 BE248:BG300 BE248:BH276 A277:M277 A278:F290 X291:Y300 AJ248:AR300 AS248:BC290 BE277:BI277 X9:Z20 AA115:AE115 AA278:AE290 AA277:AF277 AA256:AE276 AA247:AE247 AA248:AF255 AA244:AE244 AA245:AF246 AA238:AF243 Q255:Y255 S256:Y290 S291:V300 A301:BN302 A304:BN1996 A303:Z303 AC303:BN303 B120:S237 B118:R119 AA106:AB237 X91:Y237 X90:Z90 AB80:AB105 X80:Y89 X51:Z79 X48:AB50 AB44:AB47 X42:Z47 Y21:Y30 X31:Y41 AB9:AB20 B9:S117 AA291:AF300 CD9:XFD1996 BV9:CB1996">
    <cfRule type="expression" dxfId="592" priority="951">
      <formula>MOD(ROW(),2)=1</formula>
    </cfRule>
  </conditionalFormatting>
  <conditionalFormatting sqref="AY12">
    <cfRule type="expression" dxfId="591" priority="939">
      <formula>MOD(ROW(),2)=1</formula>
    </cfRule>
  </conditionalFormatting>
  <conditionalFormatting sqref="P12">
    <cfRule type="expression" dxfId="590" priority="938">
      <formula>MOD(ROW(),2)=1</formula>
    </cfRule>
  </conditionalFormatting>
  <conditionalFormatting sqref="AV133:AV143">
    <cfRule type="expression" dxfId="589" priority="903">
      <formula>MOD(ROW(),2)=1</formula>
    </cfRule>
  </conditionalFormatting>
  <conditionalFormatting sqref="B133:B143">
    <cfRule type="expression" dxfId="588" priority="936">
      <formula>MOD(ROW(),2)=1</formula>
    </cfRule>
  </conditionalFormatting>
  <conditionalFormatting sqref="F137:F143">
    <cfRule type="expression" dxfId="587" priority="935">
      <formula>MOD(ROW(),2)=1</formula>
    </cfRule>
  </conditionalFormatting>
  <conditionalFormatting sqref="AX127:AX130">
    <cfRule type="expression" dxfId="586" priority="922">
      <formula>MOD(ROW(),2)=1</formula>
    </cfRule>
  </conditionalFormatting>
  <conditionalFormatting sqref="AY132:AY143">
    <cfRule type="expression" dxfId="585" priority="918">
      <formula>MOD(ROW(),2)=1</formula>
    </cfRule>
  </conditionalFormatting>
  <conditionalFormatting sqref="AL133:AL143">
    <cfRule type="expression" dxfId="584" priority="913">
      <formula>MOD(ROW(),2)=1</formula>
    </cfRule>
  </conditionalFormatting>
  <conditionalFormatting sqref="AO132:AP143">
    <cfRule type="expression" dxfId="583" priority="912">
      <formula>MOD(ROW(),2)=1</formula>
    </cfRule>
  </conditionalFormatting>
  <conditionalFormatting sqref="AZ132:AZ143">
    <cfRule type="expression" dxfId="582" priority="911">
      <formula>MOD(ROW(),2)=1</formula>
    </cfRule>
  </conditionalFormatting>
  <conditionalFormatting sqref="AX132:AX143">
    <cfRule type="expression" dxfId="581" priority="910">
      <formula>MOD(ROW(),2)=1</formula>
    </cfRule>
  </conditionalFormatting>
  <conditionalFormatting sqref="AV132">
    <cfRule type="expression" dxfId="580" priority="904">
      <formula>MOD(ROW(),2)=1</formula>
    </cfRule>
  </conditionalFormatting>
  <conditionalFormatting sqref="J116">
    <cfRule type="expression" dxfId="579" priority="902">
      <formula>MOD(ROW(),2)=1</formula>
    </cfRule>
  </conditionalFormatting>
  <conditionalFormatting sqref="BB116">
    <cfRule type="expression" dxfId="578" priority="900">
      <formula>MOD(ROW(),2)=1</formula>
    </cfRule>
  </conditionalFormatting>
  <conditionalFormatting sqref="J155:J158">
    <cfRule type="expression" dxfId="577" priority="885">
      <formula>MOD(ROW(),2)=1</formula>
    </cfRule>
  </conditionalFormatting>
  <conditionalFormatting sqref="R155:R158">
    <cfRule type="expression" dxfId="576" priority="884">
      <formula>MOD(ROW(),2)=1</formula>
    </cfRule>
  </conditionalFormatting>
  <conditionalFormatting sqref="AP155:AP158">
    <cfRule type="expression" dxfId="575" priority="882">
      <formula>MOD(ROW(),2)=1</formula>
    </cfRule>
  </conditionalFormatting>
  <conditionalFormatting sqref="AX155:AX158">
    <cfRule type="expression" dxfId="574" priority="879">
      <formula>MOD(ROW(),2)=1</formula>
    </cfRule>
  </conditionalFormatting>
  <conditionalFormatting sqref="AZ155:AZ158">
    <cfRule type="expression" dxfId="573" priority="880">
      <formula>MOD(ROW(),2)=1</formula>
    </cfRule>
  </conditionalFormatting>
  <conditionalFormatting sqref="BC155:BC158">
    <cfRule type="expression" dxfId="572" priority="877">
      <formula>MOD(ROW(),2)=1</formula>
    </cfRule>
  </conditionalFormatting>
  <conditionalFormatting sqref="AP138:AP143">
    <cfRule type="expression" dxfId="571" priority="868">
      <formula>MOD(ROW(),2)=1</formula>
    </cfRule>
  </conditionalFormatting>
  <conditionalFormatting sqref="Q138:S138">
    <cfRule type="expression" dxfId="570" priority="866">
      <formula>MOD(ROW(),2)=1</formula>
    </cfRule>
  </conditionalFormatting>
  <conditionalFormatting sqref="R138">
    <cfRule type="expression" dxfId="569" priority="865">
      <formula>MOD(ROW(),2)=1</formula>
    </cfRule>
  </conditionalFormatting>
  <conditionalFormatting sqref="AW291:AW299">
    <cfRule type="expression" dxfId="568" priority="857">
      <formula>MOD(ROW(),2)=1</formula>
    </cfRule>
  </conditionalFormatting>
  <conditionalFormatting sqref="AW300">
    <cfRule type="expression" dxfId="567" priority="856">
      <formula>MOD(ROW(),2)=1</formula>
    </cfRule>
  </conditionalFormatting>
  <conditionalFormatting sqref="AW144:AW147">
    <cfRule type="expression" dxfId="566" priority="855">
      <formula>MOD(ROW(),2)=1</formula>
    </cfRule>
  </conditionalFormatting>
  <conditionalFormatting sqref="AW148:AW166">
    <cfRule type="expression" dxfId="565" priority="854">
      <formula>MOD(ROW(),2)=1</formula>
    </cfRule>
  </conditionalFormatting>
  <conditionalFormatting sqref="AW150:AW153">
    <cfRule type="expression" dxfId="564" priority="853">
      <formula>MOD(ROW(),2)=1</formula>
    </cfRule>
  </conditionalFormatting>
  <conditionalFormatting sqref="AW154:AW158">
    <cfRule type="expression" dxfId="563" priority="852">
      <formula>MOD(ROW(),2)=1</formula>
    </cfRule>
  </conditionalFormatting>
  <conditionalFormatting sqref="AW149">
    <cfRule type="expression" dxfId="562" priority="851">
      <formula>MOD(ROW(),2)=1</formula>
    </cfRule>
  </conditionalFormatting>
  <conditionalFormatting sqref="AW159:AW165">
    <cfRule type="expression" dxfId="561" priority="850">
      <formula>MOD(ROW(),2)=1</formula>
    </cfRule>
  </conditionalFormatting>
  <conditionalFormatting sqref="AW166">
    <cfRule type="expression" dxfId="560" priority="849">
      <formula>MOD(ROW(),2)=1</formula>
    </cfRule>
  </conditionalFormatting>
  <conditionalFormatting sqref="AW126:AW130">
    <cfRule type="expression" dxfId="559" priority="847">
      <formula>MOD(ROW(),2)=1</formula>
    </cfRule>
  </conditionalFormatting>
  <conditionalFormatting sqref="AW132:AW136">
    <cfRule type="expression" dxfId="558" priority="845">
      <formula>MOD(ROW(),2)=1</formula>
    </cfRule>
  </conditionalFormatting>
  <conditionalFormatting sqref="AW137:AW143">
    <cfRule type="expression" dxfId="557" priority="844">
      <formula>MOD(ROW(),2)=1</formula>
    </cfRule>
  </conditionalFormatting>
  <conditionalFormatting sqref="AW116">
    <cfRule type="expression" dxfId="556" priority="843">
      <formula>MOD(ROW(),2)=1</formula>
    </cfRule>
  </conditionalFormatting>
  <conditionalFormatting sqref="AW155:AW157">
    <cfRule type="expression" dxfId="555" priority="841">
      <formula>MOD(ROW(),2)=1</formula>
    </cfRule>
  </conditionalFormatting>
  <conditionalFormatting sqref="AW158">
    <cfRule type="expression" dxfId="554" priority="840">
      <formula>MOD(ROW(),2)=1</formula>
    </cfRule>
  </conditionalFormatting>
  <conditionalFormatting sqref="AW44:AW46">
    <cfRule type="expression" dxfId="553" priority="838">
      <formula>MOD(ROW(),2)=1</formula>
    </cfRule>
  </conditionalFormatting>
  <conditionalFormatting sqref="AP42:AP47">
    <cfRule type="expression" dxfId="552" priority="834">
      <formula>MOD(ROW(),2)=1</formula>
    </cfRule>
  </conditionalFormatting>
  <conditionalFormatting sqref="AP48:AP49">
    <cfRule type="expression" dxfId="551" priority="828">
      <formula>MOD(ROW(),2)=1</formula>
    </cfRule>
  </conditionalFormatting>
  <conditionalFormatting sqref="AW48:AW49">
    <cfRule type="expression" dxfId="550" priority="826">
      <formula>MOD(ROW(),2)=1</formula>
    </cfRule>
  </conditionalFormatting>
  <conditionalFormatting sqref="AX49">
    <cfRule type="expression" dxfId="549" priority="824">
      <formula>MOD(ROW(),2)=1</formula>
    </cfRule>
  </conditionalFormatting>
  <conditionalFormatting sqref="AX49">
    <cfRule type="expression" dxfId="548" priority="823">
      <formula>MOD(ROW(),2)=1</formula>
    </cfRule>
  </conditionalFormatting>
  <conditionalFormatting sqref="AX48">
    <cfRule type="expression" dxfId="547" priority="821">
      <formula>MOD(ROW(),2)=1</formula>
    </cfRule>
  </conditionalFormatting>
  <conditionalFormatting sqref="AX48">
    <cfRule type="expression" dxfId="546" priority="820">
      <formula>MOD(ROW(),2)=1</formula>
    </cfRule>
  </conditionalFormatting>
  <conditionalFormatting sqref="R80:R87">
    <cfRule type="expression" dxfId="545" priority="817">
      <formula>MOD(ROW(),2)=1</formula>
    </cfRule>
  </conditionalFormatting>
  <conditionalFormatting sqref="AC9:AC20">
    <cfRule type="expression" dxfId="544" priority="816">
      <formula>MOD(ROW(),2)=1</formula>
    </cfRule>
  </conditionalFormatting>
  <conditionalFormatting sqref="AD9:AD20">
    <cfRule type="expression" dxfId="543" priority="815">
      <formula>MOD(ROW(),2)=1</formula>
    </cfRule>
  </conditionalFormatting>
  <conditionalFormatting sqref="AV115">
    <cfRule type="expression" dxfId="542" priority="812">
      <formula>MOD(ROW(),2)=1</formula>
    </cfRule>
  </conditionalFormatting>
  <conditionalFormatting sqref="P115">
    <cfRule type="expression" dxfId="541" priority="811">
      <formula>MOD(ROW(),2)=1</formula>
    </cfRule>
  </conditionalFormatting>
  <conditionalFormatting sqref="R115">
    <cfRule type="expression" dxfId="540" priority="810">
      <formula>MOD(ROW(),2)=1</formula>
    </cfRule>
  </conditionalFormatting>
  <conditionalFormatting sqref="AL115">
    <cfRule type="expression" dxfId="539" priority="806">
      <formula>MOD(ROW(),2)=1</formula>
    </cfRule>
  </conditionalFormatting>
  <conditionalFormatting sqref="AO115:AP115">
    <cfRule type="expression" dxfId="538" priority="805">
      <formula>MOD(ROW(),2)=1</formula>
    </cfRule>
  </conditionalFormatting>
  <conditionalFormatting sqref="BM115:BN115">
    <cfRule type="expression" dxfId="537" priority="804">
      <formula>MOD(ROW(),2)=1</formula>
    </cfRule>
  </conditionalFormatting>
  <conditionalFormatting sqref="AX115">
    <cfRule type="expression" dxfId="536" priority="803">
      <formula>MOD(ROW(),2)=1</formula>
    </cfRule>
  </conditionalFormatting>
  <conditionalFormatting sqref="AY115">
    <cfRule type="expression" dxfId="535" priority="802">
      <formula>MOD(ROW(),2)=1</formula>
    </cfRule>
  </conditionalFormatting>
  <conditionalFormatting sqref="AZ115">
    <cfRule type="expression" dxfId="534" priority="801">
      <formula>MOD(ROW(),2)=1</formula>
    </cfRule>
  </conditionalFormatting>
  <conditionalFormatting sqref="BB115">
    <cfRule type="expression" dxfId="533" priority="800">
      <formula>MOD(ROW(),2)=1</formula>
    </cfRule>
  </conditionalFormatting>
  <conditionalFormatting sqref="AW115">
    <cfRule type="expression" dxfId="532" priority="798">
      <formula>MOD(ROW(),2)=1</formula>
    </cfRule>
  </conditionalFormatting>
  <conditionalFormatting sqref="AC126:AE131">
    <cfRule type="expression" dxfId="531" priority="795">
      <formula>MOD(ROW(),2)=1</formula>
    </cfRule>
  </conditionalFormatting>
  <conditionalFormatting sqref="AC120:AD131">
    <cfRule type="expression" dxfId="530" priority="794">
      <formula>MOD(ROW(),2)=1</formula>
    </cfRule>
  </conditionalFormatting>
  <conditionalFormatting sqref="AE120:AE131">
    <cfRule type="expression" dxfId="529" priority="793">
      <formula>MOD(ROW(),2)=1</formula>
    </cfRule>
  </conditionalFormatting>
  <conditionalFormatting sqref="A9:A300">
    <cfRule type="expression" dxfId="528" priority="789">
      <formula>MOD(ROW(),2)=1</formula>
    </cfRule>
  </conditionalFormatting>
  <conditionalFormatting sqref="BG42:BG43">
    <cfRule type="expression" dxfId="527" priority="788">
      <formula>MOD(ROW(),2)=1</formula>
    </cfRule>
  </conditionalFormatting>
  <conditionalFormatting sqref="BG44:BG47">
    <cfRule type="expression" dxfId="526" priority="787">
      <formula>MOD(ROW(),2)=1</formula>
    </cfRule>
  </conditionalFormatting>
  <conditionalFormatting sqref="AE80:AE89">
    <cfRule type="expression" dxfId="525" priority="786">
      <formula>MOD(ROW(),2)=1</formula>
    </cfRule>
  </conditionalFormatting>
  <conditionalFormatting sqref="AC80:AC89">
    <cfRule type="expression" dxfId="524" priority="785">
      <formula>MOD(ROW(),2)=1</formula>
    </cfRule>
  </conditionalFormatting>
  <conditionalFormatting sqref="BE90:BE105">
    <cfRule type="expression" dxfId="523" priority="761">
      <formula>MOD(ROW(),2)=1</formula>
    </cfRule>
  </conditionalFormatting>
  <conditionalFormatting sqref="AD80:AD89">
    <cfRule type="expression" dxfId="522" priority="783">
      <formula>MOD(ROW(),2)=1</formula>
    </cfRule>
  </conditionalFormatting>
  <conditionalFormatting sqref="AJ80:AJ89">
    <cfRule type="expression" dxfId="521" priority="782">
      <formula>MOD(ROW(),2)=1</formula>
    </cfRule>
  </conditionalFormatting>
  <conditionalFormatting sqref="AT80">
    <cfRule type="expression" dxfId="520" priority="780">
      <formula>MOD(ROW(),2)=1</formula>
    </cfRule>
  </conditionalFormatting>
  <conditionalFormatting sqref="AT84:AT85">
    <cfRule type="expression" dxfId="519" priority="779">
      <formula>MOD(ROW(),2)=1</formula>
    </cfRule>
  </conditionalFormatting>
  <conditionalFormatting sqref="AT89">
    <cfRule type="expression" dxfId="518" priority="778">
      <formula>MOD(ROW(),2)=1</formula>
    </cfRule>
  </conditionalFormatting>
  <conditionalFormatting sqref="AU82:AV88">
    <cfRule type="expression" dxfId="517" priority="777">
      <formula>MOD(ROW(),2)=1</formula>
    </cfRule>
  </conditionalFormatting>
  <conditionalFormatting sqref="AX80:AX89">
    <cfRule type="expression" dxfId="516" priority="776">
      <formula>MOD(ROW(),2)=1</formula>
    </cfRule>
  </conditionalFormatting>
  <conditionalFormatting sqref="AV80:AV81 AV89">
    <cfRule type="expression" dxfId="515" priority="775">
      <formula>MOD(ROW(),2)=1</formula>
    </cfRule>
  </conditionalFormatting>
  <conditionalFormatting sqref="AV82:AV88">
    <cfRule type="expression" dxfId="514" priority="774">
      <formula>MOD(ROW(),2)=1</formula>
    </cfRule>
  </conditionalFormatting>
  <conditionalFormatting sqref="AT105">
    <cfRule type="expression" dxfId="513" priority="772">
      <formula>MOD(ROW(),2)=1</formula>
    </cfRule>
  </conditionalFormatting>
  <conditionalFormatting sqref="AT90:AT104">
    <cfRule type="expression" dxfId="512" priority="771">
      <formula>MOD(ROW(),2)=1</formula>
    </cfRule>
  </conditionalFormatting>
  <conditionalFormatting sqref="AU90:AV105">
    <cfRule type="expression" dxfId="511" priority="770">
      <formula>MOD(ROW(),2)=1</formula>
    </cfRule>
  </conditionalFormatting>
  <conditionalFormatting sqref="AX90:AX105">
    <cfRule type="expression" dxfId="510" priority="769">
      <formula>MOD(ROW(),2)=1</formula>
    </cfRule>
  </conditionalFormatting>
  <conditionalFormatting sqref="AY90:AY105">
    <cfRule type="expression" dxfId="509" priority="768">
      <formula>MOD(ROW(),2)=1</formula>
    </cfRule>
  </conditionalFormatting>
  <conditionalFormatting sqref="AZ90:AZ105">
    <cfRule type="expression" dxfId="508" priority="767">
      <formula>MOD(ROW(),2)=1</formula>
    </cfRule>
  </conditionalFormatting>
  <conditionalFormatting sqref="BC90:BC105">
    <cfRule type="expression" dxfId="507" priority="762">
      <formula>MOD(ROW(),2)=1</formula>
    </cfRule>
  </conditionalFormatting>
  <conditionalFormatting sqref="BB90:BB105">
    <cfRule type="expression" dxfId="506" priority="763">
      <formula>MOD(ROW(),2)=1</formula>
    </cfRule>
  </conditionalFormatting>
  <conditionalFormatting sqref="BH90:BH105">
    <cfRule type="expression" dxfId="505" priority="760">
      <formula>MOD(ROW(),2)=1</formula>
    </cfRule>
  </conditionalFormatting>
  <conditionalFormatting sqref="BJ90:BM105">
    <cfRule type="expression" dxfId="504" priority="759">
      <formula>MOD(ROW(),2)=1</formula>
    </cfRule>
  </conditionalFormatting>
  <conditionalFormatting sqref="BF105">
    <cfRule type="expression" dxfId="503" priority="758">
      <formula>MOD(ROW(),2)=1</formula>
    </cfRule>
  </conditionalFormatting>
  <conditionalFormatting sqref="BF90:BF104">
    <cfRule type="expression" dxfId="502" priority="757">
      <formula>MOD(ROW(),2)=1</formula>
    </cfRule>
  </conditionalFormatting>
  <conditionalFormatting sqref="BJ106:BL115">
    <cfRule type="expression" dxfId="501" priority="756">
      <formula>MOD(ROW(),2)=1</formula>
    </cfRule>
  </conditionalFormatting>
  <conditionalFormatting sqref="BI106:BI115">
    <cfRule type="expression" dxfId="500" priority="755">
      <formula>MOD(ROW(),2)=1</formula>
    </cfRule>
  </conditionalFormatting>
  <conditionalFormatting sqref="BJ116">
    <cfRule type="expression" dxfId="499" priority="753">
      <formula>MOD(ROW(),2)=1</formula>
    </cfRule>
  </conditionalFormatting>
  <conditionalFormatting sqref="BJ117">
    <cfRule type="expression" dxfId="498" priority="752">
      <formula>MOD(ROW(),2)=1</formula>
    </cfRule>
  </conditionalFormatting>
  <conditionalFormatting sqref="BL116:BL117">
    <cfRule type="expression" dxfId="497" priority="751">
      <formula>MOD(ROW(),2)=1</formula>
    </cfRule>
  </conditionalFormatting>
  <conditionalFormatting sqref="J118">
    <cfRule type="expression" dxfId="496" priority="750">
      <formula>MOD(ROW(),2)=1</formula>
    </cfRule>
  </conditionalFormatting>
  <conditionalFormatting sqref="BB118">
    <cfRule type="expression" dxfId="495" priority="749">
      <formula>MOD(ROW(),2)=1</formula>
    </cfRule>
  </conditionalFormatting>
  <conditionalFormatting sqref="BK118:BK119 BH118:BH119">
    <cfRule type="expression" dxfId="494" priority="748">
      <formula>MOD(ROW(),2)=1</formula>
    </cfRule>
  </conditionalFormatting>
  <conditionalFormatting sqref="BJ118">
    <cfRule type="expression" dxfId="493" priority="746">
      <formula>MOD(ROW(),2)=1</formula>
    </cfRule>
  </conditionalFormatting>
  <conditionalFormatting sqref="BJ119">
    <cfRule type="expression" dxfId="492" priority="745">
      <formula>MOD(ROW(),2)=1</formula>
    </cfRule>
  </conditionalFormatting>
  <conditionalFormatting sqref="BL118:BL119">
    <cfRule type="expression" dxfId="491" priority="744">
      <formula>MOD(ROW(),2)=1</formula>
    </cfRule>
  </conditionalFormatting>
  <conditionalFormatting sqref="BH120:BH124">
    <cfRule type="expression" dxfId="490" priority="743">
      <formula>MOD(ROW(),2)=1</formula>
    </cfRule>
  </conditionalFormatting>
  <conditionalFormatting sqref="BH125">
    <cfRule type="expression" dxfId="489" priority="742">
      <formula>MOD(ROW(),2)=1</formula>
    </cfRule>
  </conditionalFormatting>
  <conditionalFormatting sqref="BK120:BK124">
    <cfRule type="expression" dxfId="488" priority="741">
      <formula>MOD(ROW(),2)=1</formula>
    </cfRule>
  </conditionalFormatting>
  <conditionalFormatting sqref="BJ120:BJ124">
    <cfRule type="expression" dxfId="487" priority="739">
      <formula>MOD(ROW(),2)=1</formula>
    </cfRule>
  </conditionalFormatting>
  <conditionalFormatting sqref="BL120:BL124">
    <cfRule type="expression" dxfId="486" priority="738">
      <formula>MOD(ROW(),2)=1</formula>
    </cfRule>
  </conditionalFormatting>
  <conditionalFormatting sqref="BK125">
    <cfRule type="expression" dxfId="485" priority="737">
      <formula>MOD(ROW(),2)=1</formula>
    </cfRule>
  </conditionalFormatting>
  <conditionalFormatting sqref="BJ125">
    <cfRule type="expression" dxfId="484" priority="735">
      <formula>MOD(ROW(),2)=1</formula>
    </cfRule>
  </conditionalFormatting>
  <conditionalFormatting sqref="BL125">
    <cfRule type="expression" dxfId="483" priority="734">
      <formula>MOD(ROW(),2)=1</formula>
    </cfRule>
  </conditionalFormatting>
  <conditionalFormatting sqref="AS132:AS137">
    <cfRule type="expression" dxfId="482" priority="733">
      <formula>MOD(ROW(),2)=1</formula>
    </cfRule>
  </conditionalFormatting>
  <conditionalFormatting sqref="AW132:AW137">
    <cfRule type="expression" dxfId="481" priority="732">
      <formula>MOD(ROW(),2)=1</formula>
    </cfRule>
  </conditionalFormatting>
  <conditionalFormatting sqref="BJ144">
    <cfRule type="expression" dxfId="480" priority="643">
      <formula>MOD(ROW(),2)=1</formula>
    </cfRule>
  </conditionalFormatting>
  <conditionalFormatting sqref="AD138:AD139">
    <cfRule type="expression" dxfId="479" priority="698">
      <formula>MOD(ROW(),2)=1</formula>
    </cfRule>
  </conditionalFormatting>
  <conditionalFormatting sqref="BK126:BK137">
    <cfRule type="expression" dxfId="478" priority="729">
      <formula>MOD(ROW(),2)=1</formula>
    </cfRule>
  </conditionalFormatting>
  <conditionalFormatting sqref="BJ126:BJ137">
    <cfRule type="expression" dxfId="477" priority="727">
      <formula>MOD(ROW(),2)=1</formula>
    </cfRule>
  </conditionalFormatting>
  <conditionalFormatting sqref="BL126:BL137">
    <cfRule type="expression" dxfId="476" priority="726">
      <formula>MOD(ROW(),2)=1</formula>
    </cfRule>
  </conditionalFormatting>
  <conditionalFormatting sqref="BH126:BH131">
    <cfRule type="expression" dxfId="475" priority="725">
      <formula>MOD(ROW(),2)=1</formula>
    </cfRule>
  </conditionalFormatting>
  <conditionalFormatting sqref="BH132:BH137">
    <cfRule type="expression" dxfId="474" priority="724">
      <formula>MOD(ROW(),2)=1</formula>
    </cfRule>
  </conditionalFormatting>
  <conditionalFormatting sqref="BG126:BG137">
    <cfRule type="expression" dxfId="473" priority="723">
      <formula>MOD(ROW(),2)=1</formula>
    </cfRule>
  </conditionalFormatting>
  <conditionalFormatting sqref="BH155:BH157">
    <cfRule type="expression" dxfId="472" priority="615">
      <formula>MOD(ROW(),2)=1</formula>
    </cfRule>
  </conditionalFormatting>
  <conditionalFormatting sqref="BM117:BN117">
    <cfRule type="expression" dxfId="471" priority="721">
      <formula>MOD(ROW(),2)=1</formula>
    </cfRule>
  </conditionalFormatting>
  <conditionalFormatting sqref="BM118:BN119">
    <cfRule type="expression" dxfId="470" priority="720">
      <formula>MOD(ROW(),2)=1</formula>
    </cfRule>
  </conditionalFormatting>
  <conditionalFormatting sqref="BM119:BN119">
    <cfRule type="expression" dxfId="469" priority="719">
      <formula>MOD(ROW(),2)=1</formula>
    </cfRule>
  </conditionalFormatting>
  <conditionalFormatting sqref="BM120:BN124">
    <cfRule type="expression" dxfId="468" priority="718">
      <formula>MOD(ROW(),2)=1</formula>
    </cfRule>
  </conditionalFormatting>
  <conditionalFormatting sqref="BM125:BN125">
    <cfRule type="expression" dxfId="467" priority="717">
      <formula>MOD(ROW(),2)=1</formula>
    </cfRule>
  </conditionalFormatting>
  <conditionalFormatting sqref="BM125:BN125">
    <cfRule type="expression" dxfId="466" priority="716">
      <formula>MOD(ROW(),2)=1</formula>
    </cfRule>
  </conditionalFormatting>
  <conditionalFormatting sqref="BM126:BN130">
    <cfRule type="expression" dxfId="465" priority="715">
      <formula>MOD(ROW(),2)=1</formula>
    </cfRule>
  </conditionalFormatting>
  <conditionalFormatting sqref="BM131:BN131">
    <cfRule type="expression" dxfId="464" priority="714">
      <formula>MOD(ROW(),2)=1</formula>
    </cfRule>
  </conditionalFormatting>
  <conditionalFormatting sqref="BM131:BN131">
    <cfRule type="expression" dxfId="463" priority="713">
      <formula>MOD(ROW(),2)=1</formula>
    </cfRule>
  </conditionalFormatting>
  <conditionalFormatting sqref="BM132:BN136">
    <cfRule type="expression" dxfId="462" priority="712">
      <formula>MOD(ROW(),2)=1</formula>
    </cfRule>
  </conditionalFormatting>
  <conditionalFormatting sqref="BM137:BN137">
    <cfRule type="expression" dxfId="461" priority="711">
      <formula>MOD(ROW(),2)=1</formula>
    </cfRule>
  </conditionalFormatting>
  <conditionalFormatting sqref="BM137:BN137">
    <cfRule type="expression" dxfId="460" priority="710">
      <formula>MOD(ROW(),2)=1</formula>
    </cfRule>
  </conditionalFormatting>
  <conditionalFormatting sqref="BM149:BN149">
    <cfRule type="expression" dxfId="459" priority="617">
      <formula>MOD(ROW(),2)=1</formula>
    </cfRule>
  </conditionalFormatting>
  <conditionalFormatting sqref="BM154:BN154">
    <cfRule type="expression" dxfId="458" priority="632">
      <formula>MOD(ROW(),2)=1</formula>
    </cfRule>
  </conditionalFormatting>
  <conditionalFormatting sqref="BK151:BK152">
    <cfRule type="expression" dxfId="457" priority="631">
      <formula>MOD(ROW(),2)=1</formula>
    </cfRule>
  </conditionalFormatting>
  <conditionalFormatting sqref="AD132:AE137">
    <cfRule type="expression" dxfId="456" priority="702">
      <formula>MOD(ROW(),2)=1</formula>
    </cfRule>
  </conditionalFormatting>
  <conditionalFormatting sqref="AD132:AD137">
    <cfRule type="expression" dxfId="455" priority="701">
      <formula>MOD(ROW(),2)=1</formula>
    </cfRule>
  </conditionalFormatting>
  <conditionalFormatting sqref="AE132:AE137">
    <cfRule type="expression" dxfId="454" priority="700">
      <formula>MOD(ROW(),2)=1</formula>
    </cfRule>
  </conditionalFormatting>
  <conditionalFormatting sqref="AD138:AD139">
    <cfRule type="expression" dxfId="453" priority="699">
      <formula>MOD(ROW(),2)=1</formula>
    </cfRule>
  </conditionalFormatting>
  <conditionalFormatting sqref="AT138:AT139">
    <cfRule type="expression" dxfId="452" priority="697">
      <formula>MOD(ROW(),2)=1</formula>
    </cfRule>
  </conditionalFormatting>
  <conditionalFormatting sqref="BH138">
    <cfRule type="expression" dxfId="451" priority="696">
      <formula>MOD(ROW(),2)=1</formula>
    </cfRule>
  </conditionalFormatting>
  <conditionalFormatting sqref="BH139">
    <cfRule type="expression" dxfId="450" priority="695">
      <formula>MOD(ROW(),2)=1</formula>
    </cfRule>
  </conditionalFormatting>
  <conditionalFormatting sqref="BK138:BK139">
    <cfRule type="expression" dxfId="449" priority="694">
      <formula>MOD(ROW(),2)=1</formula>
    </cfRule>
  </conditionalFormatting>
  <conditionalFormatting sqref="BJ138:BJ139">
    <cfRule type="expression" dxfId="448" priority="692">
      <formula>MOD(ROW(),2)=1</formula>
    </cfRule>
  </conditionalFormatting>
  <conditionalFormatting sqref="BL138:BL139">
    <cfRule type="expression" dxfId="447" priority="691">
      <formula>MOD(ROW(),2)=1</formula>
    </cfRule>
  </conditionalFormatting>
  <conditionalFormatting sqref="BM138:BN138">
    <cfRule type="expression" dxfId="446" priority="690">
      <formula>MOD(ROW(),2)=1</formula>
    </cfRule>
  </conditionalFormatting>
  <conditionalFormatting sqref="BM139:BN139">
    <cfRule type="expression" dxfId="445" priority="689">
      <formula>MOD(ROW(),2)=1</formula>
    </cfRule>
  </conditionalFormatting>
  <conditionalFormatting sqref="BM139:BN139">
    <cfRule type="expression" dxfId="444" priority="688">
      <formula>MOD(ROW(),2)=1</formula>
    </cfRule>
  </conditionalFormatting>
  <conditionalFormatting sqref="Q142:S142">
    <cfRule type="expression" dxfId="443" priority="687">
      <formula>MOD(ROW(),2)=1</formula>
    </cfRule>
  </conditionalFormatting>
  <conditionalFormatting sqref="Q140:S141">
    <cfRule type="expression" dxfId="442" priority="686">
      <formula>MOD(ROW(),2)=1</formula>
    </cfRule>
  </conditionalFormatting>
  <conditionalFormatting sqref="R142">
    <cfRule type="expression" dxfId="441" priority="685">
      <formula>MOD(ROW(),2)=1</formula>
    </cfRule>
  </conditionalFormatting>
  <conditionalFormatting sqref="R140:R141">
    <cfRule type="expression" dxfId="440" priority="684">
      <formula>MOD(ROW(),2)=1</formula>
    </cfRule>
  </conditionalFormatting>
  <conditionalFormatting sqref="BB142">
    <cfRule type="expression" dxfId="439" priority="683">
      <formula>MOD(ROW(),2)=1</formula>
    </cfRule>
  </conditionalFormatting>
  <conditionalFormatting sqref="BB140:BB141">
    <cfRule type="expression" dxfId="438" priority="682">
      <formula>MOD(ROW(),2)=1</formula>
    </cfRule>
  </conditionalFormatting>
  <conditionalFormatting sqref="AX140:AX142">
    <cfRule type="expression" dxfId="437" priority="681">
      <formula>MOD(ROW(),2)=1</formula>
    </cfRule>
  </conditionalFormatting>
  <conditionalFormatting sqref="AW140:AW142">
    <cfRule type="expression" dxfId="436" priority="680">
      <formula>MOD(ROW(),2)=1</formula>
    </cfRule>
  </conditionalFormatting>
  <conditionalFormatting sqref="AW140:AW142">
    <cfRule type="expression" dxfId="435" priority="679">
      <formula>MOD(ROW(),2)=1</formula>
    </cfRule>
  </conditionalFormatting>
  <conditionalFormatting sqref="AW143">
    <cfRule type="expression" dxfId="434" priority="678">
      <formula>MOD(ROW(),2)=1</formula>
    </cfRule>
  </conditionalFormatting>
  <conditionalFormatting sqref="AW143">
    <cfRule type="expression" dxfId="433" priority="677">
      <formula>MOD(ROW(),2)=1</formula>
    </cfRule>
  </conditionalFormatting>
  <conditionalFormatting sqref="BM158:BN158">
    <cfRule type="expression" dxfId="432" priority="609">
      <formula>MOD(ROW(),2)=1</formula>
    </cfRule>
  </conditionalFormatting>
  <conditionalFormatting sqref="BM158:BN158">
    <cfRule type="expression" dxfId="431" priority="608">
      <formula>MOD(ROW(),2)=1</formula>
    </cfRule>
  </conditionalFormatting>
  <conditionalFormatting sqref="BK155:BK156">
    <cfRule type="expression" dxfId="430" priority="607">
      <formula>MOD(ROW(),2)=1</formula>
    </cfRule>
  </conditionalFormatting>
  <conditionalFormatting sqref="BJ155:BJ156">
    <cfRule type="expression" dxfId="429" priority="606">
      <formula>MOD(ROW(),2)=1</formula>
    </cfRule>
  </conditionalFormatting>
  <conditionalFormatting sqref="BL155:BL156">
    <cfRule type="expression" dxfId="428" priority="605">
      <formula>MOD(ROW(),2)=1</formula>
    </cfRule>
  </conditionalFormatting>
  <conditionalFormatting sqref="BM155:BN156">
    <cfRule type="expression" dxfId="427" priority="604">
      <formula>MOD(ROW(),2)=1</formula>
    </cfRule>
  </conditionalFormatting>
  <conditionalFormatting sqref="BK142:BK143">
    <cfRule type="expression" dxfId="426" priority="669">
      <formula>MOD(ROW(),2)=1</formula>
    </cfRule>
  </conditionalFormatting>
  <conditionalFormatting sqref="BI142:BI143">
    <cfRule type="expression" dxfId="425" priority="668">
      <formula>MOD(ROW(),2)=1</formula>
    </cfRule>
  </conditionalFormatting>
  <conditionalFormatting sqref="BJ142:BJ143">
    <cfRule type="expression" dxfId="424" priority="667">
      <formula>MOD(ROW(),2)=1</formula>
    </cfRule>
  </conditionalFormatting>
  <conditionalFormatting sqref="BL142:BL143">
    <cfRule type="expression" dxfId="423" priority="666">
      <formula>MOD(ROW(),2)=1</formula>
    </cfRule>
  </conditionalFormatting>
  <conditionalFormatting sqref="BM142:BN142">
    <cfRule type="expression" dxfId="422" priority="665">
      <formula>MOD(ROW(),2)=1</formula>
    </cfRule>
  </conditionalFormatting>
  <conditionalFormatting sqref="BM143:BN143">
    <cfRule type="expression" dxfId="421" priority="664">
      <formula>MOD(ROW(),2)=1</formula>
    </cfRule>
  </conditionalFormatting>
  <conditionalFormatting sqref="BM143:BN143">
    <cfRule type="expression" dxfId="420" priority="663">
      <formula>MOD(ROW(),2)=1</formula>
    </cfRule>
  </conditionalFormatting>
  <conditionalFormatting sqref="BK140:BK141">
    <cfRule type="expression" dxfId="419" priority="662">
      <formula>MOD(ROW(),2)=1</formula>
    </cfRule>
  </conditionalFormatting>
  <conditionalFormatting sqref="BI140:BI141">
    <cfRule type="expression" dxfId="418" priority="661">
      <formula>MOD(ROW(),2)=1</formula>
    </cfRule>
  </conditionalFormatting>
  <conditionalFormatting sqref="BJ140:BJ141">
    <cfRule type="expression" dxfId="417" priority="660">
      <formula>MOD(ROW(),2)=1</formula>
    </cfRule>
  </conditionalFormatting>
  <conditionalFormatting sqref="BL140:BL141">
    <cfRule type="expression" dxfId="416" priority="659">
      <formula>MOD(ROW(),2)=1</formula>
    </cfRule>
  </conditionalFormatting>
  <conditionalFormatting sqref="BM140:BN141">
    <cfRule type="expression" dxfId="415" priority="658">
      <formula>MOD(ROW(),2)=1</formula>
    </cfRule>
  </conditionalFormatting>
  <conditionalFormatting sqref="BK147:BK148">
    <cfRule type="expression" dxfId="414" priority="657">
      <formula>MOD(ROW(),2)=1</formula>
    </cfRule>
  </conditionalFormatting>
  <conditionalFormatting sqref="BI147:BI148">
    <cfRule type="expression" dxfId="413" priority="656">
      <formula>MOD(ROW(),2)=1</formula>
    </cfRule>
  </conditionalFormatting>
  <conditionalFormatting sqref="BJ147:BJ148">
    <cfRule type="expression" dxfId="412" priority="655">
      <formula>MOD(ROW(),2)=1</formula>
    </cfRule>
  </conditionalFormatting>
  <conditionalFormatting sqref="BL147:BL148">
    <cfRule type="expression" dxfId="411" priority="654">
      <formula>MOD(ROW(),2)=1</formula>
    </cfRule>
  </conditionalFormatting>
  <conditionalFormatting sqref="BM147:BN147">
    <cfRule type="expression" dxfId="410" priority="653">
      <formula>MOD(ROW(),2)=1</formula>
    </cfRule>
  </conditionalFormatting>
  <conditionalFormatting sqref="BM148:BN148">
    <cfRule type="expression" dxfId="409" priority="652">
      <formula>MOD(ROW(),2)=1</formula>
    </cfRule>
  </conditionalFormatting>
  <conditionalFormatting sqref="BM148:BN148">
    <cfRule type="expression" dxfId="408" priority="651">
      <formula>MOD(ROW(),2)=1</formula>
    </cfRule>
  </conditionalFormatting>
  <conditionalFormatting sqref="BK145:BK146">
    <cfRule type="expression" dxfId="407" priority="650">
      <formula>MOD(ROW(),2)=1</formula>
    </cfRule>
  </conditionalFormatting>
  <conditionalFormatting sqref="BI145:BI146">
    <cfRule type="expression" dxfId="406" priority="649">
      <formula>MOD(ROW(),2)=1</formula>
    </cfRule>
  </conditionalFormatting>
  <conditionalFormatting sqref="BJ145:BJ146">
    <cfRule type="expression" dxfId="405" priority="648">
      <formula>MOD(ROW(),2)=1</formula>
    </cfRule>
  </conditionalFormatting>
  <conditionalFormatting sqref="BL145:BL146">
    <cfRule type="expression" dxfId="404" priority="647">
      <formula>MOD(ROW(),2)=1</formula>
    </cfRule>
  </conditionalFormatting>
  <conditionalFormatting sqref="BM145:BN146">
    <cfRule type="expression" dxfId="403" priority="646">
      <formula>MOD(ROW(),2)=1</formula>
    </cfRule>
  </conditionalFormatting>
  <conditionalFormatting sqref="BK144">
    <cfRule type="expression" dxfId="402" priority="645">
      <formula>MOD(ROW(),2)=1</formula>
    </cfRule>
  </conditionalFormatting>
  <conditionalFormatting sqref="BI144">
    <cfRule type="expression" dxfId="401" priority="644">
      <formula>MOD(ROW(),2)=1</formula>
    </cfRule>
  </conditionalFormatting>
  <conditionalFormatting sqref="BL144">
    <cfRule type="expression" dxfId="400" priority="642">
      <formula>MOD(ROW(),2)=1</formula>
    </cfRule>
  </conditionalFormatting>
  <conditionalFormatting sqref="BM144:BN144">
    <cfRule type="expression" dxfId="399" priority="641">
      <formula>MOD(ROW(),2)=1</formula>
    </cfRule>
  </conditionalFormatting>
  <conditionalFormatting sqref="BH149:BH153">
    <cfRule type="expression" dxfId="398" priority="640">
      <formula>MOD(ROW(),2)=1</formula>
    </cfRule>
  </conditionalFormatting>
  <conditionalFormatting sqref="BH154">
    <cfRule type="expression" dxfId="397" priority="639">
      <formula>MOD(ROW(),2)=1</formula>
    </cfRule>
  </conditionalFormatting>
  <conditionalFormatting sqref="BK153:BK154">
    <cfRule type="expression" dxfId="396" priority="638">
      <formula>MOD(ROW(),2)=1</formula>
    </cfRule>
  </conditionalFormatting>
  <conditionalFormatting sqref="BL150">
    <cfRule type="expression" dxfId="395" priority="623">
      <formula>MOD(ROW(),2)=1</formula>
    </cfRule>
  </conditionalFormatting>
  <conditionalFormatting sqref="BJ153:BJ154">
    <cfRule type="expression" dxfId="394" priority="636">
      <formula>MOD(ROW(),2)=1</formula>
    </cfRule>
  </conditionalFormatting>
  <conditionalFormatting sqref="BL153:BL154">
    <cfRule type="expression" dxfId="393" priority="635">
      <formula>MOD(ROW(),2)=1</formula>
    </cfRule>
  </conditionalFormatting>
  <conditionalFormatting sqref="BM153:BN153">
    <cfRule type="expression" dxfId="392" priority="634">
      <formula>MOD(ROW(),2)=1</formula>
    </cfRule>
  </conditionalFormatting>
  <conditionalFormatting sqref="BM154:BN154">
    <cfRule type="expression" dxfId="391" priority="633">
      <formula>MOD(ROW(),2)=1</formula>
    </cfRule>
  </conditionalFormatting>
  <conditionalFormatting sqref="BJ151:BJ152">
    <cfRule type="expression" dxfId="390" priority="629">
      <formula>MOD(ROW(),2)=1</formula>
    </cfRule>
  </conditionalFormatting>
  <conditionalFormatting sqref="BL151:BL152">
    <cfRule type="expression" dxfId="389" priority="628">
      <formula>MOD(ROW(),2)=1</formula>
    </cfRule>
  </conditionalFormatting>
  <conditionalFormatting sqref="BM151:BN152">
    <cfRule type="expression" dxfId="388" priority="627">
      <formula>MOD(ROW(),2)=1</formula>
    </cfRule>
  </conditionalFormatting>
  <conditionalFormatting sqref="BK150">
    <cfRule type="expression" dxfId="387" priority="626">
      <formula>MOD(ROW(),2)=1</formula>
    </cfRule>
  </conditionalFormatting>
  <conditionalFormatting sqref="BL157:BL158">
    <cfRule type="expression" dxfId="386" priority="611">
      <formula>MOD(ROW(),2)=1</formula>
    </cfRule>
  </conditionalFormatting>
  <conditionalFormatting sqref="BJ150">
    <cfRule type="expression" dxfId="385" priority="624">
      <formula>MOD(ROW(),2)=1</formula>
    </cfRule>
  </conditionalFormatting>
  <conditionalFormatting sqref="BM150:BN150">
    <cfRule type="expression" dxfId="384" priority="622">
      <formula>MOD(ROW(),2)=1</formula>
    </cfRule>
  </conditionalFormatting>
  <conditionalFormatting sqref="BK149">
    <cfRule type="expression" dxfId="383" priority="621">
      <formula>MOD(ROW(),2)=1</formula>
    </cfRule>
  </conditionalFormatting>
  <conditionalFormatting sqref="BJ149">
    <cfRule type="expression" dxfId="382" priority="619">
      <formula>MOD(ROW(),2)=1</formula>
    </cfRule>
  </conditionalFormatting>
  <conditionalFormatting sqref="BL149">
    <cfRule type="expression" dxfId="381" priority="618">
      <formula>MOD(ROW(),2)=1</formula>
    </cfRule>
  </conditionalFormatting>
  <conditionalFormatting sqref="BH158">
    <cfRule type="expression" dxfId="380" priority="614">
      <formula>MOD(ROW(),2)=1</formula>
    </cfRule>
  </conditionalFormatting>
  <conditionalFormatting sqref="BK157:BK158">
    <cfRule type="expression" dxfId="379" priority="613">
      <formula>MOD(ROW(),2)=1</formula>
    </cfRule>
  </conditionalFormatting>
  <conditionalFormatting sqref="BJ157:BJ158">
    <cfRule type="expression" dxfId="378" priority="612">
      <formula>MOD(ROW(),2)=1</formula>
    </cfRule>
  </conditionalFormatting>
  <conditionalFormatting sqref="BM157:BN157">
    <cfRule type="expression" dxfId="377" priority="610">
      <formula>MOD(ROW(),2)=1</formula>
    </cfRule>
  </conditionalFormatting>
  <conditionalFormatting sqref="BG159:BG166">
    <cfRule type="expression" dxfId="376" priority="602">
      <formula>MOD(ROW(),2)=1</formula>
    </cfRule>
  </conditionalFormatting>
  <conditionalFormatting sqref="BK161">
    <cfRule type="expression" dxfId="375" priority="601">
      <formula>MOD(ROW(),2)=1</formula>
    </cfRule>
  </conditionalFormatting>
  <conditionalFormatting sqref="BI161">
    <cfRule type="expression" dxfId="374" priority="600">
      <formula>MOD(ROW(),2)=1</formula>
    </cfRule>
  </conditionalFormatting>
  <conditionalFormatting sqref="BJ161">
    <cfRule type="expression" dxfId="373" priority="599">
      <formula>MOD(ROW(),2)=1</formula>
    </cfRule>
  </conditionalFormatting>
  <conditionalFormatting sqref="BL161">
    <cfRule type="expression" dxfId="372" priority="598">
      <formula>MOD(ROW(),2)=1</formula>
    </cfRule>
  </conditionalFormatting>
  <conditionalFormatting sqref="BM161:BN161">
    <cfRule type="expression" dxfId="371" priority="597">
      <formula>MOD(ROW(),2)=1</formula>
    </cfRule>
  </conditionalFormatting>
  <conditionalFormatting sqref="BK159:BK160">
    <cfRule type="expression" dxfId="370" priority="596">
      <formula>MOD(ROW(),2)=1</formula>
    </cfRule>
  </conditionalFormatting>
  <conditionalFormatting sqref="BI159:BI160">
    <cfRule type="expression" dxfId="369" priority="595">
      <formula>MOD(ROW(),2)=1</formula>
    </cfRule>
  </conditionalFormatting>
  <conditionalFormatting sqref="BJ159:BJ160">
    <cfRule type="expression" dxfId="368" priority="594">
      <formula>MOD(ROW(),2)=1</formula>
    </cfRule>
  </conditionalFormatting>
  <conditionalFormatting sqref="BL159:BL160">
    <cfRule type="expression" dxfId="367" priority="593">
      <formula>MOD(ROW(),2)=1</formula>
    </cfRule>
  </conditionalFormatting>
  <conditionalFormatting sqref="BM159:BN160">
    <cfRule type="expression" dxfId="366" priority="592">
      <formula>MOD(ROW(),2)=1</formula>
    </cfRule>
  </conditionalFormatting>
  <conditionalFormatting sqref="BK164">
    <cfRule type="expression" dxfId="365" priority="591">
      <formula>MOD(ROW(),2)=1</formula>
    </cfRule>
  </conditionalFormatting>
  <conditionalFormatting sqref="BI164">
    <cfRule type="expression" dxfId="364" priority="590">
      <formula>MOD(ROW(),2)=1</formula>
    </cfRule>
  </conditionalFormatting>
  <conditionalFormatting sqref="BJ164">
    <cfRule type="expression" dxfId="363" priority="589">
      <formula>MOD(ROW(),2)=1</formula>
    </cfRule>
  </conditionalFormatting>
  <conditionalFormatting sqref="BL164">
    <cfRule type="expression" dxfId="362" priority="588">
      <formula>MOD(ROW(),2)=1</formula>
    </cfRule>
  </conditionalFormatting>
  <conditionalFormatting sqref="BM164:BN164">
    <cfRule type="expression" dxfId="361" priority="587">
      <formula>MOD(ROW(),2)=1</formula>
    </cfRule>
  </conditionalFormatting>
  <conditionalFormatting sqref="BK162:BK163">
    <cfRule type="expression" dxfId="360" priority="586">
      <formula>MOD(ROW(),2)=1</formula>
    </cfRule>
  </conditionalFormatting>
  <conditionalFormatting sqref="BI162:BI163">
    <cfRule type="expression" dxfId="359" priority="585">
      <formula>MOD(ROW(),2)=1</formula>
    </cfRule>
  </conditionalFormatting>
  <conditionalFormatting sqref="BJ162:BJ163">
    <cfRule type="expression" dxfId="358" priority="584">
      <formula>MOD(ROW(),2)=1</formula>
    </cfRule>
  </conditionalFormatting>
  <conditionalFormatting sqref="BL162:BL163">
    <cfRule type="expression" dxfId="357" priority="583">
      <formula>MOD(ROW(),2)=1</formula>
    </cfRule>
  </conditionalFormatting>
  <conditionalFormatting sqref="BM162:BN163">
    <cfRule type="expression" dxfId="356" priority="582">
      <formula>MOD(ROW(),2)=1</formula>
    </cfRule>
  </conditionalFormatting>
  <conditionalFormatting sqref="BK165:BK166">
    <cfRule type="expression" dxfId="355" priority="581">
      <formula>MOD(ROW(),2)=1</formula>
    </cfRule>
  </conditionalFormatting>
  <conditionalFormatting sqref="BI165:BI166">
    <cfRule type="expression" dxfId="354" priority="580">
      <formula>MOD(ROW(),2)=1</formula>
    </cfRule>
  </conditionalFormatting>
  <conditionalFormatting sqref="BJ165:BJ166">
    <cfRule type="expression" dxfId="353" priority="579">
      <formula>MOD(ROW(),2)=1</formula>
    </cfRule>
  </conditionalFormatting>
  <conditionalFormatting sqref="BL165:BL166">
    <cfRule type="expression" dxfId="352" priority="578">
      <formula>MOD(ROW(),2)=1</formula>
    </cfRule>
  </conditionalFormatting>
  <conditionalFormatting sqref="BM165:BN165">
    <cfRule type="expression" dxfId="351" priority="577">
      <formula>MOD(ROW(),2)=1</formula>
    </cfRule>
  </conditionalFormatting>
  <conditionalFormatting sqref="BM166:BN166">
    <cfRule type="expression" dxfId="350" priority="576">
      <formula>MOD(ROW(),2)=1</formula>
    </cfRule>
  </conditionalFormatting>
  <conditionalFormatting sqref="BM166:BN166">
    <cfRule type="expression" dxfId="349" priority="575">
      <formula>MOD(ROW(),2)=1</formula>
    </cfRule>
  </conditionalFormatting>
  <conditionalFormatting sqref="BK169:BK170">
    <cfRule type="expression" dxfId="348" priority="569">
      <formula>MOD(ROW(),2)=1</formula>
    </cfRule>
  </conditionalFormatting>
  <conditionalFormatting sqref="BM167:BN167">
    <cfRule type="expression" dxfId="347" priority="558">
      <formula>MOD(ROW(),2)=1</formula>
    </cfRule>
  </conditionalFormatting>
  <conditionalFormatting sqref="BI168">
    <cfRule type="expression" dxfId="346" priority="553">
      <formula>MOD(ROW(),2)=1</formula>
    </cfRule>
  </conditionalFormatting>
  <conditionalFormatting sqref="BK171">
    <cfRule type="expression" dxfId="345" priority="573">
      <formula>MOD(ROW(),2)=1</formula>
    </cfRule>
  </conditionalFormatting>
  <conditionalFormatting sqref="BL168">
    <cfRule type="expression" dxfId="344" priority="563">
      <formula>MOD(ROW(),2)=1</formula>
    </cfRule>
  </conditionalFormatting>
  <conditionalFormatting sqref="BJ171">
    <cfRule type="expression" dxfId="343" priority="572">
      <formula>MOD(ROW(),2)=1</formula>
    </cfRule>
  </conditionalFormatting>
  <conditionalFormatting sqref="BL171">
    <cfRule type="expression" dxfId="342" priority="571">
      <formula>MOD(ROW(),2)=1</formula>
    </cfRule>
  </conditionalFormatting>
  <conditionalFormatting sqref="BM171:BN171">
    <cfRule type="expression" dxfId="341" priority="570">
      <formula>MOD(ROW(),2)=1</formula>
    </cfRule>
  </conditionalFormatting>
  <conditionalFormatting sqref="BJ169:BJ170">
    <cfRule type="expression" dxfId="340" priority="568">
      <formula>MOD(ROW(),2)=1</formula>
    </cfRule>
  </conditionalFormatting>
  <conditionalFormatting sqref="BL169:BL170">
    <cfRule type="expression" dxfId="339" priority="567">
      <formula>MOD(ROW(),2)=1</formula>
    </cfRule>
  </conditionalFormatting>
  <conditionalFormatting sqref="BM169:BN170">
    <cfRule type="expression" dxfId="338" priority="566">
      <formula>MOD(ROW(),2)=1</formula>
    </cfRule>
  </conditionalFormatting>
  <conditionalFormatting sqref="BK168">
    <cfRule type="expression" dxfId="337" priority="565">
      <formula>MOD(ROW(),2)=1</formula>
    </cfRule>
  </conditionalFormatting>
  <conditionalFormatting sqref="BJ168">
    <cfRule type="expression" dxfId="336" priority="564">
      <formula>MOD(ROW(),2)=1</formula>
    </cfRule>
  </conditionalFormatting>
  <conditionalFormatting sqref="BM168:BN168">
    <cfRule type="expression" dxfId="335" priority="562">
      <formula>MOD(ROW(),2)=1</formula>
    </cfRule>
  </conditionalFormatting>
  <conditionalFormatting sqref="BK167">
    <cfRule type="expression" dxfId="334" priority="561">
      <formula>MOD(ROW(),2)=1</formula>
    </cfRule>
  </conditionalFormatting>
  <conditionalFormatting sqref="BJ167">
    <cfRule type="expression" dxfId="333" priority="560">
      <formula>MOD(ROW(),2)=1</formula>
    </cfRule>
  </conditionalFormatting>
  <conditionalFormatting sqref="BL167">
    <cfRule type="expression" dxfId="332" priority="559">
      <formula>MOD(ROW(),2)=1</formula>
    </cfRule>
  </conditionalFormatting>
  <conditionalFormatting sqref="BH167:BH171">
    <cfRule type="expression" dxfId="331" priority="556">
      <formula>MOD(ROW(),2)=1</formula>
    </cfRule>
  </conditionalFormatting>
  <conditionalFormatting sqref="BI171">
    <cfRule type="expression" dxfId="330" priority="555">
      <formula>MOD(ROW(),2)=1</formula>
    </cfRule>
  </conditionalFormatting>
  <conditionalFormatting sqref="BI169:BI170">
    <cfRule type="expression" dxfId="329" priority="554">
      <formula>MOD(ROW(),2)=1</formula>
    </cfRule>
  </conditionalFormatting>
  <conditionalFormatting sqref="BI167">
    <cfRule type="expression" dxfId="328" priority="552">
      <formula>MOD(ROW(),2)=1</formula>
    </cfRule>
  </conditionalFormatting>
  <conditionalFormatting sqref="AT193:AT204">
    <cfRule type="expression" dxfId="327" priority="551">
      <formula>MOD(ROW(),2)=1</formula>
    </cfRule>
  </conditionalFormatting>
  <conditionalFormatting sqref="AT211:AT222">
    <cfRule type="expression" dxfId="326" priority="550">
      <formula>MOD(ROW(),2)=1</formula>
    </cfRule>
  </conditionalFormatting>
  <conditionalFormatting sqref="AT226:AT228">
    <cfRule type="expression" dxfId="325" priority="549">
      <formula>MOD(ROW(),2)=1</formula>
    </cfRule>
  </conditionalFormatting>
  <conditionalFormatting sqref="AT229:AT231">
    <cfRule type="expression" dxfId="324" priority="548">
      <formula>MOD(ROW(),2)=1</formula>
    </cfRule>
  </conditionalFormatting>
  <conditionalFormatting sqref="AT232:AT234">
    <cfRule type="expression" dxfId="323" priority="547">
      <formula>MOD(ROW(),2)=1</formula>
    </cfRule>
  </conditionalFormatting>
  <conditionalFormatting sqref="AT235:AT243 AT245:AT246 AT248:AT290">
    <cfRule type="expression" dxfId="322" priority="546">
      <formula>MOD(ROW(),2)=1</formula>
    </cfRule>
  </conditionalFormatting>
  <conditionalFormatting sqref="AT205:AT207">
    <cfRule type="expression" dxfId="321" priority="540">
      <formula>MOD(ROW(),2)=1</formula>
    </cfRule>
  </conditionalFormatting>
  <conditionalFormatting sqref="AT223:AT225">
    <cfRule type="expression" dxfId="320" priority="539">
      <formula>MOD(ROW(),2)=1</formula>
    </cfRule>
  </conditionalFormatting>
  <conditionalFormatting sqref="AT187:AT189">
    <cfRule type="expression" dxfId="319" priority="536">
      <formula>MOD(ROW(),2)=1</formula>
    </cfRule>
  </conditionalFormatting>
  <conditionalFormatting sqref="BI277">
    <cfRule type="expression" dxfId="318" priority="531">
      <formula>MOD(ROW(),2)=1</formula>
    </cfRule>
  </conditionalFormatting>
  <conditionalFormatting sqref="BL172:BL237">
    <cfRule type="expression" dxfId="317" priority="533">
      <formula>MOD(ROW(),2)=1</formula>
    </cfRule>
  </conditionalFormatting>
  <conditionalFormatting sqref="BK172:BK237">
    <cfRule type="expression" dxfId="316" priority="535">
      <formula>MOD(ROW(),2)=1</formula>
    </cfRule>
  </conditionalFormatting>
  <conditionalFormatting sqref="BJ172:BJ237">
    <cfRule type="expression" dxfId="315" priority="534">
      <formula>MOD(ROW(),2)=1</formula>
    </cfRule>
  </conditionalFormatting>
  <conditionalFormatting sqref="BM172:BN237">
    <cfRule type="expression" dxfId="314" priority="532">
      <formula>MOD(ROW(),2)=1</formula>
    </cfRule>
  </conditionalFormatting>
  <conditionalFormatting sqref="BH296:BH300">
    <cfRule type="expression" dxfId="313" priority="530">
      <formula>MOD(ROW(),2)=1</formula>
    </cfRule>
  </conditionalFormatting>
  <conditionalFormatting sqref="BH291:BH293">
    <cfRule type="expression" dxfId="312" priority="529">
      <formula>MOD(ROW(),2)=1</formula>
    </cfRule>
  </conditionalFormatting>
  <conditionalFormatting sqref="BH294:BH295">
    <cfRule type="expression" dxfId="311" priority="528">
      <formula>MOD(ROW(),2)=1</formula>
    </cfRule>
  </conditionalFormatting>
  <conditionalFormatting sqref="BJ291:BJ300">
    <cfRule type="expression" dxfId="310" priority="527">
      <formula>MOD(ROW(),2)=1</formula>
    </cfRule>
  </conditionalFormatting>
  <conditionalFormatting sqref="BL291:BL300">
    <cfRule type="expression" dxfId="309" priority="526">
      <formula>MOD(ROW(),2)=1</formula>
    </cfRule>
  </conditionalFormatting>
  <conditionalFormatting sqref="BM291:BN300">
    <cfRule type="expression" dxfId="308" priority="525">
      <formula>MOD(ROW(),2)=1</formula>
    </cfRule>
  </conditionalFormatting>
  <conditionalFormatting sqref="W9:W300">
    <cfRule type="expression" dxfId="307" priority="368">
      <formula>MOD(ROW(),2)=1</formula>
    </cfRule>
  </conditionalFormatting>
  <conditionalFormatting sqref="T245:T246 T167:T243 T148:T158 T120:T144 T9:T115">
    <cfRule type="expression" dxfId="306" priority="367">
      <formula>MOD(ROW(),2)=1</formula>
    </cfRule>
  </conditionalFormatting>
  <conditionalFormatting sqref="T138">
    <cfRule type="expression" dxfId="305" priority="366">
      <formula>MOD(ROW(),2)=1</formula>
    </cfRule>
  </conditionalFormatting>
  <conditionalFormatting sqref="T142">
    <cfRule type="expression" dxfId="304" priority="365">
      <formula>MOD(ROW(),2)=1</formula>
    </cfRule>
  </conditionalFormatting>
  <conditionalFormatting sqref="T140:T141">
    <cfRule type="expression" dxfId="303" priority="364">
      <formula>MOD(ROW(),2)=1</formula>
    </cfRule>
  </conditionalFormatting>
  <conditionalFormatting sqref="L238:L243 L245:L246 L248:L255">
    <cfRule type="expression" dxfId="302" priority="363">
      <formula>MOD(ROW(),2)=1</formula>
    </cfRule>
  </conditionalFormatting>
  <conditionalFormatting sqref="AG245:AG246 AG248:AG255 AG277 AG291:AG300 AG126:AG243">
    <cfRule type="expression" dxfId="301" priority="362">
      <formula>MOD(ROW(),2)=1</formula>
    </cfRule>
  </conditionalFormatting>
  <conditionalFormatting sqref="AH245:AI246 AH248:AI255 AH277:AI277 AH291:AH300 AH126:AI243 AH120:AH125 AI90:AI105">
    <cfRule type="expression" dxfId="300" priority="361">
      <formula>MOD(ROW(),2)=1</formula>
    </cfRule>
  </conditionalFormatting>
  <conditionalFormatting sqref="BD9:BD243 BD245:BD246 BD248:BD300">
    <cfRule type="expression" dxfId="299" priority="360">
      <formula>MOD(ROW(),2)=1</formula>
    </cfRule>
  </conditionalFormatting>
  <conditionalFormatting sqref="M244:S244 G244:K244">
    <cfRule type="expression" dxfId="298" priority="359">
      <formula>MOD(ROW(),2)=1</formula>
    </cfRule>
  </conditionalFormatting>
  <conditionalFormatting sqref="T244">
    <cfRule type="expression" dxfId="297" priority="358">
      <formula>MOD(ROW(),2)=1</formula>
    </cfRule>
  </conditionalFormatting>
  <conditionalFormatting sqref="L244">
    <cfRule type="expression" dxfId="296" priority="357">
      <formula>MOD(ROW(),2)=1</formula>
    </cfRule>
  </conditionalFormatting>
  <conditionalFormatting sqref="M247:S247 G247:K247">
    <cfRule type="expression" dxfId="295" priority="356">
      <formula>MOD(ROW(),2)=1</formula>
    </cfRule>
  </conditionalFormatting>
  <conditionalFormatting sqref="T247">
    <cfRule type="expression" dxfId="294" priority="355">
      <formula>MOD(ROW(),2)=1</formula>
    </cfRule>
  </conditionalFormatting>
  <conditionalFormatting sqref="L247">
    <cfRule type="expression" dxfId="293" priority="354">
      <formula>MOD(ROW(),2)=1</formula>
    </cfRule>
  </conditionalFormatting>
  <conditionalFormatting sqref="AF244">
    <cfRule type="expression" dxfId="292" priority="353">
      <formula>MOD(ROW(),2)=1</formula>
    </cfRule>
  </conditionalFormatting>
  <conditionalFormatting sqref="AG244">
    <cfRule type="expression" dxfId="291" priority="352">
      <formula>MOD(ROW(),2)=1</formula>
    </cfRule>
  </conditionalFormatting>
  <conditionalFormatting sqref="AH244:AI244">
    <cfRule type="expression" dxfId="290" priority="351">
      <formula>MOD(ROW(),2)=1</formula>
    </cfRule>
  </conditionalFormatting>
  <conditionalFormatting sqref="AF247">
    <cfRule type="expression" dxfId="289" priority="350">
      <formula>MOD(ROW(),2)=1</formula>
    </cfRule>
  </conditionalFormatting>
  <conditionalFormatting sqref="AG247">
    <cfRule type="expression" dxfId="288" priority="349">
      <formula>MOD(ROW(),2)=1</formula>
    </cfRule>
  </conditionalFormatting>
  <conditionalFormatting sqref="AH247:AI247">
    <cfRule type="expression" dxfId="287" priority="348">
      <formula>MOD(ROW(),2)=1</formula>
    </cfRule>
  </conditionalFormatting>
  <conditionalFormatting sqref="BE244 AR244:BC244">
    <cfRule type="expression" dxfId="286" priority="347">
      <formula>MOD(ROW(),2)=1</formula>
    </cfRule>
  </conditionalFormatting>
  <conditionalFormatting sqref="AT244">
    <cfRule type="expression" dxfId="285" priority="346">
      <formula>MOD(ROW(),2)=1</formula>
    </cfRule>
  </conditionalFormatting>
  <conditionalFormatting sqref="BD244">
    <cfRule type="expression" dxfId="284" priority="345">
      <formula>MOD(ROW(),2)=1</formula>
    </cfRule>
  </conditionalFormatting>
  <conditionalFormatting sqref="BE247 AR247:BC247">
    <cfRule type="expression" dxfId="283" priority="344">
      <formula>MOD(ROW(),2)=1</formula>
    </cfRule>
  </conditionalFormatting>
  <conditionalFormatting sqref="AT247">
    <cfRule type="expression" dxfId="282" priority="343">
      <formula>MOD(ROW(),2)=1</formula>
    </cfRule>
  </conditionalFormatting>
  <conditionalFormatting sqref="BD247">
    <cfRule type="expression" dxfId="281" priority="342">
      <formula>MOD(ROW(),2)=1</formula>
    </cfRule>
  </conditionalFormatting>
  <conditionalFormatting sqref="BI31:BI41">
    <cfRule type="expression" dxfId="280" priority="341">
      <formula>MOD(ROW(),2)=1</formula>
    </cfRule>
  </conditionalFormatting>
  <conditionalFormatting sqref="BI80:BI105">
    <cfRule type="expression" dxfId="279" priority="340">
      <formula>MOD(ROW(),2)=1</formula>
    </cfRule>
  </conditionalFormatting>
  <conditionalFormatting sqref="BI116:BI139">
    <cfRule type="expression" dxfId="278" priority="339">
      <formula>MOD(ROW(),2)=1</formula>
    </cfRule>
  </conditionalFormatting>
  <conditionalFormatting sqref="BI149:BI158">
    <cfRule type="expression" dxfId="277" priority="338">
      <formula>MOD(ROW(),2)=1</formula>
    </cfRule>
  </conditionalFormatting>
  <conditionalFormatting sqref="BI172:BI237">
    <cfRule type="expression" dxfId="276" priority="337">
      <formula>MOD(ROW(),2)=1</formula>
    </cfRule>
  </conditionalFormatting>
  <conditionalFormatting sqref="BL238:BL255">
    <cfRule type="expression" dxfId="275" priority="334">
      <formula>MOD(ROW(),2)=1</formula>
    </cfRule>
  </conditionalFormatting>
  <conditionalFormatting sqref="BK238:BK255">
    <cfRule type="expression" dxfId="274" priority="336">
      <formula>MOD(ROW(),2)=1</formula>
    </cfRule>
  </conditionalFormatting>
  <conditionalFormatting sqref="BJ238:BJ255">
    <cfRule type="expression" dxfId="273" priority="335">
      <formula>MOD(ROW(),2)=1</formula>
    </cfRule>
  </conditionalFormatting>
  <conditionalFormatting sqref="BM238:BN255">
    <cfRule type="expression" dxfId="272" priority="333">
      <formula>MOD(ROW(),2)=1</formula>
    </cfRule>
  </conditionalFormatting>
  <conditionalFormatting sqref="BI238:BI255">
    <cfRule type="expression" dxfId="271" priority="332">
      <formula>MOD(ROW(),2)=1</formula>
    </cfRule>
  </conditionalFormatting>
  <conditionalFormatting sqref="M256:O276">
    <cfRule type="expression" dxfId="270" priority="331">
      <formula>MOD(ROW(),2)=1</formula>
    </cfRule>
  </conditionalFormatting>
  <conditionalFormatting sqref="L256:L276">
    <cfRule type="expression" dxfId="269" priority="330">
      <formula>MOD(ROW(),2)=1</formula>
    </cfRule>
  </conditionalFormatting>
  <conditionalFormatting sqref="P256:R276">
    <cfRule type="expression" dxfId="268" priority="329">
      <formula>MOD(ROW(),2)=1</formula>
    </cfRule>
  </conditionalFormatting>
  <conditionalFormatting sqref="AG256:AG276">
    <cfRule type="expression" dxfId="267" priority="327">
      <formula>MOD(ROW(),2)=1</formula>
    </cfRule>
  </conditionalFormatting>
  <conditionalFormatting sqref="AH256:AI276">
    <cfRule type="expression" dxfId="266" priority="326">
      <formula>MOD(ROW(),2)=1</formula>
    </cfRule>
  </conditionalFormatting>
  <conditionalFormatting sqref="AF256:AF276">
    <cfRule type="expression" dxfId="265" priority="325">
      <formula>MOD(ROW(),2)=1</formula>
    </cfRule>
  </conditionalFormatting>
  <conditionalFormatting sqref="BL256:BL276">
    <cfRule type="expression" dxfId="264" priority="322">
      <formula>MOD(ROW(),2)=1</formula>
    </cfRule>
  </conditionalFormatting>
  <conditionalFormatting sqref="BK256:BK276">
    <cfRule type="expression" dxfId="263" priority="324">
      <formula>MOD(ROW(),2)=1</formula>
    </cfRule>
  </conditionalFormatting>
  <conditionalFormatting sqref="BJ256:BJ276">
    <cfRule type="expression" dxfId="262" priority="323">
      <formula>MOD(ROW(),2)=1</formula>
    </cfRule>
  </conditionalFormatting>
  <conditionalFormatting sqref="BM256:BN276">
    <cfRule type="expression" dxfId="261" priority="321">
      <formula>MOD(ROW(),2)=1</formula>
    </cfRule>
  </conditionalFormatting>
  <conditionalFormatting sqref="BI256:BI276">
    <cfRule type="expression" dxfId="260" priority="320">
      <formula>MOD(ROW(),2)=1</formula>
    </cfRule>
  </conditionalFormatting>
  <conditionalFormatting sqref="N277:O277">
    <cfRule type="expression" dxfId="259" priority="319">
      <formula>MOD(ROW(),2)=1</formula>
    </cfRule>
  </conditionalFormatting>
  <conditionalFormatting sqref="P277:R277">
    <cfRule type="expression" dxfId="258" priority="318">
      <formula>MOD(ROW(),2)=1</formula>
    </cfRule>
  </conditionalFormatting>
  <conditionalFormatting sqref="G278:M290">
    <cfRule type="expression" dxfId="257" priority="317">
      <formula>MOD(ROW(),2)=1</formula>
    </cfRule>
  </conditionalFormatting>
  <conditionalFormatting sqref="N278:O290">
    <cfRule type="expression" dxfId="256" priority="316">
      <formula>MOD(ROW(),2)=1</formula>
    </cfRule>
  </conditionalFormatting>
  <conditionalFormatting sqref="P278:R290">
    <cfRule type="expression" dxfId="255" priority="315">
      <formula>MOD(ROW(),2)=1</formula>
    </cfRule>
  </conditionalFormatting>
  <conditionalFormatting sqref="AF278:AF290">
    <cfRule type="expression" dxfId="254" priority="314">
      <formula>MOD(ROW(),2)=1</formula>
    </cfRule>
  </conditionalFormatting>
  <conditionalFormatting sqref="AG278:AG290">
    <cfRule type="expression" dxfId="253" priority="313">
      <formula>MOD(ROW(),2)=1</formula>
    </cfRule>
  </conditionalFormatting>
  <conditionalFormatting sqref="AH278:AH290">
    <cfRule type="expression" dxfId="252" priority="312">
      <formula>MOD(ROW(),2)=1</formula>
    </cfRule>
  </conditionalFormatting>
  <conditionalFormatting sqref="AI278:AI290">
    <cfRule type="expression" dxfId="251" priority="311">
      <formula>MOD(ROW(),2)=1</formula>
    </cfRule>
  </conditionalFormatting>
  <conditionalFormatting sqref="BL277">
    <cfRule type="expression" dxfId="250" priority="308">
      <formula>MOD(ROW(),2)=1</formula>
    </cfRule>
  </conditionalFormatting>
  <conditionalFormatting sqref="BK277">
    <cfRule type="expression" dxfId="249" priority="310">
      <formula>MOD(ROW(),2)=1</formula>
    </cfRule>
  </conditionalFormatting>
  <conditionalFormatting sqref="BJ277">
    <cfRule type="expression" dxfId="248" priority="309">
      <formula>MOD(ROW(),2)=1</formula>
    </cfRule>
  </conditionalFormatting>
  <conditionalFormatting sqref="BM277:BN277">
    <cfRule type="expression" dxfId="247" priority="307">
      <formula>MOD(ROW(),2)=1</formula>
    </cfRule>
  </conditionalFormatting>
  <conditionalFormatting sqref="BH278:BI290">
    <cfRule type="expression" dxfId="246" priority="306">
      <formula>MOD(ROW(),2)=1</formula>
    </cfRule>
  </conditionalFormatting>
  <conditionalFormatting sqref="BI278:BI290">
    <cfRule type="expression" dxfId="245" priority="305">
      <formula>MOD(ROW(),2)=1</formula>
    </cfRule>
  </conditionalFormatting>
  <conditionalFormatting sqref="BL278:BL290">
    <cfRule type="expression" dxfId="244" priority="302">
      <formula>MOD(ROW(),2)=1</formula>
    </cfRule>
  </conditionalFormatting>
  <conditionalFormatting sqref="BK278:BK290">
    <cfRule type="expression" dxfId="243" priority="304">
      <formula>MOD(ROW(),2)=1</formula>
    </cfRule>
  </conditionalFormatting>
  <conditionalFormatting sqref="BJ278:BJ290">
    <cfRule type="expression" dxfId="242" priority="303">
      <formula>MOD(ROW(),2)=1</formula>
    </cfRule>
  </conditionalFormatting>
  <conditionalFormatting sqref="BM278:BN290">
    <cfRule type="expression" dxfId="241" priority="301">
      <formula>MOD(ROW(),2)=1</formula>
    </cfRule>
  </conditionalFormatting>
  <conditionalFormatting sqref="R291:R300">
    <cfRule type="expression" dxfId="240" priority="300">
      <formula>MOD(ROW(),2)=1</formula>
    </cfRule>
  </conditionalFormatting>
  <conditionalFormatting sqref="Z106:Z300">
    <cfRule type="expression" dxfId="239" priority="299">
      <formula>MOD(ROW(),2)=1</formula>
    </cfRule>
  </conditionalFormatting>
  <conditionalFormatting sqref="T145">
    <cfRule type="expression" dxfId="238" priority="297">
      <formula>MOD(ROW(),2)=1</formula>
    </cfRule>
  </conditionalFormatting>
  <conditionalFormatting sqref="T146">
    <cfRule type="expression" dxfId="237" priority="296">
      <formula>MOD(ROW(),2)=1</formula>
    </cfRule>
  </conditionalFormatting>
  <conditionalFormatting sqref="T147">
    <cfRule type="expression" dxfId="236" priority="295">
      <formula>MOD(ROW(),2)=1</formula>
    </cfRule>
  </conditionalFormatting>
  <conditionalFormatting sqref="T159:T166">
    <cfRule type="expression" dxfId="235" priority="294">
      <formula>MOD(ROW(),2)=1</formula>
    </cfRule>
  </conditionalFormatting>
  <conditionalFormatting sqref="AG120:AG125">
    <cfRule type="expression" dxfId="234" priority="293">
      <formula>MOD(ROW(),2)=1</formula>
    </cfRule>
  </conditionalFormatting>
  <conditionalFormatting sqref="AI120:AI125">
    <cfRule type="expression" dxfId="233" priority="292">
      <formula>MOD(ROW(),2)=1</formula>
    </cfRule>
  </conditionalFormatting>
  <conditionalFormatting sqref="AG118:AG119">
    <cfRule type="expression" dxfId="232" priority="291">
      <formula>MOD(ROW(),2)=1</formula>
    </cfRule>
  </conditionalFormatting>
  <conditionalFormatting sqref="AH118:AH119">
    <cfRule type="expression" dxfId="231" priority="290">
      <formula>MOD(ROW(),2)=1</formula>
    </cfRule>
  </conditionalFormatting>
  <conditionalFormatting sqref="AG116:AG117">
    <cfRule type="expression" dxfId="230" priority="289">
      <formula>MOD(ROW(),2)=1</formula>
    </cfRule>
  </conditionalFormatting>
  <conditionalFormatting sqref="AH116:AI117">
    <cfRule type="expression" dxfId="229" priority="288">
      <formula>MOD(ROW(),2)=1</formula>
    </cfRule>
  </conditionalFormatting>
  <conditionalFormatting sqref="AI118:AI119">
    <cfRule type="expression" dxfId="228" priority="287">
      <formula>MOD(ROW(),2)=1</formula>
    </cfRule>
  </conditionalFormatting>
  <conditionalFormatting sqref="T116:T117">
    <cfRule type="expression" dxfId="227" priority="286">
      <formula>MOD(ROW(),2)=1</formula>
    </cfRule>
  </conditionalFormatting>
  <conditionalFormatting sqref="S118:S119">
    <cfRule type="expression" dxfId="226" priority="285">
      <formula>MOD(ROW(),2)=1</formula>
    </cfRule>
  </conditionalFormatting>
  <conditionalFormatting sqref="T118:T119">
    <cfRule type="expression" dxfId="225" priority="284">
      <formula>MOD(ROW(),2)=1</formula>
    </cfRule>
  </conditionalFormatting>
  <conditionalFormatting sqref="AA303:AB303">
    <cfRule type="expression" dxfId="224" priority="283">
      <formula>MOD(ROW(),2)=1</formula>
    </cfRule>
  </conditionalFormatting>
  <conditionalFormatting sqref="AG106:AI115">
    <cfRule type="expression" dxfId="223" priority="282">
      <formula>MOD(ROW(),2)=1</formula>
    </cfRule>
  </conditionalFormatting>
  <conditionalFormatting sqref="AA90:AA105">
    <cfRule type="expression" dxfId="222" priority="281">
      <formula>MOD(ROW(),2)=1</formula>
    </cfRule>
  </conditionalFormatting>
  <conditionalFormatting sqref="Z91:Z105">
    <cfRule type="expression" dxfId="221" priority="280">
      <formula>MOD(ROW(),2)=1</formula>
    </cfRule>
  </conditionalFormatting>
  <conditionalFormatting sqref="AG90:AG105">
    <cfRule type="expression" dxfId="220" priority="279">
      <formula>MOD(ROW(),2)=1</formula>
    </cfRule>
  </conditionalFormatting>
  <conditionalFormatting sqref="AH90:AH105">
    <cfRule type="expression" dxfId="219" priority="278">
      <formula>MOD(ROW(),2)=1</formula>
    </cfRule>
  </conditionalFormatting>
  <conditionalFormatting sqref="AA80:AA89">
    <cfRule type="expression" dxfId="218" priority="276">
      <formula>MOD(ROW(),2)=1</formula>
    </cfRule>
  </conditionalFormatting>
  <conditionalFormatting sqref="Z80:Z89">
    <cfRule type="expression" dxfId="217" priority="275">
      <formula>MOD(ROW(),2)=1</formula>
    </cfRule>
  </conditionalFormatting>
  <conditionalFormatting sqref="AI80:AI89">
    <cfRule type="expression" dxfId="216" priority="274">
      <formula>MOD(ROW(),2)=1</formula>
    </cfRule>
  </conditionalFormatting>
  <conditionalFormatting sqref="AG80:AG89">
    <cfRule type="expression" dxfId="215" priority="273">
      <formula>MOD(ROW(),2)=1</formula>
    </cfRule>
  </conditionalFormatting>
  <conditionalFormatting sqref="AH80:AH89">
    <cfRule type="expression" dxfId="214" priority="272">
      <formula>MOD(ROW(),2)=1</formula>
    </cfRule>
  </conditionalFormatting>
  <conditionalFormatting sqref="AB51:AB79">
    <cfRule type="expression" dxfId="213" priority="271">
      <formula>MOD(ROW(),2)=1</formula>
    </cfRule>
  </conditionalFormatting>
  <conditionalFormatting sqref="AH51:AH79">
    <cfRule type="expression" dxfId="212" priority="268">
      <formula>MOD(ROW(),2)=1</formula>
    </cfRule>
  </conditionalFormatting>
  <conditionalFormatting sqref="AI48:AI50">
    <cfRule type="expression" dxfId="211" priority="267">
      <formula>MOD(ROW(),2)=1</formula>
    </cfRule>
  </conditionalFormatting>
  <conditionalFormatting sqref="AG48:AG50">
    <cfRule type="expression" dxfId="210" priority="266">
      <formula>MOD(ROW(),2)=1</formula>
    </cfRule>
  </conditionalFormatting>
  <conditionalFormatting sqref="AH48:AH50">
    <cfRule type="expression" dxfId="209" priority="265">
      <formula>MOD(ROW(),2)=1</formula>
    </cfRule>
  </conditionalFormatting>
  <conditionalFormatting sqref="AA44:AA47">
    <cfRule type="expression" dxfId="208" priority="264">
      <formula>MOD(ROW(),2)=1</formula>
    </cfRule>
  </conditionalFormatting>
  <conditionalFormatting sqref="AG46:AG47">
    <cfRule type="expression" dxfId="207" priority="262">
      <formula>MOD(ROW(),2)=1</formula>
    </cfRule>
  </conditionalFormatting>
  <conditionalFormatting sqref="AH46:AH47">
    <cfRule type="expression" dxfId="206" priority="261">
      <formula>MOD(ROW(),2)=1</formula>
    </cfRule>
  </conditionalFormatting>
  <conditionalFormatting sqref="AI44">
    <cfRule type="expression" dxfId="205" priority="260">
      <formula>MOD(ROW(),2)=1</formula>
    </cfRule>
  </conditionalFormatting>
  <conditionalFormatting sqref="AG44:AG45">
    <cfRule type="expression" dxfId="204" priority="259">
      <formula>MOD(ROW(),2)=1</formula>
    </cfRule>
  </conditionalFormatting>
  <conditionalFormatting sqref="AH44:AH45">
    <cfRule type="expression" dxfId="203" priority="258">
      <formula>MOD(ROW(),2)=1</formula>
    </cfRule>
  </conditionalFormatting>
  <conditionalFormatting sqref="AI45:AI47">
    <cfRule type="expression" dxfId="202" priority="257">
      <formula>MOD(ROW(),2)=1</formula>
    </cfRule>
  </conditionalFormatting>
  <conditionalFormatting sqref="AA42:AA43">
    <cfRule type="expression" dxfId="201" priority="256">
      <formula>MOD(ROW(),2)=1</formula>
    </cfRule>
  </conditionalFormatting>
  <conditionalFormatting sqref="AB42:AB43">
    <cfRule type="expression" dxfId="200" priority="255">
      <formula>MOD(ROW(),2)=1</formula>
    </cfRule>
  </conditionalFormatting>
  <conditionalFormatting sqref="AG42:AG43">
    <cfRule type="expression" dxfId="199" priority="254">
      <formula>MOD(ROW(),2)=1</formula>
    </cfRule>
  </conditionalFormatting>
  <conditionalFormatting sqref="AH42:AH43">
    <cfRule type="expression" dxfId="198" priority="253">
      <formula>MOD(ROW(),2)=1</formula>
    </cfRule>
  </conditionalFormatting>
  <conditionalFormatting sqref="AI42:AI43">
    <cfRule type="expression" dxfId="197" priority="252">
      <formula>MOD(ROW(),2)=1</formula>
    </cfRule>
  </conditionalFormatting>
  <conditionalFormatting sqref="AB21:AB41">
    <cfRule type="expression" dxfId="196" priority="250">
      <formula>MOD(ROW(),2)=1</formula>
    </cfRule>
  </conditionalFormatting>
  <conditionalFormatting sqref="X21:X30">
    <cfRule type="expression" dxfId="195" priority="249">
      <formula>MOD(ROW(),2)=1</formula>
    </cfRule>
  </conditionalFormatting>
  <conditionalFormatting sqref="AA21:AA30">
    <cfRule type="expression" dxfId="194" priority="248">
      <formula>MOD(ROW(),2)=1</formula>
    </cfRule>
  </conditionalFormatting>
  <conditionalFormatting sqref="AG21:AG30">
    <cfRule type="expression" dxfId="193" priority="247">
      <formula>MOD(ROW(),2)=1</formula>
    </cfRule>
  </conditionalFormatting>
  <conditionalFormatting sqref="AI21:AI30">
    <cfRule type="expression" dxfId="192" priority="246">
      <formula>MOD(ROW(),2)=1</formula>
    </cfRule>
  </conditionalFormatting>
  <conditionalFormatting sqref="AA31:AA40">
    <cfRule type="expression" dxfId="191" priority="245">
      <formula>MOD(ROW(),2)=1</formula>
    </cfRule>
  </conditionalFormatting>
  <conditionalFormatting sqref="AA41">
    <cfRule type="expression" dxfId="190" priority="244">
      <formula>MOD(ROW(),2)=1</formula>
    </cfRule>
  </conditionalFormatting>
  <conditionalFormatting sqref="Z21:Z41">
    <cfRule type="expression" dxfId="189" priority="243">
      <formula>MOD(ROW(),2)=1</formula>
    </cfRule>
  </conditionalFormatting>
  <conditionalFormatting sqref="AG31:AG40">
    <cfRule type="expression" dxfId="188" priority="242">
      <formula>MOD(ROW(),2)=1</formula>
    </cfRule>
  </conditionalFormatting>
  <conditionalFormatting sqref="AG41">
    <cfRule type="expression" dxfId="187" priority="241">
      <formula>MOD(ROW(),2)=1</formula>
    </cfRule>
  </conditionalFormatting>
  <conditionalFormatting sqref="AI31:AI40">
    <cfRule type="expression" dxfId="186" priority="240">
      <formula>MOD(ROW(),2)=1</formula>
    </cfRule>
  </conditionalFormatting>
  <conditionalFormatting sqref="AI41">
    <cfRule type="expression" dxfId="185" priority="239">
      <formula>MOD(ROW(),2)=1</formula>
    </cfRule>
  </conditionalFormatting>
  <conditionalFormatting sqref="AH21:AH41">
    <cfRule type="expression" dxfId="184" priority="238">
      <formula>MOD(ROW(),2)=1</formula>
    </cfRule>
  </conditionalFormatting>
  <conditionalFormatting sqref="AA9:AA20">
    <cfRule type="expression" dxfId="183" priority="237">
      <formula>MOD(ROW(),2)=1</formula>
    </cfRule>
  </conditionalFormatting>
  <conditionalFormatting sqref="AG9:AG20">
    <cfRule type="expression" dxfId="182" priority="236">
      <formula>MOD(ROW(),2)=1</formula>
    </cfRule>
  </conditionalFormatting>
  <conditionalFormatting sqref="AH9:AH20">
    <cfRule type="expression" dxfId="181" priority="235">
      <formula>MOD(ROW(),2)=1</formula>
    </cfRule>
  </conditionalFormatting>
  <conditionalFormatting sqref="AI9:AI20">
    <cfRule type="expression" dxfId="180" priority="234">
      <formula>MOD(ROW(),2)=1</formula>
    </cfRule>
  </conditionalFormatting>
  <conditionalFormatting sqref="AI291:AI300">
    <cfRule type="expression" dxfId="179" priority="233">
      <formula>MOD(ROW(),2)=1</formula>
    </cfRule>
  </conditionalFormatting>
  <conditionalFormatting sqref="AA51:AA79">
    <cfRule type="expression" dxfId="178" priority="232">
      <formula>MOD(ROW(),2)=1</formula>
    </cfRule>
  </conditionalFormatting>
  <conditionalFormatting sqref="AG51:AG79">
    <cfRule type="expression" dxfId="177" priority="231">
      <formula>MOD(ROW(),2)=1</formula>
    </cfRule>
  </conditionalFormatting>
  <conditionalFormatting sqref="AI51:AI79">
    <cfRule type="expression" dxfId="176" priority="230">
      <formula>MOD(ROW(),2)=1</formula>
    </cfRule>
  </conditionalFormatting>
  <conditionalFormatting sqref="BP9:BP89">
    <cfRule type="expression" dxfId="175" priority="229">
      <formula>MOD(ROW(),2)=1</formula>
    </cfRule>
  </conditionalFormatting>
  <conditionalFormatting sqref="BP90:BP105">
    <cfRule type="expression" dxfId="174" priority="228">
      <formula>MOD(ROW(),2)=1</formula>
    </cfRule>
  </conditionalFormatting>
  <conditionalFormatting sqref="BP106:BP115">
    <cfRule type="expression" dxfId="173" priority="227">
      <formula>MOD(ROW(),2)=1</formula>
    </cfRule>
  </conditionalFormatting>
  <conditionalFormatting sqref="BP116:BP117">
    <cfRule type="expression" dxfId="172" priority="226">
      <formula>MOD(ROW(),2)=1</formula>
    </cfRule>
  </conditionalFormatting>
  <conditionalFormatting sqref="BP118:BP119">
    <cfRule type="expression" dxfId="171" priority="225">
      <formula>MOD(ROW(),2)=1</formula>
    </cfRule>
  </conditionalFormatting>
  <conditionalFormatting sqref="BP120:BP124">
    <cfRule type="expression" dxfId="170" priority="224">
      <formula>MOD(ROW(),2)=1</formula>
    </cfRule>
  </conditionalFormatting>
  <conditionalFormatting sqref="BP125">
    <cfRule type="expression" dxfId="169" priority="223">
      <formula>MOD(ROW(),2)=1</formula>
    </cfRule>
  </conditionalFormatting>
  <conditionalFormatting sqref="BP126:BP137">
    <cfRule type="expression" dxfId="168" priority="222">
      <formula>MOD(ROW(),2)=1</formula>
    </cfRule>
  </conditionalFormatting>
  <conditionalFormatting sqref="BP138:BP139">
    <cfRule type="expression" dxfId="167" priority="221">
      <formula>MOD(ROW(),2)=1</formula>
    </cfRule>
  </conditionalFormatting>
  <conditionalFormatting sqref="BP155:BP156">
    <cfRule type="expression" dxfId="166" priority="210">
      <formula>MOD(ROW(),2)=1</formula>
    </cfRule>
  </conditionalFormatting>
  <conditionalFormatting sqref="BP142:BP143">
    <cfRule type="expression" dxfId="165" priority="220">
      <formula>MOD(ROW(),2)=1</formula>
    </cfRule>
  </conditionalFormatting>
  <conditionalFormatting sqref="BP140:BP141">
    <cfRule type="expression" dxfId="164" priority="219">
      <formula>MOD(ROW(),2)=1</formula>
    </cfRule>
  </conditionalFormatting>
  <conditionalFormatting sqref="BP147:BP148">
    <cfRule type="expression" dxfId="163" priority="218">
      <formula>MOD(ROW(),2)=1</formula>
    </cfRule>
  </conditionalFormatting>
  <conditionalFormatting sqref="BP145:BP146">
    <cfRule type="expression" dxfId="162" priority="217">
      <formula>MOD(ROW(),2)=1</formula>
    </cfRule>
  </conditionalFormatting>
  <conditionalFormatting sqref="BP144">
    <cfRule type="expression" dxfId="161" priority="216">
      <formula>MOD(ROW(),2)=1</formula>
    </cfRule>
  </conditionalFormatting>
  <conditionalFormatting sqref="BP150">
    <cfRule type="expression" dxfId="160" priority="213">
      <formula>MOD(ROW(),2)=1</formula>
    </cfRule>
  </conditionalFormatting>
  <conditionalFormatting sqref="BP153:BP154">
    <cfRule type="expression" dxfId="159" priority="215">
      <formula>MOD(ROW(),2)=1</formula>
    </cfRule>
  </conditionalFormatting>
  <conditionalFormatting sqref="BP151:BP152">
    <cfRule type="expression" dxfId="158" priority="214">
      <formula>MOD(ROW(),2)=1</formula>
    </cfRule>
  </conditionalFormatting>
  <conditionalFormatting sqref="BP157:BP158">
    <cfRule type="expression" dxfId="157" priority="211">
      <formula>MOD(ROW(),2)=1</formula>
    </cfRule>
  </conditionalFormatting>
  <conditionalFormatting sqref="BP149">
    <cfRule type="expression" dxfId="156" priority="212">
      <formula>MOD(ROW(),2)=1</formula>
    </cfRule>
  </conditionalFormatting>
  <conditionalFormatting sqref="BP161">
    <cfRule type="expression" dxfId="155" priority="209">
      <formula>MOD(ROW(),2)=1</formula>
    </cfRule>
  </conditionalFormatting>
  <conditionalFormatting sqref="BP159:BP160">
    <cfRule type="expression" dxfId="154" priority="208">
      <formula>MOD(ROW(),2)=1</formula>
    </cfRule>
  </conditionalFormatting>
  <conditionalFormatting sqref="BP164">
    <cfRule type="expression" dxfId="153" priority="207">
      <formula>MOD(ROW(),2)=1</formula>
    </cfRule>
  </conditionalFormatting>
  <conditionalFormatting sqref="BP162:BP163">
    <cfRule type="expression" dxfId="152" priority="206">
      <formula>MOD(ROW(),2)=1</formula>
    </cfRule>
  </conditionalFormatting>
  <conditionalFormatting sqref="BP165:BP166">
    <cfRule type="expression" dxfId="151" priority="205">
      <formula>MOD(ROW(),2)=1</formula>
    </cfRule>
  </conditionalFormatting>
  <conditionalFormatting sqref="BP168">
    <cfRule type="expression" dxfId="150" priority="202">
      <formula>MOD(ROW(),2)=1</formula>
    </cfRule>
  </conditionalFormatting>
  <conditionalFormatting sqref="BP171">
    <cfRule type="expression" dxfId="149" priority="204">
      <formula>MOD(ROW(),2)=1</formula>
    </cfRule>
  </conditionalFormatting>
  <conditionalFormatting sqref="BP169:BP170">
    <cfRule type="expression" dxfId="148" priority="203">
      <formula>MOD(ROW(),2)=1</formula>
    </cfRule>
  </conditionalFormatting>
  <conditionalFormatting sqref="BP167">
    <cfRule type="expression" dxfId="147" priority="201">
      <formula>MOD(ROW(),2)=1</formula>
    </cfRule>
  </conditionalFormatting>
  <conditionalFormatting sqref="BP172:BP237">
    <cfRule type="expression" dxfId="146" priority="200">
      <formula>MOD(ROW(),2)=1</formula>
    </cfRule>
  </conditionalFormatting>
  <conditionalFormatting sqref="BP291:BP300">
    <cfRule type="expression" dxfId="145" priority="199">
      <formula>MOD(ROW(),2)=1</formula>
    </cfRule>
  </conditionalFormatting>
  <conditionalFormatting sqref="BP238:BP255">
    <cfRule type="expression" dxfId="144" priority="198">
      <formula>MOD(ROW(),2)=1</formula>
    </cfRule>
  </conditionalFormatting>
  <conditionalFormatting sqref="BP256:BP276">
    <cfRule type="expression" dxfId="143" priority="197">
      <formula>MOD(ROW(),2)=1</formula>
    </cfRule>
  </conditionalFormatting>
  <conditionalFormatting sqref="BP277">
    <cfRule type="expression" dxfId="142" priority="196">
      <formula>MOD(ROW(),2)=1</formula>
    </cfRule>
  </conditionalFormatting>
  <conditionalFormatting sqref="BP278:BP290">
    <cfRule type="expression" dxfId="141" priority="195">
      <formula>MOD(ROW(),2)=1</formula>
    </cfRule>
  </conditionalFormatting>
  <conditionalFormatting sqref="BQ9:BQ89">
    <cfRule type="expression" dxfId="140" priority="194">
      <formula>MOD(ROW(),2)=1</formula>
    </cfRule>
  </conditionalFormatting>
  <conditionalFormatting sqref="BQ90:BQ105">
    <cfRule type="expression" dxfId="139" priority="193">
      <formula>MOD(ROW(),2)=1</formula>
    </cfRule>
  </conditionalFormatting>
  <conditionalFormatting sqref="BQ106:BQ115">
    <cfRule type="expression" dxfId="138" priority="192">
      <formula>MOD(ROW(),2)=1</formula>
    </cfRule>
  </conditionalFormatting>
  <conditionalFormatting sqref="BQ116:BQ117">
    <cfRule type="expression" dxfId="137" priority="191">
      <formula>MOD(ROW(),2)=1</formula>
    </cfRule>
  </conditionalFormatting>
  <conditionalFormatting sqref="BQ118:BQ119">
    <cfRule type="expression" dxfId="136" priority="190">
      <formula>MOD(ROW(),2)=1</formula>
    </cfRule>
  </conditionalFormatting>
  <conditionalFormatting sqref="BQ120:BQ124">
    <cfRule type="expression" dxfId="135" priority="189">
      <formula>MOD(ROW(),2)=1</formula>
    </cfRule>
  </conditionalFormatting>
  <conditionalFormatting sqref="BQ125">
    <cfRule type="expression" dxfId="134" priority="188">
      <formula>MOD(ROW(),2)=1</formula>
    </cfRule>
  </conditionalFormatting>
  <conditionalFormatting sqref="BQ126:BQ137">
    <cfRule type="expression" dxfId="133" priority="187">
      <formula>MOD(ROW(),2)=1</formula>
    </cfRule>
  </conditionalFormatting>
  <conditionalFormatting sqref="BQ138:BQ139">
    <cfRule type="expression" dxfId="132" priority="186">
      <formula>MOD(ROW(),2)=1</formula>
    </cfRule>
  </conditionalFormatting>
  <conditionalFormatting sqref="BQ155:BQ156">
    <cfRule type="expression" dxfId="131" priority="175">
      <formula>MOD(ROW(),2)=1</formula>
    </cfRule>
  </conditionalFormatting>
  <conditionalFormatting sqref="BQ142:BQ143">
    <cfRule type="expression" dxfId="130" priority="185">
      <formula>MOD(ROW(),2)=1</formula>
    </cfRule>
  </conditionalFormatting>
  <conditionalFormatting sqref="BQ140:BQ141">
    <cfRule type="expression" dxfId="129" priority="184">
      <formula>MOD(ROW(),2)=1</formula>
    </cfRule>
  </conditionalFormatting>
  <conditionalFormatting sqref="BQ147:BQ148">
    <cfRule type="expression" dxfId="128" priority="183">
      <formula>MOD(ROW(),2)=1</formula>
    </cfRule>
  </conditionalFormatting>
  <conditionalFormatting sqref="BQ145:BQ146">
    <cfRule type="expression" dxfId="127" priority="182">
      <formula>MOD(ROW(),2)=1</formula>
    </cfRule>
  </conditionalFormatting>
  <conditionalFormatting sqref="BQ144">
    <cfRule type="expression" dxfId="126" priority="181">
      <formula>MOD(ROW(),2)=1</formula>
    </cfRule>
  </conditionalFormatting>
  <conditionalFormatting sqref="BQ150">
    <cfRule type="expression" dxfId="125" priority="178">
      <formula>MOD(ROW(),2)=1</formula>
    </cfRule>
  </conditionalFormatting>
  <conditionalFormatting sqref="BQ153:BQ154">
    <cfRule type="expression" dxfId="124" priority="180">
      <formula>MOD(ROW(),2)=1</formula>
    </cfRule>
  </conditionalFormatting>
  <conditionalFormatting sqref="BQ151:BQ152">
    <cfRule type="expression" dxfId="123" priority="179">
      <formula>MOD(ROW(),2)=1</formula>
    </cfRule>
  </conditionalFormatting>
  <conditionalFormatting sqref="BQ157:BQ158">
    <cfRule type="expression" dxfId="122" priority="176">
      <formula>MOD(ROW(),2)=1</formula>
    </cfRule>
  </conditionalFormatting>
  <conditionalFormatting sqref="BQ149">
    <cfRule type="expression" dxfId="121" priority="177">
      <formula>MOD(ROW(),2)=1</formula>
    </cfRule>
  </conditionalFormatting>
  <conditionalFormatting sqref="BQ161">
    <cfRule type="expression" dxfId="120" priority="174">
      <formula>MOD(ROW(),2)=1</formula>
    </cfRule>
  </conditionalFormatting>
  <conditionalFormatting sqref="BQ159:BQ160">
    <cfRule type="expression" dxfId="119" priority="173">
      <formula>MOD(ROW(),2)=1</formula>
    </cfRule>
  </conditionalFormatting>
  <conditionalFormatting sqref="BQ164">
    <cfRule type="expression" dxfId="118" priority="172">
      <formula>MOD(ROW(),2)=1</formula>
    </cfRule>
  </conditionalFormatting>
  <conditionalFormatting sqref="BQ162:BQ163">
    <cfRule type="expression" dxfId="117" priority="171">
      <formula>MOD(ROW(),2)=1</formula>
    </cfRule>
  </conditionalFormatting>
  <conditionalFormatting sqref="BQ165:BQ166">
    <cfRule type="expression" dxfId="116" priority="170">
      <formula>MOD(ROW(),2)=1</formula>
    </cfRule>
  </conditionalFormatting>
  <conditionalFormatting sqref="BQ168">
    <cfRule type="expression" dxfId="115" priority="167">
      <formula>MOD(ROW(),2)=1</formula>
    </cfRule>
  </conditionalFormatting>
  <conditionalFormatting sqref="BQ171">
    <cfRule type="expression" dxfId="114" priority="169">
      <formula>MOD(ROW(),2)=1</formula>
    </cfRule>
  </conditionalFormatting>
  <conditionalFormatting sqref="BQ169:BQ170">
    <cfRule type="expression" dxfId="113" priority="168">
      <formula>MOD(ROW(),2)=1</formula>
    </cfRule>
  </conditionalFormatting>
  <conditionalFormatting sqref="BQ167">
    <cfRule type="expression" dxfId="112" priority="166">
      <formula>MOD(ROW(),2)=1</formula>
    </cfRule>
  </conditionalFormatting>
  <conditionalFormatting sqref="BQ172:BQ237">
    <cfRule type="expression" dxfId="111" priority="165">
      <formula>MOD(ROW(),2)=1</formula>
    </cfRule>
  </conditionalFormatting>
  <conditionalFormatting sqref="BQ291:BQ300">
    <cfRule type="expression" dxfId="110" priority="164">
      <formula>MOD(ROW(),2)=1</formula>
    </cfRule>
  </conditionalFormatting>
  <conditionalFormatting sqref="BQ238:BQ255">
    <cfRule type="expression" dxfId="109" priority="163">
      <formula>MOD(ROW(),2)=1</formula>
    </cfRule>
  </conditionalFormatting>
  <conditionalFormatting sqref="BQ256:BQ276">
    <cfRule type="expression" dxfId="108" priority="162">
      <formula>MOD(ROW(),2)=1</formula>
    </cfRule>
  </conditionalFormatting>
  <conditionalFormatting sqref="BQ277">
    <cfRule type="expression" dxfId="107" priority="161">
      <formula>MOD(ROW(),2)=1</formula>
    </cfRule>
  </conditionalFormatting>
  <conditionalFormatting sqref="BQ278:BQ290">
    <cfRule type="expression" dxfId="106" priority="160">
      <formula>MOD(ROW(),2)=1</formula>
    </cfRule>
  </conditionalFormatting>
  <conditionalFormatting sqref="BR9:BR89">
    <cfRule type="expression" dxfId="105" priority="159">
      <formula>MOD(ROW(),2)=1</formula>
    </cfRule>
  </conditionalFormatting>
  <conditionalFormatting sqref="BR90:BR105">
    <cfRule type="expression" dxfId="104" priority="158">
      <formula>MOD(ROW(),2)=1</formula>
    </cfRule>
  </conditionalFormatting>
  <conditionalFormatting sqref="BR106:BR115">
    <cfRule type="expression" dxfId="103" priority="157">
      <formula>MOD(ROW(),2)=1</formula>
    </cfRule>
  </conditionalFormatting>
  <conditionalFormatting sqref="BR116:BR117">
    <cfRule type="expression" dxfId="102" priority="156">
      <formula>MOD(ROW(),2)=1</formula>
    </cfRule>
  </conditionalFormatting>
  <conditionalFormatting sqref="BR118:BR119">
    <cfRule type="expression" dxfId="101" priority="155">
      <formula>MOD(ROW(),2)=1</formula>
    </cfRule>
  </conditionalFormatting>
  <conditionalFormatting sqref="BR120:BR124">
    <cfRule type="expression" dxfId="100" priority="154">
      <formula>MOD(ROW(),2)=1</formula>
    </cfRule>
  </conditionalFormatting>
  <conditionalFormatting sqref="BR125">
    <cfRule type="expression" dxfId="99" priority="153">
      <formula>MOD(ROW(),2)=1</formula>
    </cfRule>
  </conditionalFormatting>
  <conditionalFormatting sqref="BR126:BR137">
    <cfRule type="expression" dxfId="98" priority="152">
      <formula>MOD(ROW(),2)=1</formula>
    </cfRule>
  </conditionalFormatting>
  <conditionalFormatting sqref="BR138:BR139">
    <cfRule type="expression" dxfId="97" priority="151">
      <formula>MOD(ROW(),2)=1</formula>
    </cfRule>
  </conditionalFormatting>
  <conditionalFormatting sqref="BR155:BR156">
    <cfRule type="expression" dxfId="96" priority="140">
      <formula>MOD(ROW(),2)=1</formula>
    </cfRule>
  </conditionalFormatting>
  <conditionalFormatting sqref="BR142:BR143">
    <cfRule type="expression" dxfId="95" priority="150">
      <formula>MOD(ROW(),2)=1</formula>
    </cfRule>
  </conditionalFormatting>
  <conditionalFormatting sqref="BR140:BR141">
    <cfRule type="expression" dxfId="94" priority="149">
      <formula>MOD(ROW(),2)=1</formula>
    </cfRule>
  </conditionalFormatting>
  <conditionalFormatting sqref="BR147:BR148">
    <cfRule type="expression" dxfId="93" priority="148">
      <formula>MOD(ROW(),2)=1</formula>
    </cfRule>
  </conditionalFormatting>
  <conditionalFormatting sqref="BR145:BR146">
    <cfRule type="expression" dxfId="92" priority="147">
      <formula>MOD(ROW(),2)=1</formula>
    </cfRule>
  </conditionalFormatting>
  <conditionalFormatting sqref="BR144">
    <cfRule type="expression" dxfId="91" priority="146">
      <formula>MOD(ROW(),2)=1</formula>
    </cfRule>
  </conditionalFormatting>
  <conditionalFormatting sqref="BR150">
    <cfRule type="expression" dxfId="90" priority="143">
      <formula>MOD(ROW(),2)=1</formula>
    </cfRule>
  </conditionalFormatting>
  <conditionalFormatting sqref="BR153:BR154">
    <cfRule type="expression" dxfId="89" priority="145">
      <formula>MOD(ROW(),2)=1</formula>
    </cfRule>
  </conditionalFormatting>
  <conditionalFormatting sqref="BR151:BR152">
    <cfRule type="expression" dxfId="88" priority="144">
      <formula>MOD(ROW(),2)=1</formula>
    </cfRule>
  </conditionalFormatting>
  <conditionalFormatting sqref="BR157:BR158">
    <cfRule type="expression" dxfId="87" priority="141">
      <formula>MOD(ROW(),2)=1</formula>
    </cfRule>
  </conditionalFormatting>
  <conditionalFormatting sqref="BR149">
    <cfRule type="expression" dxfId="86" priority="142">
      <formula>MOD(ROW(),2)=1</formula>
    </cfRule>
  </conditionalFormatting>
  <conditionalFormatting sqref="BR161">
    <cfRule type="expression" dxfId="85" priority="139">
      <formula>MOD(ROW(),2)=1</formula>
    </cfRule>
  </conditionalFormatting>
  <conditionalFormatting sqref="BR159:BR160">
    <cfRule type="expression" dxfId="84" priority="138">
      <formula>MOD(ROW(),2)=1</formula>
    </cfRule>
  </conditionalFormatting>
  <conditionalFormatting sqref="BR164">
    <cfRule type="expression" dxfId="83" priority="137">
      <formula>MOD(ROW(),2)=1</formula>
    </cfRule>
  </conditionalFormatting>
  <conditionalFormatting sqref="BR162:BR163">
    <cfRule type="expression" dxfId="82" priority="136">
      <formula>MOD(ROW(),2)=1</formula>
    </cfRule>
  </conditionalFormatting>
  <conditionalFormatting sqref="BR165:BR166">
    <cfRule type="expression" dxfId="81" priority="135">
      <formula>MOD(ROW(),2)=1</formula>
    </cfRule>
  </conditionalFormatting>
  <conditionalFormatting sqref="BR168">
    <cfRule type="expression" dxfId="80" priority="132">
      <formula>MOD(ROW(),2)=1</formula>
    </cfRule>
  </conditionalFormatting>
  <conditionalFormatting sqref="BR171">
    <cfRule type="expression" dxfId="79" priority="134">
      <formula>MOD(ROW(),2)=1</formula>
    </cfRule>
  </conditionalFormatting>
  <conditionalFormatting sqref="BR169:BR170">
    <cfRule type="expression" dxfId="78" priority="133">
      <formula>MOD(ROW(),2)=1</formula>
    </cfRule>
  </conditionalFormatting>
  <conditionalFormatting sqref="BR167">
    <cfRule type="expression" dxfId="77" priority="131">
      <formula>MOD(ROW(),2)=1</formula>
    </cfRule>
  </conditionalFormatting>
  <conditionalFormatting sqref="BR172:BR237">
    <cfRule type="expression" dxfId="76" priority="130">
      <formula>MOD(ROW(),2)=1</formula>
    </cfRule>
  </conditionalFormatting>
  <conditionalFormatting sqref="BR291:BR300">
    <cfRule type="expression" dxfId="75" priority="129">
      <formula>MOD(ROW(),2)=1</formula>
    </cfRule>
  </conditionalFormatting>
  <conditionalFormatting sqref="BR238:BR255">
    <cfRule type="expression" dxfId="74" priority="128">
      <formula>MOD(ROW(),2)=1</formula>
    </cfRule>
  </conditionalFormatting>
  <conditionalFormatting sqref="BR256:BR276">
    <cfRule type="expression" dxfId="73" priority="127">
      <formula>MOD(ROW(),2)=1</formula>
    </cfRule>
  </conditionalFormatting>
  <conditionalFormatting sqref="BR277">
    <cfRule type="expression" dxfId="72" priority="126">
      <formula>MOD(ROW(),2)=1</formula>
    </cfRule>
  </conditionalFormatting>
  <conditionalFormatting sqref="BR278:BR290">
    <cfRule type="expression" dxfId="71" priority="125">
      <formula>MOD(ROW(),2)=1</formula>
    </cfRule>
  </conditionalFormatting>
  <conditionalFormatting sqref="BS9:BS89">
    <cfRule type="expression" dxfId="70" priority="124">
      <formula>MOD(ROW(),2)=1</formula>
    </cfRule>
  </conditionalFormatting>
  <conditionalFormatting sqref="BS90:BS105">
    <cfRule type="expression" dxfId="69" priority="123">
      <formula>MOD(ROW(),2)=1</formula>
    </cfRule>
  </conditionalFormatting>
  <conditionalFormatting sqref="BS106:BS115">
    <cfRule type="expression" dxfId="68" priority="122">
      <formula>MOD(ROW(),2)=1</formula>
    </cfRule>
  </conditionalFormatting>
  <conditionalFormatting sqref="BS116:BS117">
    <cfRule type="expression" dxfId="67" priority="121">
      <formula>MOD(ROW(),2)=1</formula>
    </cfRule>
  </conditionalFormatting>
  <conditionalFormatting sqref="BS118:BS119">
    <cfRule type="expression" dxfId="66" priority="120">
      <formula>MOD(ROW(),2)=1</formula>
    </cfRule>
  </conditionalFormatting>
  <conditionalFormatting sqref="BS120:BS124">
    <cfRule type="expression" dxfId="65" priority="119">
      <formula>MOD(ROW(),2)=1</formula>
    </cfRule>
  </conditionalFormatting>
  <conditionalFormatting sqref="BS125">
    <cfRule type="expression" dxfId="64" priority="118">
      <formula>MOD(ROW(),2)=1</formula>
    </cfRule>
  </conditionalFormatting>
  <conditionalFormatting sqref="BS126:BS137">
    <cfRule type="expression" dxfId="63" priority="117">
      <formula>MOD(ROW(),2)=1</formula>
    </cfRule>
  </conditionalFormatting>
  <conditionalFormatting sqref="BS138:BS139">
    <cfRule type="expression" dxfId="62" priority="116">
      <formula>MOD(ROW(),2)=1</formula>
    </cfRule>
  </conditionalFormatting>
  <conditionalFormatting sqref="BS155:BS156">
    <cfRule type="expression" dxfId="61" priority="105">
      <formula>MOD(ROW(),2)=1</formula>
    </cfRule>
  </conditionalFormatting>
  <conditionalFormatting sqref="BS142:BS143">
    <cfRule type="expression" dxfId="60" priority="115">
      <formula>MOD(ROW(),2)=1</formula>
    </cfRule>
  </conditionalFormatting>
  <conditionalFormatting sqref="BS140:BS141">
    <cfRule type="expression" dxfId="59" priority="114">
      <formula>MOD(ROW(),2)=1</formula>
    </cfRule>
  </conditionalFormatting>
  <conditionalFormatting sqref="BS147:BS148">
    <cfRule type="expression" dxfId="58" priority="113">
      <formula>MOD(ROW(),2)=1</formula>
    </cfRule>
  </conditionalFormatting>
  <conditionalFormatting sqref="BS145:BS146">
    <cfRule type="expression" dxfId="57" priority="112">
      <formula>MOD(ROW(),2)=1</formula>
    </cfRule>
  </conditionalFormatting>
  <conditionalFormatting sqref="BS144">
    <cfRule type="expression" dxfId="56" priority="111">
      <formula>MOD(ROW(),2)=1</formula>
    </cfRule>
  </conditionalFormatting>
  <conditionalFormatting sqref="BS150">
    <cfRule type="expression" dxfId="55" priority="108">
      <formula>MOD(ROW(),2)=1</formula>
    </cfRule>
  </conditionalFormatting>
  <conditionalFormatting sqref="BS153:BS154">
    <cfRule type="expression" dxfId="54" priority="110">
      <formula>MOD(ROW(),2)=1</formula>
    </cfRule>
  </conditionalFormatting>
  <conditionalFormatting sqref="BS151:BS152">
    <cfRule type="expression" dxfId="53" priority="109">
      <formula>MOD(ROW(),2)=1</formula>
    </cfRule>
  </conditionalFormatting>
  <conditionalFormatting sqref="BS157:BS158">
    <cfRule type="expression" dxfId="52" priority="106">
      <formula>MOD(ROW(),2)=1</formula>
    </cfRule>
  </conditionalFormatting>
  <conditionalFormatting sqref="BS149">
    <cfRule type="expression" dxfId="51" priority="107">
      <formula>MOD(ROW(),2)=1</formula>
    </cfRule>
  </conditionalFormatting>
  <conditionalFormatting sqref="BS161">
    <cfRule type="expression" dxfId="50" priority="104">
      <formula>MOD(ROW(),2)=1</formula>
    </cfRule>
  </conditionalFormatting>
  <conditionalFormatting sqref="BS159:BS160">
    <cfRule type="expression" dxfId="49" priority="103">
      <formula>MOD(ROW(),2)=1</formula>
    </cfRule>
  </conditionalFormatting>
  <conditionalFormatting sqref="BS164">
    <cfRule type="expression" dxfId="48" priority="102">
      <formula>MOD(ROW(),2)=1</formula>
    </cfRule>
  </conditionalFormatting>
  <conditionalFormatting sqref="BS162:BS163">
    <cfRule type="expression" dxfId="47" priority="101">
      <formula>MOD(ROW(),2)=1</formula>
    </cfRule>
  </conditionalFormatting>
  <conditionalFormatting sqref="BS165:BS166">
    <cfRule type="expression" dxfId="46" priority="100">
      <formula>MOD(ROW(),2)=1</formula>
    </cfRule>
  </conditionalFormatting>
  <conditionalFormatting sqref="BS168">
    <cfRule type="expression" dxfId="45" priority="97">
      <formula>MOD(ROW(),2)=1</formula>
    </cfRule>
  </conditionalFormatting>
  <conditionalFormatting sqref="BS171">
    <cfRule type="expression" dxfId="44" priority="99">
      <formula>MOD(ROW(),2)=1</formula>
    </cfRule>
  </conditionalFormatting>
  <conditionalFormatting sqref="BS169:BS170">
    <cfRule type="expression" dxfId="43" priority="98">
      <formula>MOD(ROW(),2)=1</formula>
    </cfRule>
  </conditionalFormatting>
  <conditionalFormatting sqref="BS167">
    <cfRule type="expression" dxfId="42" priority="96">
      <formula>MOD(ROW(),2)=1</formula>
    </cfRule>
  </conditionalFormatting>
  <conditionalFormatting sqref="BS172:BS237">
    <cfRule type="expression" dxfId="41" priority="95">
      <formula>MOD(ROW(),2)=1</formula>
    </cfRule>
  </conditionalFormatting>
  <conditionalFormatting sqref="BS291:BS300">
    <cfRule type="expression" dxfId="40" priority="94">
      <formula>MOD(ROW(),2)=1</formula>
    </cfRule>
  </conditionalFormatting>
  <conditionalFormatting sqref="BS238:BS255">
    <cfRule type="expression" dxfId="39" priority="93">
      <formula>MOD(ROW(),2)=1</formula>
    </cfRule>
  </conditionalFormatting>
  <conditionalFormatting sqref="BS256:BS276">
    <cfRule type="expression" dxfId="38" priority="92">
      <formula>MOD(ROW(),2)=1</formula>
    </cfRule>
  </conditionalFormatting>
  <conditionalFormatting sqref="BS277">
    <cfRule type="expression" dxfId="37" priority="91">
      <formula>MOD(ROW(),2)=1</formula>
    </cfRule>
  </conditionalFormatting>
  <conditionalFormatting sqref="BS278:BS290">
    <cfRule type="expression" dxfId="36" priority="90">
      <formula>MOD(ROW(),2)=1</formula>
    </cfRule>
  </conditionalFormatting>
  <conditionalFormatting sqref="BT9:BT89">
    <cfRule type="expression" dxfId="35" priority="89">
      <formula>MOD(ROW(),2)=1</formula>
    </cfRule>
  </conditionalFormatting>
  <conditionalFormatting sqref="BT90:BT105">
    <cfRule type="expression" dxfId="34" priority="88">
      <formula>MOD(ROW(),2)=1</formula>
    </cfRule>
  </conditionalFormatting>
  <conditionalFormatting sqref="BT106:BT115">
    <cfRule type="expression" dxfId="33" priority="87">
      <formula>MOD(ROW(),2)=1</formula>
    </cfRule>
  </conditionalFormatting>
  <conditionalFormatting sqref="BT116:BT117">
    <cfRule type="expression" dxfId="32" priority="86">
      <formula>MOD(ROW(),2)=1</formula>
    </cfRule>
  </conditionalFormatting>
  <conditionalFormatting sqref="BT118:BT119">
    <cfRule type="expression" dxfId="31" priority="85">
      <formula>MOD(ROW(),2)=1</formula>
    </cfRule>
  </conditionalFormatting>
  <conditionalFormatting sqref="BT120:BT124">
    <cfRule type="expression" dxfId="30" priority="84">
      <formula>MOD(ROW(),2)=1</formula>
    </cfRule>
  </conditionalFormatting>
  <conditionalFormatting sqref="BT125">
    <cfRule type="expression" dxfId="29" priority="83">
      <formula>MOD(ROW(),2)=1</formula>
    </cfRule>
  </conditionalFormatting>
  <conditionalFormatting sqref="BT126:BT137">
    <cfRule type="expression" dxfId="28" priority="82">
      <formula>MOD(ROW(),2)=1</formula>
    </cfRule>
  </conditionalFormatting>
  <conditionalFormatting sqref="BT138:BT139">
    <cfRule type="expression" dxfId="27" priority="81">
      <formula>MOD(ROW(),2)=1</formula>
    </cfRule>
  </conditionalFormatting>
  <conditionalFormatting sqref="BT155:BT156">
    <cfRule type="expression" dxfId="26" priority="70">
      <formula>MOD(ROW(),2)=1</formula>
    </cfRule>
  </conditionalFormatting>
  <conditionalFormatting sqref="BT142:BT143">
    <cfRule type="expression" dxfId="25" priority="80">
      <formula>MOD(ROW(),2)=1</formula>
    </cfRule>
  </conditionalFormatting>
  <conditionalFormatting sqref="BT140:BT141">
    <cfRule type="expression" dxfId="24" priority="79">
      <formula>MOD(ROW(),2)=1</formula>
    </cfRule>
  </conditionalFormatting>
  <conditionalFormatting sqref="BT147:BT148">
    <cfRule type="expression" dxfId="23" priority="78">
      <formula>MOD(ROW(),2)=1</formula>
    </cfRule>
  </conditionalFormatting>
  <conditionalFormatting sqref="BT145:BT146">
    <cfRule type="expression" dxfId="22" priority="77">
      <formula>MOD(ROW(),2)=1</formula>
    </cfRule>
  </conditionalFormatting>
  <conditionalFormatting sqref="BT144">
    <cfRule type="expression" dxfId="21" priority="76">
      <formula>MOD(ROW(),2)=1</formula>
    </cfRule>
  </conditionalFormatting>
  <conditionalFormatting sqref="BT150">
    <cfRule type="expression" dxfId="20" priority="73">
      <formula>MOD(ROW(),2)=1</formula>
    </cfRule>
  </conditionalFormatting>
  <conditionalFormatting sqref="BT153:BT154">
    <cfRule type="expression" dxfId="19" priority="75">
      <formula>MOD(ROW(),2)=1</formula>
    </cfRule>
  </conditionalFormatting>
  <conditionalFormatting sqref="BT151:BT152">
    <cfRule type="expression" dxfId="18" priority="74">
      <formula>MOD(ROW(),2)=1</formula>
    </cfRule>
  </conditionalFormatting>
  <conditionalFormatting sqref="BT157:BT158">
    <cfRule type="expression" dxfId="17" priority="71">
      <formula>MOD(ROW(),2)=1</formula>
    </cfRule>
  </conditionalFormatting>
  <conditionalFormatting sqref="BT149">
    <cfRule type="expression" dxfId="16" priority="72">
      <formula>MOD(ROW(),2)=1</formula>
    </cfRule>
  </conditionalFormatting>
  <conditionalFormatting sqref="BT161">
    <cfRule type="expression" dxfId="15" priority="69">
      <formula>MOD(ROW(),2)=1</formula>
    </cfRule>
  </conditionalFormatting>
  <conditionalFormatting sqref="BT159:BT160">
    <cfRule type="expression" dxfId="14" priority="68">
      <formula>MOD(ROW(),2)=1</formula>
    </cfRule>
  </conditionalFormatting>
  <conditionalFormatting sqref="BT164">
    <cfRule type="expression" dxfId="13" priority="67">
      <formula>MOD(ROW(),2)=1</formula>
    </cfRule>
  </conditionalFormatting>
  <conditionalFormatting sqref="BT162:BT163">
    <cfRule type="expression" dxfId="12" priority="66">
      <formula>MOD(ROW(),2)=1</formula>
    </cfRule>
  </conditionalFormatting>
  <conditionalFormatting sqref="BT165:BT166">
    <cfRule type="expression" dxfId="11" priority="65">
      <formula>MOD(ROW(),2)=1</formula>
    </cfRule>
  </conditionalFormatting>
  <conditionalFormatting sqref="BT168">
    <cfRule type="expression" dxfId="10" priority="62">
      <formula>MOD(ROW(),2)=1</formula>
    </cfRule>
  </conditionalFormatting>
  <conditionalFormatting sqref="BT171">
    <cfRule type="expression" dxfId="9" priority="64">
      <formula>MOD(ROW(),2)=1</formula>
    </cfRule>
  </conditionalFormatting>
  <conditionalFormatting sqref="BT169:BT170">
    <cfRule type="expression" dxfId="8" priority="63">
      <formula>MOD(ROW(),2)=1</formula>
    </cfRule>
  </conditionalFormatting>
  <conditionalFormatting sqref="BT167">
    <cfRule type="expression" dxfId="7" priority="61">
      <formula>MOD(ROW(),2)=1</formula>
    </cfRule>
  </conditionalFormatting>
  <conditionalFormatting sqref="BT172:BT237">
    <cfRule type="expression" dxfId="6" priority="60">
      <formula>MOD(ROW(),2)=1</formula>
    </cfRule>
  </conditionalFormatting>
  <conditionalFormatting sqref="BT291:BT300">
    <cfRule type="expression" dxfId="5" priority="59">
      <formula>MOD(ROW(),2)=1</formula>
    </cfRule>
  </conditionalFormatting>
  <conditionalFormatting sqref="BT238:BT255">
    <cfRule type="expression" dxfId="4" priority="58">
      <formula>MOD(ROW(),2)=1</formula>
    </cfRule>
  </conditionalFormatting>
  <conditionalFormatting sqref="BT256:BT276">
    <cfRule type="expression" dxfId="3" priority="57">
      <formula>MOD(ROW(),2)=1</formula>
    </cfRule>
  </conditionalFormatting>
  <conditionalFormatting sqref="BT277">
    <cfRule type="expression" dxfId="2" priority="56">
      <formula>MOD(ROW(),2)=1</formula>
    </cfRule>
  </conditionalFormatting>
  <conditionalFormatting sqref="BT278:BT290">
    <cfRule type="expression" dxfId="1" priority="55">
      <formula>MOD(ROW(),2)=1</formula>
    </cfRule>
  </conditionalFormatting>
  <conditionalFormatting sqref="CC9:CC1996">
    <cfRule type="expression" dxfId="0" priority="54">
      <formula>MOD(ROW(),2)=1</formula>
    </cfRule>
  </conditionalFormatting>
  <pageMargins left="0.7" right="0.7" top="0.75" bottom="0.75" header="0.3" footer="0.3"/>
  <pageSetup orientation="portrait" r:id="rId3"/>
  <drawing r:id="rId4"/>
  <legacyDrawing r:id="rId5"/>
  <extLst>
    <ext xmlns:x14="http://schemas.microsoft.com/office/spreadsheetml/2009/9/main" uri="{CCE6A557-97BC-4b89-ADB6-D9C93CAAB3DF}">
      <x14:dataValidations xmlns:xm="http://schemas.microsoft.com/office/excel/2006/main" count="4">
        <x14:dataValidation type="list" allowBlank="1" showInputMessage="1" showErrorMessage="1" xr:uid="{00000000-0002-0000-0700-000000000000}">
          <x14:formula1>
            <xm:f>Lists!$A$4:$A$20</xm:f>
          </x14:formula1>
          <xm:sqref>B503:B508</xm:sqref>
        </x14:dataValidation>
        <x14:dataValidation type="list" allowBlank="1" showInputMessage="1" showErrorMessage="1" xr:uid="{00000000-0002-0000-0700-000002000000}">
          <x14:formula1>
            <xm:f>Lists!$A$48:$A$49</xm:f>
          </x14:formula1>
          <xm:sqref>D36</xm:sqref>
        </x14:dataValidation>
        <x14:dataValidation type="list" allowBlank="1" showInputMessage="1" showErrorMessage="1" xr:uid="{00000000-0002-0000-0700-000003000000}">
          <x14:formula1>
            <xm:f>Lists!$A$44:$A$45</xm:f>
          </x14:formula1>
          <xm:sqref>F9:F20 F42:F300</xm:sqref>
        </x14:dataValidation>
        <x14:dataValidation type="list" allowBlank="1" showInputMessage="1" showErrorMessage="1" xr:uid="{00000000-0002-0000-0700-000004000000}">
          <x14:formula1>
            <xm:f>Lists!$A$4:$A$39</xm:f>
          </x14:formula1>
          <xm:sqref>B9:B502</xm:sqref>
        </x14:dataValidation>
      </x14:dataValidation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BQ154"/>
  <sheetViews>
    <sheetView topLeftCell="A25" zoomScale="130" zoomScaleNormal="130" workbookViewId="0">
      <selection activeCell="M27" sqref="M27"/>
    </sheetView>
  </sheetViews>
  <sheetFormatPr defaultRowHeight="15" x14ac:dyDescent="0.25"/>
  <cols>
    <col min="1" max="1" width="13.140625" bestFit="1" customWidth="1"/>
    <col min="2" max="2" width="18.85546875" bestFit="1" customWidth="1"/>
    <col min="3" max="3" width="23" bestFit="1" customWidth="1"/>
    <col min="4" max="4" width="16.7109375" bestFit="1" customWidth="1"/>
    <col min="5" max="5" width="21" bestFit="1" customWidth="1"/>
    <col min="6" max="11" width="4" bestFit="1" customWidth="1"/>
    <col min="12" max="12" width="2" bestFit="1" customWidth="1"/>
    <col min="13" max="18" width="4" bestFit="1" customWidth="1"/>
    <col min="19" max="19" width="3" bestFit="1" customWidth="1"/>
    <col min="20" max="20" width="5" bestFit="1" customWidth="1"/>
    <col min="21" max="21" width="8" bestFit="1" customWidth="1"/>
    <col min="22" max="23" width="5" bestFit="1" customWidth="1"/>
    <col min="24" max="24" width="3" bestFit="1" customWidth="1"/>
    <col min="25" max="27" width="5" bestFit="1" customWidth="1"/>
    <col min="28" max="28" width="6" bestFit="1" customWidth="1"/>
    <col min="29" max="29" width="3" bestFit="1" customWidth="1"/>
    <col min="30" max="30" width="8" bestFit="1" customWidth="1"/>
    <col min="31" max="31" width="5" bestFit="1" customWidth="1"/>
    <col min="32" max="32" width="9" bestFit="1" customWidth="1"/>
    <col min="33" max="33" width="7" bestFit="1" customWidth="1"/>
    <col min="34" max="34" width="5" bestFit="1" customWidth="1"/>
    <col min="35" max="36" width="12" bestFit="1" customWidth="1"/>
    <col min="37" max="37" width="8" bestFit="1" customWidth="1"/>
    <col min="38" max="39" width="5" bestFit="1" customWidth="1"/>
    <col min="40" max="41" width="8" bestFit="1" customWidth="1"/>
    <col min="42" max="42" width="7" bestFit="1" customWidth="1"/>
    <col min="43" max="43" width="5" bestFit="1" customWidth="1"/>
    <col min="44" max="44" width="6" bestFit="1" customWidth="1"/>
    <col min="45" max="45" width="5" bestFit="1" customWidth="1"/>
    <col min="46" max="46" width="12" bestFit="1" customWidth="1"/>
    <col min="47" max="47" width="5" bestFit="1" customWidth="1"/>
    <col min="48" max="48" width="11" bestFit="1" customWidth="1"/>
    <col min="49" max="49" width="12" bestFit="1" customWidth="1"/>
    <col min="50" max="54" width="8" bestFit="1" customWidth="1"/>
    <col min="55" max="55" width="5" bestFit="1" customWidth="1"/>
    <col min="56" max="56" width="11" bestFit="1" customWidth="1"/>
    <col min="57" max="57" width="8" bestFit="1" customWidth="1"/>
    <col min="58" max="59" width="5" bestFit="1" customWidth="1"/>
    <col min="60" max="61" width="8" bestFit="1" customWidth="1"/>
    <col min="62" max="62" width="5" bestFit="1" customWidth="1"/>
    <col min="63" max="67" width="8" bestFit="1" customWidth="1"/>
    <col min="68" max="68" width="3" bestFit="1" customWidth="1"/>
    <col min="69" max="69" width="11.28515625" bestFit="1" customWidth="1"/>
  </cols>
  <sheetData>
    <row r="1" spans="1:5" x14ac:dyDescent="0.25">
      <c r="A1" s="380" t="s">
        <v>822</v>
      </c>
      <c r="B1" t="s">
        <v>821</v>
      </c>
      <c r="D1" t="s">
        <v>822</v>
      </c>
      <c r="E1" t="s">
        <v>821</v>
      </c>
    </row>
    <row r="2" spans="1:5" x14ac:dyDescent="0.25">
      <c r="A2" s="382" t="s">
        <v>597</v>
      </c>
      <c r="B2" s="381">
        <v>93</v>
      </c>
      <c r="D2" t="s">
        <v>597</v>
      </c>
      <c r="E2">
        <v>93</v>
      </c>
    </row>
    <row r="3" spans="1:5" x14ac:dyDescent="0.25">
      <c r="A3" s="382" t="s">
        <v>676</v>
      </c>
      <c r="B3" s="381">
        <v>14</v>
      </c>
      <c r="D3" t="s">
        <v>598</v>
      </c>
      <c r="E3">
        <v>130</v>
      </c>
    </row>
    <row r="4" spans="1:5" x14ac:dyDescent="0.25">
      <c r="A4" s="382" t="s">
        <v>598</v>
      </c>
      <c r="B4" s="381">
        <v>130</v>
      </c>
    </row>
    <row r="5" spans="1:5" x14ac:dyDescent="0.25">
      <c r="A5" s="382" t="s">
        <v>677</v>
      </c>
      <c r="B5" s="381">
        <v>2</v>
      </c>
    </row>
    <row r="6" spans="1:5" x14ac:dyDescent="0.25">
      <c r="A6" s="382" t="s">
        <v>820</v>
      </c>
      <c r="B6" s="381">
        <v>239</v>
      </c>
      <c r="D6" t="s">
        <v>820</v>
      </c>
      <c r="E6">
        <v>239</v>
      </c>
    </row>
    <row r="8" spans="1:5" x14ac:dyDescent="0.25">
      <c r="A8" s="380" t="s">
        <v>822</v>
      </c>
      <c r="B8" t="s">
        <v>823</v>
      </c>
      <c r="D8" s="380" t="s">
        <v>822</v>
      </c>
      <c r="E8" s="380" t="s">
        <v>823</v>
      </c>
    </row>
    <row r="9" spans="1:5" x14ac:dyDescent="0.25">
      <c r="A9" s="382" t="s">
        <v>675</v>
      </c>
      <c r="B9" s="381">
        <v>7</v>
      </c>
      <c r="D9" t="s">
        <v>675</v>
      </c>
      <c r="E9">
        <v>7</v>
      </c>
    </row>
    <row r="10" spans="1:5" x14ac:dyDescent="0.25">
      <c r="A10" s="382" t="s">
        <v>759</v>
      </c>
      <c r="B10" s="381">
        <v>10</v>
      </c>
      <c r="D10" t="s">
        <v>941</v>
      </c>
      <c r="E10">
        <v>10</v>
      </c>
    </row>
    <row r="11" spans="1:5" x14ac:dyDescent="0.25">
      <c r="A11" s="382" t="s">
        <v>668</v>
      </c>
      <c r="B11" s="381">
        <v>222</v>
      </c>
      <c r="D11" t="s">
        <v>668</v>
      </c>
      <c r="E11">
        <v>222</v>
      </c>
    </row>
    <row r="12" spans="1:5" x14ac:dyDescent="0.25">
      <c r="A12" s="382" t="s">
        <v>820</v>
      </c>
      <c r="B12" s="381">
        <v>239</v>
      </c>
      <c r="D12" t="s">
        <v>820</v>
      </c>
      <c r="E12">
        <v>239</v>
      </c>
    </row>
    <row r="14" spans="1:5" x14ac:dyDescent="0.25">
      <c r="A14" s="380" t="s">
        <v>822</v>
      </c>
      <c r="B14" t="s">
        <v>824</v>
      </c>
      <c r="D14" s="380" t="s">
        <v>822</v>
      </c>
      <c r="E14" s="380" t="s">
        <v>824</v>
      </c>
    </row>
    <row r="15" spans="1:5" x14ac:dyDescent="0.25">
      <c r="A15" s="382" t="s">
        <v>484</v>
      </c>
      <c r="B15" s="381">
        <v>150</v>
      </c>
      <c r="D15" t="s">
        <v>484</v>
      </c>
      <c r="E15">
        <v>150</v>
      </c>
    </row>
    <row r="16" spans="1:5" x14ac:dyDescent="0.25">
      <c r="A16" s="382" t="s">
        <v>485</v>
      </c>
      <c r="B16" s="381">
        <v>89</v>
      </c>
      <c r="D16" t="s">
        <v>485</v>
      </c>
      <c r="E16">
        <v>89</v>
      </c>
    </row>
    <row r="17" spans="1:5" x14ac:dyDescent="0.25">
      <c r="A17" s="382" t="s">
        <v>820</v>
      </c>
      <c r="B17" s="381">
        <v>239</v>
      </c>
      <c r="D17" t="s">
        <v>820</v>
      </c>
      <c r="E17">
        <v>239</v>
      </c>
    </row>
    <row r="19" spans="1:5" x14ac:dyDescent="0.25">
      <c r="A19" s="380" t="s">
        <v>822</v>
      </c>
      <c r="B19" t="s">
        <v>825</v>
      </c>
      <c r="D19" t="s">
        <v>822</v>
      </c>
      <c r="E19" t="s">
        <v>825</v>
      </c>
    </row>
    <row r="20" spans="1:5" x14ac:dyDescent="0.25">
      <c r="A20" s="383" t="s">
        <v>827</v>
      </c>
      <c r="B20" s="381">
        <v>39</v>
      </c>
      <c r="D20" s="383" t="s">
        <v>922</v>
      </c>
      <c r="E20" s="381">
        <v>39</v>
      </c>
    </row>
    <row r="21" spans="1:5" x14ac:dyDescent="0.25">
      <c r="A21" s="383" t="s">
        <v>828</v>
      </c>
      <c r="B21" s="381">
        <v>69</v>
      </c>
      <c r="D21" s="383" t="s">
        <v>923</v>
      </c>
      <c r="E21" s="381">
        <v>69</v>
      </c>
    </row>
    <row r="22" spans="1:5" x14ac:dyDescent="0.25">
      <c r="A22" s="383" t="s">
        <v>829</v>
      </c>
      <c r="B22" s="381">
        <v>36</v>
      </c>
      <c r="D22" s="383" t="s">
        <v>924</v>
      </c>
      <c r="E22" s="381">
        <v>36</v>
      </c>
    </row>
    <row r="23" spans="1:5" x14ac:dyDescent="0.25">
      <c r="A23" s="383" t="s">
        <v>830</v>
      </c>
      <c r="B23" s="381">
        <v>52</v>
      </c>
      <c r="D23" s="383" t="s">
        <v>925</v>
      </c>
      <c r="E23" s="381">
        <v>52</v>
      </c>
    </row>
    <row r="24" spans="1:5" x14ac:dyDescent="0.25">
      <c r="A24" s="383" t="s">
        <v>831</v>
      </c>
      <c r="B24" s="381">
        <v>8</v>
      </c>
      <c r="D24" s="383" t="s">
        <v>926</v>
      </c>
      <c r="E24" s="381">
        <v>8</v>
      </c>
    </row>
    <row r="25" spans="1:5" x14ac:dyDescent="0.25">
      <c r="A25" s="383" t="s">
        <v>832</v>
      </c>
      <c r="B25" s="381">
        <v>35</v>
      </c>
      <c r="D25" s="383" t="s">
        <v>927</v>
      </c>
      <c r="E25" s="381">
        <v>35</v>
      </c>
    </row>
    <row r="26" spans="1:5" x14ac:dyDescent="0.25">
      <c r="A26" s="383" t="s">
        <v>820</v>
      </c>
      <c r="B26" s="381">
        <v>239</v>
      </c>
      <c r="D26" t="s">
        <v>820</v>
      </c>
      <c r="E26">
        <v>239</v>
      </c>
    </row>
    <row r="32" spans="1:5" x14ac:dyDescent="0.25">
      <c r="D32" t="s">
        <v>822</v>
      </c>
      <c r="E32" t="s">
        <v>826</v>
      </c>
    </row>
    <row r="33" spans="1:5" x14ac:dyDescent="0.25">
      <c r="A33" s="380" t="s">
        <v>822</v>
      </c>
      <c r="B33" t="s">
        <v>826</v>
      </c>
      <c r="D33" t="s">
        <v>922</v>
      </c>
      <c r="E33">
        <v>39</v>
      </c>
    </row>
    <row r="34" spans="1:5" x14ac:dyDescent="0.25">
      <c r="A34" s="383" t="s">
        <v>827</v>
      </c>
      <c r="B34" s="381">
        <v>39</v>
      </c>
      <c r="D34" t="s">
        <v>923</v>
      </c>
      <c r="E34">
        <v>38</v>
      </c>
    </row>
    <row r="35" spans="1:5" x14ac:dyDescent="0.25">
      <c r="A35" s="383" t="s">
        <v>828</v>
      </c>
      <c r="B35" s="381">
        <v>38</v>
      </c>
      <c r="D35" t="s">
        <v>924</v>
      </c>
      <c r="E35">
        <v>76</v>
      </c>
    </row>
    <row r="36" spans="1:5" x14ac:dyDescent="0.25">
      <c r="A36" s="383" t="s">
        <v>829</v>
      </c>
      <c r="B36" s="381">
        <v>76</v>
      </c>
      <c r="D36" t="s">
        <v>925</v>
      </c>
      <c r="E36">
        <v>34</v>
      </c>
    </row>
    <row r="37" spans="1:5" x14ac:dyDescent="0.25">
      <c r="A37" s="383" t="s">
        <v>830</v>
      </c>
      <c r="B37" s="381">
        <v>34</v>
      </c>
      <c r="D37" t="s">
        <v>926</v>
      </c>
      <c r="E37">
        <v>15</v>
      </c>
    </row>
    <row r="38" spans="1:5" x14ac:dyDescent="0.25">
      <c r="A38" s="383" t="s">
        <v>831</v>
      </c>
      <c r="B38" s="381">
        <v>15</v>
      </c>
      <c r="D38" t="s">
        <v>927</v>
      </c>
      <c r="E38">
        <v>20</v>
      </c>
    </row>
    <row r="39" spans="1:5" x14ac:dyDescent="0.25">
      <c r="A39" s="383" t="s">
        <v>832</v>
      </c>
      <c r="B39" s="381">
        <v>20</v>
      </c>
      <c r="D39" t="s">
        <v>928</v>
      </c>
      <c r="E39">
        <v>10</v>
      </c>
    </row>
    <row r="40" spans="1:5" x14ac:dyDescent="0.25">
      <c r="A40" s="383" t="s">
        <v>833</v>
      </c>
      <c r="B40" s="381">
        <v>10</v>
      </c>
      <c r="D40" t="s">
        <v>929</v>
      </c>
      <c r="E40">
        <v>0</v>
      </c>
    </row>
    <row r="41" spans="1:5" x14ac:dyDescent="0.25">
      <c r="A41" s="383" t="s">
        <v>834</v>
      </c>
      <c r="B41" s="381">
        <v>4</v>
      </c>
      <c r="D41" t="s">
        <v>930</v>
      </c>
      <c r="E41">
        <v>4</v>
      </c>
    </row>
    <row r="42" spans="1:5" x14ac:dyDescent="0.25">
      <c r="A42" s="383" t="s">
        <v>835</v>
      </c>
      <c r="B42" s="381">
        <v>3</v>
      </c>
      <c r="D42" t="s">
        <v>931</v>
      </c>
      <c r="E42">
        <v>3</v>
      </c>
    </row>
    <row r="43" spans="1:5" x14ac:dyDescent="0.25">
      <c r="A43" s="383" t="s">
        <v>820</v>
      </c>
      <c r="B43" s="381">
        <v>239</v>
      </c>
      <c r="D43" t="s">
        <v>820</v>
      </c>
      <c r="E43">
        <v>239</v>
      </c>
    </row>
    <row r="45" spans="1:5" x14ac:dyDescent="0.25">
      <c r="A45" s="380" t="s">
        <v>822</v>
      </c>
      <c r="B45" t="s">
        <v>836</v>
      </c>
      <c r="D45" t="s">
        <v>822</v>
      </c>
      <c r="E45" t="s">
        <v>836</v>
      </c>
    </row>
    <row r="46" spans="1:5" x14ac:dyDescent="0.25">
      <c r="A46" s="382" t="s">
        <v>837</v>
      </c>
      <c r="B46" s="381">
        <v>8</v>
      </c>
      <c r="D46" t="s">
        <v>932</v>
      </c>
      <c r="E46">
        <v>8</v>
      </c>
    </row>
    <row r="47" spans="1:5" x14ac:dyDescent="0.25">
      <c r="A47" s="382" t="s">
        <v>838</v>
      </c>
      <c r="B47" s="381">
        <v>122</v>
      </c>
      <c r="D47" t="s">
        <v>933</v>
      </c>
      <c r="E47">
        <v>122</v>
      </c>
    </row>
    <row r="48" spans="1:5" x14ac:dyDescent="0.25">
      <c r="A48" s="382" t="s">
        <v>839</v>
      </c>
      <c r="B48" s="381">
        <v>39</v>
      </c>
      <c r="D48" t="s">
        <v>934</v>
      </c>
      <c r="E48">
        <v>39</v>
      </c>
    </row>
    <row r="49" spans="1:5" x14ac:dyDescent="0.25">
      <c r="A49" s="382" t="s">
        <v>840</v>
      </c>
      <c r="B49" s="381">
        <v>31</v>
      </c>
      <c r="D49" t="s">
        <v>935</v>
      </c>
      <c r="E49">
        <v>31</v>
      </c>
    </row>
    <row r="50" spans="1:5" x14ac:dyDescent="0.25">
      <c r="A50" s="382" t="s">
        <v>841</v>
      </c>
      <c r="B50" s="381">
        <v>17</v>
      </c>
      <c r="D50" t="s">
        <v>936</v>
      </c>
      <c r="E50">
        <v>17</v>
      </c>
    </row>
    <row r="51" spans="1:5" x14ac:dyDescent="0.25">
      <c r="A51" s="382" t="s">
        <v>842</v>
      </c>
      <c r="B51" s="381">
        <v>5</v>
      </c>
      <c r="D51" t="s">
        <v>937</v>
      </c>
      <c r="E51">
        <v>5</v>
      </c>
    </row>
    <row r="52" spans="1:5" x14ac:dyDescent="0.25">
      <c r="A52" s="382" t="s">
        <v>843</v>
      </c>
      <c r="B52" s="381">
        <v>10</v>
      </c>
      <c r="D52" t="s">
        <v>938</v>
      </c>
      <c r="E52">
        <v>10</v>
      </c>
    </row>
    <row r="53" spans="1:5" x14ac:dyDescent="0.25">
      <c r="A53" s="382" t="s">
        <v>844</v>
      </c>
      <c r="B53" s="381">
        <v>4</v>
      </c>
      <c r="D53" t="s">
        <v>939</v>
      </c>
      <c r="E53">
        <v>4</v>
      </c>
    </row>
    <row r="54" spans="1:5" x14ac:dyDescent="0.25">
      <c r="A54" s="382" t="s">
        <v>845</v>
      </c>
      <c r="B54" s="381">
        <v>3</v>
      </c>
      <c r="D54" t="s">
        <v>940</v>
      </c>
      <c r="E54">
        <v>3</v>
      </c>
    </row>
    <row r="55" spans="1:5" x14ac:dyDescent="0.25">
      <c r="A55" s="382" t="s">
        <v>820</v>
      </c>
      <c r="B55" s="381">
        <v>239</v>
      </c>
      <c r="D55" t="s">
        <v>820</v>
      </c>
      <c r="E55">
        <v>239</v>
      </c>
    </row>
    <row r="57" spans="1:5" x14ac:dyDescent="0.25">
      <c r="A57" s="380" t="s">
        <v>822</v>
      </c>
      <c r="B57" t="s">
        <v>846</v>
      </c>
      <c r="D57" t="s">
        <v>822</v>
      </c>
      <c r="E57" t="s">
        <v>846</v>
      </c>
    </row>
    <row r="58" spans="1:5" x14ac:dyDescent="0.25">
      <c r="A58" s="383" t="s">
        <v>847</v>
      </c>
      <c r="B58" s="381">
        <v>4</v>
      </c>
      <c r="D58" t="s">
        <v>847</v>
      </c>
      <c r="E58">
        <v>4</v>
      </c>
    </row>
    <row r="59" spans="1:5" x14ac:dyDescent="0.25">
      <c r="A59" s="383" t="s">
        <v>848</v>
      </c>
      <c r="B59" s="381">
        <v>25</v>
      </c>
      <c r="D59" t="s">
        <v>848</v>
      </c>
      <c r="E59">
        <v>25</v>
      </c>
    </row>
    <row r="60" spans="1:5" x14ac:dyDescent="0.25">
      <c r="A60" s="383" t="s">
        <v>849</v>
      </c>
      <c r="B60" s="381">
        <v>79</v>
      </c>
      <c r="D60" t="s">
        <v>849</v>
      </c>
      <c r="E60">
        <v>79</v>
      </c>
    </row>
    <row r="61" spans="1:5" x14ac:dyDescent="0.25">
      <c r="A61" s="383" t="s">
        <v>850</v>
      </c>
      <c r="B61" s="381">
        <v>131</v>
      </c>
      <c r="D61" t="s">
        <v>850</v>
      </c>
      <c r="E61">
        <v>131</v>
      </c>
    </row>
    <row r="62" spans="1:5" x14ac:dyDescent="0.25">
      <c r="A62" s="383" t="s">
        <v>820</v>
      </c>
      <c r="B62" s="381">
        <v>239</v>
      </c>
      <c r="D62" t="s">
        <v>820</v>
      </c>
      <c r="E62">
        <v>239</v>
      </c>
    </row>
    <row r="64" spans="1:5" x14ac:dyDescent="0.25">
      <c r="A64" s="380" t="s">
        <v>822</v>
      </c>
      <c r="B64" t="s">
        <v>851</v>
      </c>
      <c r="D64" s="380" t="s">
        <v>822</v>
      </c>
      <c r="E64" s="380" t="s">
        <v>851</v>
      </c>
    </row>
    <row r="65" spans="1:5" x14ac:dyDescent="0.25">
      <c r="A65" s="382" t="s">
        <v>857</v>
      </c>
      <c r="B65" s="381">
        <v>13</v>
      </c>
      <c r="D65" t="s">
        <v>857</v>
      </c>
      <c r="E65">
        <v>13</v>
      </c>
    </row>
    <row r="66" spans="1:5" x14ac:dyDescent="0.25">
      <c r="A66" s="382" t="s">
        <v>858</v>
      </c>
      <c r="B66" s="381">
        <v>22</v>
      </c>
      <c r="D66" t="s">
        <v>858</v>
      </c>
      <c r="E66">
        <v>22</v>
      </c>
    </row>
    <row r="67" spans="1:5" x14ac:dyDescent="0.25">
      <c r="A67" s="382" t="s">
        <v>859</v>
      </c>
      <c r="B67" s="381">
        <v>81</v>
      </c>
      <c r="D67" t="s">
        <v>859</v>
      </c>
      <c r="E67">
        <v>81</v>
      </c>
    </row>
    <row r="68" spans="1:5" x14ac:dyDescent="0.25">
      <c r="A68" s="382" t="s">
        <v>860</v>
      </c>
      <c r="B68" s="381">
        <v>66</v>
      </c>
      <c r="D68" t="s">
        <v>860</v>
      </c>
      <c r="E68">
        <v>66</v>
      </c>
    </row>
    <row r="69" spans="1:5" x14ac:dyDescent="0.25">
      <c r="A69" s="382" t="s">
        <v>861</v>
      </c>
      <c r="B69" s="381">
        <v>22</v>
      </c>
      <c r="D69" t="s">
        <v>861</v>
      </c>
      <c r="E69">
        <v>22</v>
      </c>
    </row>
    <row r="70" spans="1:5" x14ac:dyDescent="0.25">
      <c r="A70" s="382" t="s">
        <v>862</v>
      </c>
      <c r="B70" s="381">
        <v>21</v>
      </c>
      <c r="D70" t="s">
        <v>862</v>
      </c>
      <c r="E70">
        <v>21</v>
      </c>
    </row>
    <row r="71" spans="1:5" x14ac:dyDescent="0.25">
      <c r="A71" s="382" t="s">
        <v>863</v>
      </c>
      <c r="B71" s="381">
        <v>3</v>
      </c>
      <c r="D71" t="s">
        <v>863</v>
      </c>
      <c r="E71">
        <v>3</v>
      </c>
    </row>
    <row r="72" spans="1:5" x14ac:dyDescent="0.25">
      <c r="A72" s="382" t="s">
        <v>864</v>
      </c>
      <c r="B72" s="381">
        <v>2</v>
      </c>
      <c r="D72" t="s">
        <v>864</v>
      </c>
      <c r="E72">
        <v>2</v>
      </c>
    </row>
    <row r="73" spans="1:5" x14ac:dyDescent="0.25">
      <c r="A73" s="382" t="s">
        <v>865</v>
      </c>
      <c r="B73" s="381">
        <v>7</v>
      </c>
      <c r="D73" t="s">
        <v>865</v>
      </c>
      <c r="E73">
        <v>7</v>
      </c>
    </row>
    <row r="74" spans="1:5" x14ac:dyDescent="0.25">
      <c r="A74" s="382" t="s">
        <v>866</v>
      </c>
      <c r="B74" s="381">
        <v>2</v>
      </c>
      <c r="D74" t="s">
        <v>866</v>
      </c>
      <c r="E74">
        <v>2</v>
      </c>
    </row>
    <row r="75" spans="1:5" x14ac:dyDescent="0.25">
      <c r="A75" s="382" t="s">
        <v>820</v>
      </c>
      <c r="B75" s="381">
        <v>239</v>
      </c>
      <c r="D75" t="s">
        <v>820</v>
      </c>
      <c r="E75">
        <v>239</v>
      </c>
    </row>
    <row r="77" spans="1:5" x14ac:dyDescent="0.25">
      <c r="A77" s="380" t="s">
        <v>822</v>
      </c>
      <c r="B77" t="s">
        <v>867</v>
      </c>
      <c r="D77" t="s">
        <v>822</v>
      </c>
      <c r="E77" t="s">
        <v>867</v>
      </c>
    </row>
    <row r="78" spans="1:5" x14ac:dyDescent="0.25">
      <c r="A78" s="384" t="s">
        <v>868</v>
      </c>
      <c r="B78" s="381">
        <v>2</v>
      </c>
      <c r="D78" t="s">
        <v>868</v>
      </c>
      <c r="E78">
        <v>2</v>
      </c>
    </row>
    <row r="79" spans="1:5" x14ac:dyDescent="0.25">
      <c r="A79" s="384" t="s">
        <v>852</v>
      </c>
      <c r="B79" s="381">
        <v>40</v>
      </c>
      <c r="D79" t="s">
        <v>852</v>
      </c>
      <c r="E79">
        <v>40</v>
      </c>
    </row>
    <row r="80" spans="1:5" x14ac:dyDescent="0.25">
      <c r="A80" s="384" t="s">
        <v>853</v>
      </c>
      <c r="B80" s="381">
        <v>35</v>
      </c>
      <c r="D80" t="s">
        <v>853</v>
      </c>
      <c r="E80">
        <v>35</v>
      </c>
    </row>
    <row r="81" spans="1:69" x14ac:dyDescent="0.25">
      <c r="A81" s="384" t="s">
        <v>854</v>
      </c>
      <c r="B81" s="381">
        <v>115</v>
      </c>
      <c r="D81" t="s">
        <v>854</v>
      </c>
      <c r="E81">
        <v>115</v>
      </c>
    </row>
    <row r="82" spans="1:69" x14ac:dyDescent="0.25">
      <c r="A82" s="384" t="s">
        <v>855</v>
      </c>
      <c r="B82" s="381">
        <v>46</v>
      </c>
      <c r="D82" t="s">
        <v>855</v>
      </c>
      <c r="E82">
        <v>46</v>
      </c>
    </row>
    <row r="83" spans="1:69" x14ac:dyDescent="0.25">
      <c r="A83" s="384" t="s">
        <v>856</v>
      </c>
      <c r="B83" s="381">
        <v>1</v>
      </c>
      <c r="D83" t="s">
        <v>856</v>
      </c>
      <c r="E83">
        <v>1</v>
      </c>
    </row>
    <row r="84" spans="1:69" x14ac:dyDescent="0.25">
      <c r="A84" s="384" t="s">
        <v>820</v>
      </c>
      <c r="B84" s="381">
        <v>239</v>
      </c>
      <c r="D84" t="s">
        <v>820</v>
      </c>
      <c r="E84">
        <v>239</v>
      </c>
    </row>
    <row r="86" spans="1:69" x14ac:dyDescent="0.25">
      <c r="A86" s="380" t="s">
        <v>822</v>
      </c>
      <c r="B86" t="s">
        <v>877</v>
      </c>
      <c r="D86" t="s">
        <v>822</v>
      </c>
      <c r="E86" t="s">
        <v>877</v>
      </c>
      <c r="F86" s="380"/>
      <c r="G86" s="380"/>
      <c r="H86" s="380"/>
      <c r="I86" s="380"/>
      <c r="J86" s="380"/>
      <c r="K86" s="380"/>
      <c r="L86" s="380"/>
      <c r="M86" s="380"/>
      <c r="N86" s="380"/>
      <c r="O86" s="380"/>
      <c r="P86" s="380"/>
      <c r="Q86" s="380"/>
      <c r="R86" s="380"/>
      <c r="S86" s="380"/>
      <c r="T86" s="380"/>
      <c r="U86" s="380"/>
      <c r="V86" s="380"/>
      <c r="W86" s="380"/>
      <c r="X86" s="380"/>
      <c r="Y86" s="380"/>
      <c r="Z86" s="380"/>
      <c r="AA86" s="380"/>
      <c r="AB86" s="380"/>
      <c r="AC86" s="380"/>
      <c r="AD86" s="380"/>
      <c r="AE86" s="380"/>
      <c r="AF86" s="380"/>
      <c r="AG86" s="380"/>
      <c r="AH86" s="380"/>
      <c r="AI86" s="380"/>
      <c r="AJ86" s="380"/>
      <c r="AK86" s="380"/>
      <c r="AL86" s="380"/>
      <c r="AM86" s="380"/>
      <c r="AN86" s="380"/>
      <c r="AO86" s="380"/>
      <c r="AP86" s="380"/>
      <c r="AQ86" s="380"/>
      <c r="AR86" s="380"/>
      <c r="AS86" s="380"/>
      <c r="AT86" s="380"/>
      <c r="AU86" s="380"/>
      <c r="AV86" s="380"/>
      <c r="AW86" s="380"/>
      <c r="AX86" s="380"/>
      <c r="AY86" s="380"/>
      <c r="AZ86" s="380"/>
      <c r="BA86" s="380"/>
      <c r="BB86" s="380"/>
      <c r="BC86" s="380"/>
      <c r="BD86" s="380"/>
      <c r="BE86" s="380"/>
      <c r="BF86" s="380"/>
      <c r="BG86" s="380"/>
      <c r="BH86" s="380"/>
      <c r="BI86" s="380"/>
      <c r="BJ86" s="380"/>
      <c r="BK86" s="380"/>
      <c r="BL86" s="380"/>
      <c r="BM86" s="380"/>
      <c r="BN86" s="380"/>
      <c r="BO86" s="380"/>
      <c r="BP86" s="380"/>
      <c r="BQ86" s="380"/>
    </row>
    <row r="87" spans="1:69" x14ac:dyDescent="0.25">
      <c r="A87" s="388" t="s">
        <v>878</v>
      </c>
      <c r="B87" s="381">
        <v>11</v>
      </c>
      <c r="D87" t="s">
        <v>878</v>
      </c>
      <c r="E87">
        <v>11</v>
      </c>
    </row>
    <row r="88" spans="1:69" x14ac:dyDescent="0.25">
      <c r="A88" s="388" t="s">
        <v>879</v>
      </c>
      <c r="B88" s="381">
        <v>65</v>
      </c>
      <c r="D88" t="s">
        <v>879</v>
      </c>
      <c r="E88">
        <v>65</v>
      </c>
    </row>
    <row r="89" spans="1:69" x14ac:dyDescent="0.25">
      <c r="A89" s="388" t="s">
        <v>880</v>
      </c>
      <c r="B89" s="381">
        <v>33</v>
      </c>
      <c r="D89" t="s">
        <v>880</v>
      </c>
      <c r="E89">
        <v>33</v>
      </c>
    </row>
    <row r="90" spans="1:69" x14ac:dyDescent="0.25">
      <c r="A90" s="388" t="s">
        <v>881</v>
      </c>
      <c r="B90" s="381">
        <v>39</v>
      </c>
      <c r="D90" t="s">
        <v>881</v>
      </c>
      <c r="E90">
        <v>39</v>
      </c>
    </row>
    <row r="91" spans="1:69" x14ac:dyDescent="0.25">
      <c r="A91" s="388" t="s">
        <v>882</v>
      </c>
      <c r="B91" s="381">
        <v>36</v>
      </c>
      <c r="D91" t="s">
        <v>882</v>
      </c>
      <c r="E91">
        <v>36</v>
      </c>
    </row>
    <row r="92" spans="1:69" x14ac:dyDescent="0.25">
      <c r="A92" s="388" t="s">
        <v>820</v>
      </c>
      <c r="B92" s="381">
        <v>184</v>
      </c>
      <c r="D92" t="s">
        <v>820</v>
      </c>
      <c r="E92">
        <v>184</v>
      </c>
    </row>
    <row r="93" spans="1:69" x14ac:dyDescent="0.25">
      <c r="D93" s="380"/>
      <c r="E93" s="380"/>
      <c r="F93" s="380"/>
      <c r="G93" s="380"/>
      <c r="H93" s="380"/>
      <c r="I93" s="380"/>
      <c r="J93" s="380"/>
      <c r="K93" s="380"/>
      <c r="L93" s="380"/>
      <c r="M93" s="380"/>
      <c r="N93" s="380"/>
      <c r="O93" s="380"/>
      <c r="P93" s="380"/>
      <c r="Q93" s="380"/>
      <c r="R93" s="380"/>
      <c r="S93" s="380"/>
      <c r="T93" s="380"/>
      <c r="U93" s="380"/>
      <c r="V93" s="380"/>
      <c r="W93" s="380"/>
      <c r="X93" s="380"/>
      <c r="Y93" s="380"/>
      <c r="Z93" s="380"/>
      <c r="AA93" s="380"/>
      <c r="AB93" s="380"/>
      <c r="AC93" s="380"/>
      <c r="AD93" s="380"/>
      <c r="AE93" s="380"/>
      <c r="AF93" s="380"/>
      <c r="AG93" s="380"/>
      <c r="AH93" s="380"/>
      <c r="AI93" s="380"/>
      <c r="AJ93" s="380"/>
      <c r="AK93" s="380"/>
      <c r="AL93" s="380"/>
      <c r="AM93" s="380"/>
      <c r="AN93" s="380"/>
      <c r="AO93" s="380"/>
      <c r="AP93" s="380"/>
      <c r="AQ93" s="380"/>
      <c r="AR93" s="380"/>
      <c r="AS93" s="380"/>
      <c r="AT93" s="380"/>
      <c r="AU93" s="380"/>
      <c r="AV93" s="380"/>
      <c r="AW93" s="380"/>
      <c r="AX93" s="380"/>
      <c r="AY93" s="380"/>
      <c r="AZ93" s="380"/>
      <c r="BA93" s="380"/>
      <c r="BB93" s="380"/>
      <c r="BC93" s="380"/>
      <c r="BD93" s="380"/>
      <c r="BE93" s="380"/>
      <c r="BF93" s="380"/>
      <c r="BG93" s="380"/>
      <c r="BH93" s="380"/>
      <c r="BI93" s="380"/>
      <c r="BJ93" s="380"/>
      <c r="BK93" s="380"/>
      <c r="BL93" s="380"/>
      <c r="BM93" s="380"/>
      <c r="BN93" s="380"/>
      <c r="BO93" s="380"/>
      <c r="BP93" s="380"/>
      <c r="BQ93" s="380"/>
    </row>
    <row r="94" spans="1:69" x14ac:dyDescent="0.25">
      <c r="A94" s="380" t="s">
        <v>822</v>
      </c>
      <c r="B94" t="s">
        <v>870</v>
      </c>
      <c r="D94" s="380" t="s">
        <v>822</v>
      </c>
      <c r="E94" s="380" t="s">
        <v>870</v>
      </c>
      <c r="F94" s="380"/>
      <c r="G94" s="380"/>
      <c r="H94" s="380"/>
      <c r="I94" s="380"/>
      <c r="J94" s="380"/>
      <c r="K94" s="380"/>
      <c r="L94" s="380"/>
      <c r="M94" s="380"/>
      <c r="N94" s="380"/>
      <c r="O94" s="380"/>
      <c r="P94" s="380"/>
      <c r="Q94" s="380"/>
      <c r="R94" s="380"/>
      <c r="S94" s="380"/>
      <c r="T94" s="380"/>
      <c r="U94" s="380"/>
      <c r="V94" s="380"/>
      <c r="W94" s="380"/>
      <c r="X94" s="380"/>
      <c r="Y94" s="380"/>
      <c r="Z94" s="380"/>
      <c r="AA94" s="380"/>
      <c r="AB94" s="380"/>
      <c r="AC94" s="380"/>
      <c r="AD94" s="380"/>
      <c r="AE94" s="380"/>
      <c r="AF94" s="380"/>
      <c r="AG94" s="380"/>
      <c r="AH94" s="380"/>
      <c r="AI94" s="380"/>
      <c r="AJ94" s="380"/>
      <c r="AK94" s="380"/>
      <c r="AL94" s="380"/>
      <c r="AM94" s="380"/>
      <c r="AN94" s="380"/>
      <c r="AO94" s="380"/>
      <c r="AP94" s="380"/>
      <c r="AQ94" s="380"/>
      <c r="AR94" s="380"/>
      <c r="AS94" s="380"/>
      <c r="AT94" s="380"/>
      <c r="AU94" s="380"/>
      <c r="AV94" s="380"/>
      <c r="AW94" s="380"/>
      <c r="AX94" s="380"/>
      <c r="AY94" s="380"/>
      <c r="AZ94" s="380"/>
      <c r="BA94" s="380"/>
      <c r="BB94" s="380"/>
      <c r="BC94" s="380"/>
      <c r="BD94" s="380"/>
      <c r="BE94" s="380"/>
      <c r="BF94" s="380"/>
      <c r="BG94" s="380"/>
      <c r="BH94" s="380"/>
      <c r="BI94" s="380"/>
      <c r="BJ94" s="380"/>
      <c r="BK94" s="380"/>
      <c r="BL94" s="380"/>
      <c r="BM94" s="380"/>
      <c r="BN94" s="380"/>
      <c r="BO94" s="380"/>
      <c r="BP94" s="380"/>
      <c r="BQ94" s="380"/>
    </row>
    <row r="95" spans="1:69" x14ac:dyDescent="0.25">
      <c r="A95" s="388" t="s">
        <v>871</v>
      </c>
      <c r="B95" s="381">
        <v>32</v>
      </c>
      <c r="D95" t="s">
        <v>871</v>
      </c>
      <c r="E95">
        <v>32</v>
      </c>
    </row>
    <row r="96" spans="1:69" x14ac:dyDescent="0.25">
      <c r="A96" s="388" t="s">
        <v>872</v>
      </c>
      <c r="B96" s="381">
        <v>87</v>
      </c>
      <c r="D96" t="s">
        <v>872</v>
      </c>
      <c r="E96">
        <v>87</v>
      </c>
    </row>
    <row r="97" spans="1:5" x14ac:dyDescent="0.25">
      <c r="A97" s="388" t="s">
        <v>873</v>
      </c>
      <c r="B97" s="381">
        <v>64</v>
      </c>
      <c r="D97" t="s">
        <v>873</v>
      </c>
      <c r="E97">
        <v>64</v>
      </c>
    </row>
    <row r="98" spans="1:5" x14ac:dyDescent="0.25">
      <c r="A98" s="388" t="s">
        <v>874</v>
      </c>
      <c r="B98" s="381">
        <v>17</v>
      </c>
      <c r="D98" t="s">
        <v>874</v>
      </c>
      <c r="E98">
        <v>17</v>
      </c>
    </row>
    <row r="99" spans="1:5" x14ac:dyDescent="0.25">
      <c r="A99" s="388" t="s">
        <v>875</v>
      </c>
      <c r="B99" s="381">
        <v>2</v>
      </c>
      <c r="D99" t="s">
        <v>875</v>
      </c>
      <c r="E99">
        <v>2</v>
      </c>
    </row>
    <row r="100" spans="1:5" x14ac:dyDescent="0.25">
      <c r="A100" s="388" t="s">
        <v>820</v>
      </c>
      <c r="B100" s="381">
        <v>202</v>
      </c>
      <c r="D100" t="s">
        <v>820</v>
      </c>
      <c r="E100">
        <v>202</v>
      </c>
    </row>
    <row r="102" spans="1:5" x14ac:dyDescent="0.25">
      <c r="A102" s="380" t="s">
        <v>822</v>
      </c>
      <c r="B102" t="s">
        <v>883</v>
      </c>
      <c r="D102" s="380" t="s">
        <v>822</v>
      </c>
      <c r="E102" s="380" t="s">
        <v>883</v>
      </c>
    </row>
    <row r="103" spans="1:5" x14ac:dyDescent="0.25">
      <c r="A103" s="382" t="s">
        <v>884</v>
      </c>
      <c r="B103" s="381">
        <v>52</v>
      </c>
      <c r="D103" t="s">
        <v>884</v>
      </c>
      <c r="E103">
        <v>52</v>
      </c>
    </row>
    <row r="104" spans="1:5" x14ac:dyDescent="0.25">
      <c r="A104" s="382" t="s">
        <v>885</v>
      </c>
      <c r="B104" s="381">
        <v>128</v>
      </c>
      <c r="D104" t="s">
        <v>885</v>
      </c>
      <c r="E104">
        <v>128</v>
      </c>
    </row>
    <row r="105" spans="1:5" x14ac:dyDescent="0.25">
      <c r="A105" s="382" t="s">
        <v>886</v>
      </c>
      <c r="B105" s="381">
        <v>48</v>
      </c>
      <c r="D105" t="s">
        <v>886</v>
      </c>
      <c r="E105">
        <v>48</v>
      </c>
    </row>
    <row r="106" spans="1:5" x14ac:dyDescent="0.25">
      <c r="A106" s="382" t="s">
        <v>887</v>
      </c>
      <c r="B106" s="381">
        <v>6</v>
      </c>
      <c r="D106" t="s">
        <v>887</v>
      </c>
      <c r="E106">
        <v>6</v>
      </c>
    </row>
    <row r="107" spans="1:5" x14ac:dyDescent="0.25">
      <c r="A107" s="382" t="s">
        <v>888</v>
      </c>
      <c r="B107" s="381">
        <v>5</v>
      </c>
      <c r="D107" t="s">
        <v>888</v>
      </c>
      <c r="E107">
        <v>5</v>
      </c>
    </row>
    <row r="108" spans="1:5" x14ac:dyDescent="0.25">
      <c r="A108" s="382" t="s">
        <v>820</v>
      </c>
      <c r="B108" s="381">
        <v>239</v>
      </c>
      <c r="D108" t="s">
        <v>820</v>
      </c>
      <c r="E108">
        <v>239</v>
      </c>
    </row>
    <row r="110" spans="1:5" x14ac:dyDescent="0.25">
      <c r="A110" s="380" t="s">
        <v>822</v>
      </c>
      <c r="B110" t="s">
        <v>889</v>
      </c>
      <c r="D110" s="380" t="s">
        <v>822</v>
      </c>
      <c r="E110" s="380" t="s">
        <v>889</v>
      </c>
    </row>
    <row r="111" spans="1:5" x14ac:dyDescent="0.25">
      <c r="A111" s="382" t="s">
        <v>890</v>
      </c>
      <c r="B111" s="381">
        <v>62</v>
      </c>
      <c r="D111" t="s">
        <v>914</v>
      </c>
      <c r="E111">
        <v>62</v>
      </c>
    </row>
    <row r="112" spans="1:5" x14ac:dyDescent="0.25">
      <c r="A112" s="382" t="s">
        <v>891</v>
      </c>
      <c r="B112" s="381">
        <v>43</v>
      </c>
      <c r="D112" t="s">
        <v>915</v>
      </c>
      <c r="E112">
        <v>43</v>
      </c>
    </row>
    <row r="113" spans="1:5" x14ac:dyDescent="0.25">
      <c r="A113" s="382" t="s">
        <v>892</v>
      </c>
      <c r="B113" s="381">
        <v>25</v>
      </c>
      <c r="D113" t="s">
        <v>916</v>
      </c>
      <c r="E113">
        <v>25</v>
      </c>
    </row>
    <row r="114" spans="1:5" x14ac:dyDescent="0.25">
      <c r="A114" s="382" t="s">
        <v>893</v>
      </c>
      <c r="B114" s="381">
        <v>66</v>
      </c>
      <c r="D114" t="s">
        <v>917</v>
      </c>
      <c r="E114">
        <v>66</v>
      </c>
    </row>
    <row r="115" spans="1:5" x14ac:dyDescent="0.25">
      <c r="A115" s="382" t="s">
        <v>894</v>
      </c>
      <c r="B115" s="381">
        <v>24</v>
      </c>
      <c r="D115" t="s">
        <v>918</v>
      </c>
      <c r="E115">
        <v>24</v>
      </c>
    </row>
    <row r="116" spans="1:5" x14ac:dyDescent="0.25">
      <c r="A116" s="382" t="s">
        <v>895</v>
      </c>
      <c r="B116" s="381">
        <v>6</v>
      </c>
      <c r="D116" t="s">
        <v>919</v>
      </c>
      <c r="E116">
        <v>6</v>
      </c>
    </row>
    <row r="117" spans="1:5" x14ac:dyDescent="0.25">
      <c r="A117" s="382" t="s">
        <v>896</v>
      </c>
      <c r="B117" s="381">
        <v>8</v>
      </c>
      <c r="D117" t="s">
        <v>920</v>
      </c>
      <c r="E117">
        <v>8</v>
      </c>
    </row>
    <row r="118" spans="1:5" x14ac:dyDescent="0.25">
      <c r="A118" s="382" t="s">
        <v>897</v>
      </c>
      <c r="B118" s="381">
        <v>5</v>
      </c>
      <c r="D118" t="s">
        <v>921</v>
      </c>
      <c r="E118">
        <v>5</v>
      </c>
    </row>
    <row r="119" spans="1:5" x14ac:dyDescent="0.25">
      <c r="A119" s="382" t="s">
        <v>820</v>
      </c>
      <c r="B119" s="381">
        <v>239</v>
      </c>
      <c r="D119" t="s">
        <v>820</v>
      </c>
      <c r="E119">
        <v>239</v>
      </c>
    </row>
    <row r="121" spans="1:5" x14ac:dyDescent="0.25">
      <c r="A121" s="380" t="s">
        <v>822</v>
      </c>
      <c r="B121" t="s">
        <v>898</v>
      </c>
      <c r="D121" s="380" t="s">
        <v>822</v>
      </c>
      <c r="E121" s="380" t="s">
        <v>898</v>
      </c>
    </row>
    <row r="122" spans="1:5" x14ac:dyDescent="0.25">
      <c r="A122" s="382" t="s">
        <v>890</v>
      </c>
      <c r="B122" s="381">
        <v>186</v>
      </c>
      <c r="D122" t="s">
        <v>914</v>
      </c>
      <c r="E122">
        <v>186</v>
      </c>
    </row>
    <row r="123" spans="1:5" x14ac:dyDescent="0.25">
      <c r="A123" s="382" t="s">
        <v>891</v>
      </c>
      <c r="B123" s="381">
        <v>42</v>
      </c>
      <c r="D123" t="s">
        <v>915</v>
      </c>
      <c r="E123">
        <v>42</v>
      </c>
    </row>
    <row r="124" spans="1:5" x14ac:dyDescent="0.25">
      <c r="A124" s="382" t="s">
        <v>892</v>
      </c>
      <c r="B124" s="381">
        <v>10</v>
      </c>
      <c r="D124" t="s">
        <v>916</v>
      </c>
      <c r="E124">
        <v>10</v>
      </c>
    </row>
    <row r="125" spans="1:5" x14ac:dyDescent="0.25">
      <c r="A125" s="382" t="s">
        <v>893</v>
      </c>
      <c r="B125" s="381">
        <v>1</v>
      </c>
      <c r="D125" t="s">
        <v>917</v>
      </c>
      <c r="E125">
        <v>1</v>
      </c>
    </row>
    <row r="126" spans="1:5" x14ac:dyDescent="0.25">
      <c r="A126" s="382" t="s">
        <v>820</v>
      </c>
      <c r="B126" s="381">
        <v>239</v>
      </c>
      <c r="D126" t="s">
        <v>820</v>
      </c>
      <c r="E126">
        <v>239</v>
      </c>
    </row>
    <row r="128" spans="1:5" x14ac:dyDescent="0.25">
      <c r="A128" s="380" t="s">
        <v>822</v>
      </c>
      <c r="B128" t="s">
        <v>899</v>
      </c>
      <c r="D128" s="380" t="s">
        <v>822</v>
      </c>
      <c r="E128" s="380" t="s">
        <v>899</v>
      </c>
    </row>
    <row r="129" spans="1:5" x14ac:dyDescent="0.25">
      <c r="A129" s="382" t="s">
        <v>900</v>
      </c>
      <c r="B129" s="381">
        <v>96</v>
      </c>
      <c r="D129" t="s">
        <v>900</v>
      </c>
      <c r="E129">
        <v>96</v>
      </c>
    </row>
    <row r="130" spans="1:5" x14ac:dyDescent="0.25">
      <c r="A130" s="382" t="s">
        <v>901</v>
      </c>
      <c r="B130" s="381">
        <v>62</v>
      </c>
      <c r="D130" t="s">
        <v>901</v>
      </c>
      <c r="E130">
        <v>62</v>
      </c>
    </row>
    <row r="131" spans="1:5" x14ac:dyDescent="0.25">
      <c r="A131" s="382" t="s">
        <v>902</v>
      </c>
      <c r="B131" s="381">
        <v>35</v>
      </c>
      <c r="D131" t="s">
        <v>902</v>
      </c>
      <c r="E131">
        <v>35</v>
      </c>
    </row>
    <row r="132" spans="1:5" x14ac:dyDescent="0.25">
      <c r="A132" s="382" t="s">
        <v>903</v>
      </c>
      <c r="B132" s="381">
        <v>6</v>
      </c>
      <c r="D132" t="s">
        <v>903</v>
      </c>
      <c r="E132">
        <v>6</v>
      </c>
    </row>
    <row r="133" spans="1:5" x14ac:dyDescent="0.25">
      <c r="A133" s="382" t="s">
        <v>904</v>
      </c>
      <c r="B133" s="381">
        <v>25</v>
      </c>
      <c r="D133" t="s">
        <v>904</v>
      </c>
      <c r="E133">
        <v>25</v>
      </c>
    </row>
    <row r="134" spans="1:5" x14ac:dyDescent="0.25">
      <c r="A134" s="382" t="s">
        <v>905</v>
      </c>
      <c r="B134" s="381">
        <v>15</v>
      </c>
      <c r="D134" t="s">
        <v>905</v>
      </c>
      <c r="E134">
        <v>15</v>
      </c>
    </row>
    <row r="135" spans="1:5" x14ac:dyDescent="0.25">
      <c r="A135" s="382" t="s">
        <v>820</v>
      </c>
      <c r="B135" s="381">
        <v>239</v>
      </c>
      <c r="D135" t="s">
        <v>820</v>
      </c>
      <c r="E135">
        <v>239</v>
      </c>
    </row>
    <row r="137" spans="1:5" x14ac:dyDescent="0.25">
      <c r="A137" s="380" t="s">
        <v>822</v>
      </c>
      <c r="B137" t="s">
        <v>906</v>
      </c>
      <c r="D137" t="s">
        <v>822</v>
      </c>
      <c r="E137" t="s">
        <v>906</v>
      </c>
    </row>
    <row r="138" spans="1:5" x14ac:dyDescent="0.25">
      <c r="A138" s="384" t="s">
        <v>907</v>
      </c>
      <c r="B138" s="381">
        <v>23</v>
      </c>
      <c r="D138" t="s">
        <v>907</v>
      </c>
      <c r="E138">
        <v>23</v>
      </c>
    </row>
    <row r="139" spans="1:5" x14ac:dyDescent="0.25">
      <c r="A139" s="384" t="s">
        <v>908</v>
      </c>
      <c r="B139" s="381">
        <v>72</v>
      </c>
      <c r="D139" t="s">
        <v>908</v>
      </c>
      <c r="E139">
        <v>72</v>
      </c>
    </row>
    <row r="140" spans="1:5" x14ac:dyDescent="0.25">
      <c r="A140" s="384" t="s">
        <v>909</v>
      </c>
      <c r="B140" s="381">
        <v>77</v>
      </c>
      <c r="D140" t="s">
        <v>909</v>
      </c>
      <c r="E140">
        <v>77</v>
      </c>
    </row>
    <row r="141" spans="1:5" x14ac:dyDescent="0.25">
      <c r="A141" s="384" t="s">
        <v>910</v>
      </c>
      <c r="B141" s="381">
        <v>40</v>
      </c>
      <c r="D141" t="s">
        <v>910</v>
      </c>
      <c r="E141">
        <v>40</v>
      </c>
    </row>
    <row r="142" spans="1:5" x14ac:dyDescent="0.25">
      <c r="A142" s="384" t="s">
        <v>911</v>
      </c>
      <c r="B142" s="381">
        <v>23</v>
      </c>
      <c r="D142" t="s">
        <v>911</v>
      </c>
      <c r="E142">
        <v>23</v>
      </c>
    </row>
    <row r="143" spans="1:5" x14ac:dyDescent="0.25">
      <c r="A143" s="384" t="s">
        <v>912</v>
      </c>
      <c r="B143" s="381">
        <v>2</v>
      </c>
      <c r="D143" t="s">
        <v>912</v>
      </c>
      <c r="E143">
        <v>2</v>
      </c>
    </row>
    <row r="144" spans="1:5" x14ac:dyDescent="0.25">
      <c r="A144" s="384" t="s">
        <v>913</v>
      </c>
      <c r="B144" s="381">
        <v>2</v>
      </c>
      <c r="D144" t="s">
        <v>913</v>
      </c>
      <c r="E144">
        <v>2</v>
      </c>
    </row>
    <row r="145" spans="1:5" x14ac:dyDescent="0.25">
      <c r="A145" s="384" t="s">
        <v>820</v>
      </c>
      <c r="B145" s="381">
        <v>239</v>
      </c>
      <c r="D145" t="s">
        <v>820</v>
      </c>
      <c r="E145">
        <v>239</v>
      </c>
    </row>
    <row r="147" spans="1:5" x14ac:dyDescent="0.25">
      <c r="A147" s="380" t="s">
        <v>822</v>
      </c>
      <c r="B147" t="s">
        <v>949</v>
      </c>
      <c r="D147" s="380" t="s">
        <v>822</v>
      </c>
      <c r="E147" s="380" t="s">
        <v>949</v>
      </c>
    </row>
    <row r="148" spans="1:5" x14ac:dyDescent="0.25">
      <c r="A148" s="382" t="s">
        <v>943</v>
      </c>
      <c r="B148" s="381">
        <v>104</v>
      </c>
      <c r="D148" t="s">
        <v>943</v>
      </c>
      <c r="E148">
        <v>104</v>
      </c>
    </row>
    <row r="149" spans="1:5" x14ac:dyDescent="0.25">
      <c r="A149" s="382" t="s">
        <v>944</v>
      </c>
      <c r="B149" s="381">
        <v>54</v>
      </c>
      <c r="D149" t="s">
        <v>944</v>
      </c>
      <c r="E149">
        <v>54</v>
      </c>
    </row>
    <row r="150" spans="1:5" x14ac:dyDescent="0.25">
      <c r="A150" s="382" t="s">
        <v>945</v>
      </c>
      <c r="B150" s="381">
        <v>39</v>
      </c>
      <c r="D150" t="s">
        <v>945</v>
      </c>
      <c r="E150">
        <v>39</v>
      </c>
    </row>
    <row r="151" spans="1:5" x14ac:dyDescent="0.25">
      <c r="A151" s="382" t="s">
        <v>946</v>
      </c>
      <c r="B151" s="381">
        <v>26</v>
      </c>
      <c r="D151" t="s">
        <v>946</v>
      </c>
      <c r="E151">
        <v>26</v>
      </c>
    </row>
    <row r="152" spans="1:5" x14ac:dyDescent="0.25">
      <c r="A152" s="382" t="s">
        <v>947</v>
      </c>
      <c r="B152" s="381">
        <v>2</v>
      </c>
      <c r="D152" t="s">
        <v>947</v>
      </c>
      <c r="E152">
        <v>2</v>
      </c>
    </row>
    <row r="153" spans="1:5" x14ac:dyDescent="0.25">
      <c r="A153" s="382" t="s">
        <v>948</v>
      </c>
      <c r="B153" s="381">
        <v>14</v>
      </c>
      <c r="D153" t="s">
        <v>948</v>
      </c>
      <c r="E153">
        <v>14</v>
      </c>
    </row>
    <row r="154" spans="1:5" x14ac:dyDescent="0.25">
      <c r="A154" s="382" t="s">
        <v>820</v>
      </c>
      <c r="B154" s="381">
        <v>239</v>
      </c>
      <c r="D154" t="s">
        <v>820</v>
      </c>
      <c r="E154">
        <v>239</v>
      </c>
    </row>
  </sheetData>
  <customSheetViews>
    <customSheetView guid="{6A3968C5-0A0A-44BD-9D91-8A632DB179F3}" scale="130" topLeftCell="A25">
      <selection activeCell="M27" sqref="M27"/>
      <pageMargins left="0.7" right="0.7" top="0.75" bottom="0.75" header="0.3" footer="0.3"/>
    </customSheetView>
    <customSheetView guid="{F952AE04-5FFA-4EC5-9AC4-659942525BDB}" scale="130" state="hidden" topLeftCell="A25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8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1">
    <tabColor theme="5"/>
  </sheetPr>
  <dimension ref="A5:S32"/>
  <sheetViews>
    <sheetView topLeftCell="B1" zoomScale="130" zoomScaleNormal="85" workbookViewId="0">
      <selection activeCell="M27" sqref="M27"/>
    </sheetView>
  </sheetViews>
  <sheetFormatPr defaultRowHeight="15" x14ac:dyDescent="0.25"/>
  <cols>
    <col min="13" max="15" width="13.85546875" customWidth="1"/>
    <col min="16" max="16" width="18.140625" customWidth="1"/>
  </cols>
  <sheetData>
    <row r="5" spans="13:19" x14ac:dyDescent="0.25">
      <c r="S5" t="s">
        <v>533</v>
      </c>
    </row>
    <row r="15" spans="13:19" ht="17.25" x14ac:dyDescent="0.25">
      <c r="M15" s="273" t="s">
        <v>537</v>
      </c>
      <c r="N15" s="273" t="s">
        <v>536</v>
      </c>
      <c r="O15" s="273" t="s">
        <v>535</v>
      </c>
      <c r="P15" s="273" t="s">
        <v>538</v>
      </c>
      <c r="R15" s="268" t="s">
        <v>520</v>
      </c>
      <c r="S15" s="268" t="s">
        <v>521</v>
      </c>
    </row>
    <row r="16" spans="13:19" x14ac:dyDescent="0.25">
      <c r="M16" s="270">
        <f>5/8*S16</f>
        <v>15.875</v>
      </c>
      <c r="N16" s="271">
        <f>M16^2*PI()/4</f>
        <v>197.93260902246004</v>
      </c>
      <c r="O16" s="272">
        <f>12700*$S$20*1000</f>
        <v>56492.394000000008</v>
      </c>
      <c r="P16" s="272">
        <f>O16/N16</f>
        <v>285.41226369420332</v>
      </c>
      <c r="R16" s="2">
        <v>1</v>
      </c>
      <c r="S16" s="2">
        <v>25.4</v>
      </c>
    </row>
    <row r="17" spans="1:19" x14ac:dyDescent="0.25">
      <c r="M17" s="270">
        <f>5/8*S16</f>
        <v>15.875</v>
      </c>
      <c r="N17" s="271">
        <f>M17^2*PI()/4</f>
        <v>197.93260902246004</v>
      </c>
      <c r="O17" s="272">
        <f>12900*S20*1000</f>
        <v>57382.038</v>
      </c>
      <c r="P17" s="272">
        <f>O17/N17</f>
        <v>289.9069450122222</v>
      </c>
      <c r="R17" s="2">
        <v>3.9370099999999998E-2</v>
      </c>
      <c r="S17" s="2">
        <v>1</v>
      </c>
    </row>
    <row r="18" spans="1:19" x14ac:dyDescent="0.25">
      <c r="M18" s="270">
        <f>1/2*S16</f>
        <v>12.7</v>
      </c>
      <c r="N18" s="271">
        <f>M18^2*PI()/4</f>
        <v>126.67686977437442</v>
      </c>
      <c r="O18" s="272">
        <f>8600*S20*1000</f>
        <v>38254.691999999995</v>
      </c>
      <c r="P18" s="272">
        <f>O18/N18</f>
        <v>301.98640105439807</v>
      </c>
    </row>
    <row r="19" spans="1:19" x14ac:dyDescent="0.25">
      <c r="M19" s="270">
        <f>1/2*S16</f>
        <v>12.7</v>
      </c>
      <c r="N19" s="271">
        <f>M19^2*PI()/4</f>
        <v>126.67686977437442</v>
      </c>
      <c r="O19" s="272">
        <f>8600*S20*1000</f>
        <v>38254.691999999995</v>
      </c>
      <c r="P19" s="272">
        <f>O19/N19</f>
        <v>301.98640105439807</v>
      </c>
      <c r="R19" s="268" t="s">
        <v>522</v>
      </c>
      <c r="S19" s="268" t="s">
        <v>523</v>
      </c>
    </row>
    <row r="20" spans="1:19" x14ac:dyDescent="0.25">
      <c r="R20" s="2">
        <v>1</v>
      </c>
      <c r="S20" s="2">
        <f>4.44822/1000</f>
        <v>4.4482200000000001E-3</v>
      </c>
    </row>
    <row r="21" spans="1:19" x14ac:dyDescent="0.25">
      <c r="R21" s="2">
        <f>0.224809*1000</f>
        <v>224.809</v>
      </c>
      <c r="S21" s="2">
        <v>1</v>
      </c>
    </row>
    <row r="32" spans="1:19" x14ac:dyDescent="0.25">
      <c r="A32" t="s">
        <v>541</v>
      </c>
    </row>
  </sheetData>
  <customSheetViews>
    <customSheetView guid="{6A3968C5-0A0A-44BD-9D91-8A632DB179F3}" scale="130" topLeftCell="B1">
      <selection activeCell="M27" sqref="M27"/>
      <pageMargins left="0.7" right="0.7" top="0.75" bottom="0.75" header="0.3" footer="0.3"/>
      <pageSetup orientation="portrait" verticalDpi="0" r:id="rId1"/>
    </customSheetView>
    <customSheetView guid="{F952AE04-5FFA-4EC5-9AC4-659942525BDB}" scale="130" state="hidden" topLeftCell="B1">
      <selection activeCell="M27" sqref="M27"/>
      <pageMargins left="0.7" right="0.7" top="0.75" bottom="0.75" header="0.3" footer="0.3"/>
      <pageSetup orientation="portrait" verticalDpi="0" r:id="rId2"/>
    </customSheetView>
  </customSheetViews>
  <pageMargins left="0.7" right="0.7" top="0.75" bottom="0.75" header="0.3" footer="0.3"/>
  <pageSetup orientation="portrait" verticalDpi="0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5"/>
  </sheetPr>
  <dimension ref="A1"/>
  <sheetViews>
    <sheetView zoomScale="115" zoomScaleNormal="115" workbookViewId="0">
      <selection activeCell="M27" sqref="M27"/>
    </sheetView>
  </sheetViews>
  <sheetFormatPr defaultRowHeight="15" x14ac:dyDescent="0.25"/>
  <sheetData/>
  <customSheetViews>
    <customSheetView guid="{6A3968C5-0A0A-44BD-9D91-8A632DB179F3}" scale="130" topLeftCell="A7">
      <selection activeCell="M27" sqref="M27"/>
      <pageMargins left="0.7" right="0.7" top="0.75" bottom="0.75" header="0.3" footer="0.3"/>
    </customSheetView>
    <customSheetView guid="{F952AE04-5FFA-4EC5-9AC4-659942525BDB}" scale="130" state="hidden" topLeftCell="A7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5"/>
  </sheetPr>
  <dimension ref="A1"/>
  <sheetViews>
    <sheetView zoomScaleNormal="100" workbookViewId="0">
      <selection activeCell="M27" sqref="M27"/>
    </sheetView>
  </sheetViews>
  <sheetFormatPr defaultRowHeight="15" x14ac:dyDescent="0.25"/>
  <sheetData/>
  <customSheetViews>
    <customSheetView guid="{6A3968C5-0A0A-44BD-9D91-8A632DB179F3}">
      <selection activeCell="M27" sqref="M27"/>
      <pageMargins left="0.7" right="0.7" top="0.75" bottom="0.75" header="0.3" footer="0.3"/>
    </customSheetView>
    <customSheetView guid="{F952AE04-5FFA-4EC5-9AC4-659942525BDB}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24">
    <tabColor theme="5"/>
  </sheetPr>
  <dimension ref="A1"/>
  <sheetViews>
    <sheetView topLeftCell="A34" zoomScaleNormal="70" workbookViewId="0">
      <selection activeCell="M27" sqref="M27"/>
    </sheetView>
  </sheetViews>
  <sheetFormatPr defaultRowHeight="15" x14ac:dyDescent="0.25"/>
  <sheetData/>
  <customSheetViews>
    <customSheetView guid="{6A3968C5-0A0A-44BD-9D91-8A632DB179F3}" topLeftCell="A34">
      <selection activeCell="M27" sqref="M27"/>
      <pageMargins left="0.7" right="0.7" top="0.75" bottom="0.75" header="0.3" footer="0.3"/>
    </customSheetView>
    <customSheetView guid="{F952AE04-5FFA-4EC5-9AC4-659942525BDB}" state="hidden" topLeftCell="A34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4">
    <tabColor theme="5"/>
  </sheetPr>
  <dimension ref="A1"/>
  <sheetViews>
    <sheetView topLeftCell="A106" zoomScale="70" zoomScaleNormal="115" workbookViewId="0">
      <selection activeCell="M27" sqref="M27"/>
    </sheetView>
  </sheetViews>
  <sheetFormatPr defaultRowHeight="15" x14ac:dyDescent="0.25"/>
  <sheetData/>
  <customSheetViews>
    <customSheetView guid="{6A3968C5-0A0A-44BD-9D91-8A632DB179F3}" scale="70" topLeftCell="A106">
      <selection activeCell="M27" sqref="M27"/>
      <pageMargins left="0.7" right="0.7" top="0.75" bottom="0.75" header="0.3" footer="0.3"/>
    </customSheetView>
    <customSheetView guid="{F952AE04-5FFA-4EC5-9AC4-659942525BDB}" scale="70" state="hidden" topLeftCell="A106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23">
    <tabColor theme="5"/>
  </sheetPr>
  <dimension ref="A1"/>
  <sheetViews>
    <sheetView topLeftCell="A7" zoomScale="130" zoomScaleNormal="115" workbookViewId="0">
      <selection activeCell="M27" sqref="M27"/>
    </sheetView>
  </sheetViews>
  <sheetFormatPr defaultRowHeight="15" x14ac:dyDescent="0.25"/>
  <sheetData/>
  <customSheetViews>
    <customSheetView guid="{6A3968C5-0A0A-44BD-9D91-8A632DB179F3}" scale="130" topLeftCell="A7">
      <selection activeCell="M27" sqref="M27"/>
      <pageMargins left="0.7" right="0.7" top="0.75" bottom="0.75" header="0.3" footer="0.3"/>
    </customSheetView>
    <customSheetView guid="{F952AE04-5FFA-4EC5-9AC4-659942525BDB}" scale="130" state="hidden" topLeftCell="A7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7">
    <tabColor theme="5"/>
  </sheetPr>
  <dimension ref="A1"/>
  <sheetViews>
    <sheetView zoomScale="115" zoomScaleNormal="100" workbookViewId="0">
      <selection activeCell="M27" sqref="M27"/>
    </sheetView>
  </sheetViews>
  <sheetFormatPr defaultRowHeight="15" x14ac:dyDescent="0.25"/>
  <sheetData/>
  <customSheetViews>
    <customSheetView guid="{6A3968C5-0A0A-44BD-9D91-8A632DB179F3}" scale="115">
      <selection activeCell="M27" sqref="M27"/>
      <pageMargins left="0.7" right="0.7" top="0.75" bottom="0.75" header="0.3" footer="0.3"/>
    </customSheetView>
    <customSheetView guid="{F952AE04-5FFA-4EC5-9AC4-659942525BDB}" scale="115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22">
    <tabColor theme="5"/>
  </sheetPr>
  <dimension ref="A1"/>
  <sheetViews>
    <sheetView topLeftCell="B19" zoomScale="190" zoomScaleNormal="130" workbookViewId="0">
      <selection activeCell="M27" sqref="M27"/>
    </sheetView>
  </sheetViews>
  <sheetFormatPr defaultRowHeight="15" x14ac:dyDescent="0.25"/>
  <sheetData/>
  <customSheetViews>
    <customSheetView guid="{6A3968C5-0A0A-44BD-9D91-8A632DB179F3}" scale="190" topLeftCell="B19">
      <selection activeCell="M27" sqref="M27"/>
      <pageMargins left="0.7" right="0.7" top="0.75" bottom="0.75" header="0.3" footer="0.3"/>
    </customSheetView>
    <customSheetView guid="{F952AE04-5FFA-4EC5-9AC4-659942525BDB}" scale="190" state="hidden" topLeftCell="B19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theme="5"/>
  </sheetPr>
  <dimension ref="A1"/>
  <sheetViews>
    <sheetView zoomScaleNormal="205" workbookViewId="0">
      <selection activeCell="M27" sqref="M27"/>
    </sheetView>
  </sheetViews>
  <sheetFormatPr defaultRowHeight="15" x14ac:dyDescent="0.25"/>
  <sheetData/>
  <customSheetViews>
    <customSheetView guid="{6A3968C5-0A0A-44BD-9D91-8A632DB179F3}">
      <selection activeCell="M27" sqref="M27"/>
      <pageMargins left="0.7" right="0.7" top="0.75" bottom="0.75" header="0.3" footer="0.3"/>
    </customSheetView>
    <customSheetView guid="{F952AE04-5FFA-4EC5-9AC4-659942525BDB}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Sheet10">
    <tabColor theme="5"/>
  </sheetPr>
  <dimension ref="A55"/>
  <sheetViews>
    <sheetView zoomScale="70" zoomScaleNormal="130" workbookViewId="0">
      <selection activeCell="M27" sqref="M27"/>
    </sheetView>
  </sheetViews>
  <sheetFormatPr defaultRowHeight="15" x14ac:dyDescent="0.25"/>
  <sheetData>
    <row r="55" ht="15.75" customHeight="1" x14ac:dyDescent="0.25"/>
  </sheetData>
  <customSheetViews>
    <customSheetView guid="{6A3968C5-0A0A-44BD-9D91-8A632DB179F3}" scale="70">
      <selection activeCell="M27" sqref="M27"/>
      <pageMargins left="0.7" right="0.7" top="0.75" bottom="0.75" header="0.3" footer="0.3"/>
    </customSheetView>
    <customSheetView guid="{F952AE04-5FFA-4EC5-9AC4-659942525BDB}" scale="70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Sheet16">
    <tabColor theme="5"/>
  </sheetPr>
  <dimension ref="A1"/>
  <sheetViews>
    <sheetView topLeftCell="D1" zoomScale="115" zoomScaleNormal="175" workbookViewId="0">
      <selection activeCell="M27" sqref="M27"/>
    </sheetView>
  </sheetViews>
  <sheetFormatPr defaultRowHeight="15" x14ac:dyDescent="0.25"/>
  <sheetData/>
  <customSheetViews>
    <customSheetView guid="{6A3968C5-0A0A-44BD-9D91-8A632DB179F3}" scale="115" topLeftCell="D1">
      <selection activeCell="M27" sqref="M27"/>
      <pageMargins left="0.7" right="0.7" top="0.75" bottom="0.75" header="0.3" footer="0.3"/>
    </customSheetView>
    <customSheetView guid="{F952AE04-5FFA-4EC5-9AC4-659942525BDB}" scale="115" state="hidden" topLeftCell="D1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theme="5"/>
  </sheetPr>
  <dimension ref="A1"/>
  <sheetViews>
    <sheetView topLeftCell="E1" workbookViewId="0">
      <selection activeCell="M27" sqref="M27"/>
    </sheetView>
  </sheetViews>
  <sheetFormatPr defaultRowHeight="15" x14ac:dyDescent="0.25"/>
  <sheetData/>
  <customSheetViews>
    <customSheetView guid="{6A3968C5-0A0A-44BD-9D91-8A632DB179F3}" topLeftCell="E1">
      <selection activeCell="M27" sqref="M27"/>
      <pageMargins left="0.7" right="0.7" top="0.75" bottom="0.75" header="0.3" footer="0.3"/>
    </customSheetView>
    <customSheetView guid="{F952AE04-5FFA-4EC5-9AC4-659942525BDB}" state="hidden" topLeftCell="E1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7BFFEE-06D9-4426-BC1B-2DAC47F1FEDD}">
  <sheetPr>
    <tabColor theme="5"/>
  </sheetPr>
  <dimension ref="A1"/>
  <sheetViews>
    <sheetView topLeftCell="A16" zoomScale="145" zoomScaleNormal="145" workbookViewId="0">
      <selection activeCell="M27" sqref="M27"/>
    </sheetView>
  </sheetViews>
  <sheetFormatPr defaultRowHeight="15" x14ac:dyDescent="0.25"/>
  <sheetData/>
  <customSheetViews>
    <customSheetView guid="{6A3968C5-0A0A-44BD-9D91-8A632DB179F3}" scale="145" topLeftCell="A16">
      <selection activeCell="O21" sqref="O21"/>
      <pageMargins left="0.7" right="0.7" top="0.75" bottom="0.75" header="0.3" footer="0.3"/>
    </customSheetView>
    <customSheetView guid="{F952AE04-5FFA-4EC5-9AC4-659942525BDB}" scale="145" state="hidden" topLeftCell="A16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Sheet17">
    <tabColor theme="5"/>
  </sheetPr>
  <dimension ref="A1"/>
  <sheetViews>
    <sheetView topLeftCell="A16" zoomScaleNormal="100" workbookViewId="0">
      <selection activeCell="M27" sqref="M27"/>
    </sheetView>
  </sheetViews>
  <sheetFormatPr defaultRowHeight="15" x14ac:dyDescent="0.25"/>
  <sheetData/>
  <customSheetViews>
    <customSheetView guid="{6A3968C5-0A0A-44BD-9D91-8A632DB179F3}" topLeftCell="A16">
      <selection activeCell="M27" sqref="M27"/>
      <pageMargins left="0.7" right="0.7" top="0.75" bottom="0.75" header="0.3" footer="0.3"/>
    </customSheetView>
    <customSheetView guid="{F952AE04-5FFA-4EC5-9AC4-659942525BDB}" state="hidden" topLeftCell="A16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Sheet13">
    <tabColor theme="5"/>
  </sheetPr>
  <dimension ref="A1"/>
  <sheetViews>
    <sheetView zoomScale="115" zoomScaleNormal="130" workbookViewId="0">
      <selection activeCell="M27" sqref="M27"/>
    </sheetView>
  </sheetViews>
  <sheetFormatPr defaultRowHeight="15" x14ac:dyDescent="0.25"/>
  <sheetData/>
  <customSheetViews>
    <customSheetView guid="{6A3968C5-0A0A-44BD-9D91-8A632DB179F3}" scale="115">
      <selection activeCell="M27" sqref="M27"/>
      <pageMargins left="0.7" right="0.7" top="0.75" bottom="0.75" header="0.3" footer="0.3"/>
    </customSheetView>
    <customSheetView guid="{F952AE04-5FFA-4EC5-9AC4-659942525BDB}" scale="115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theme="5"/>
  </sheetPr>
  <dimension ref="A1"/>
  <sheetViews>
    <sheetView zoomScaleNormal="145" workbookViewId="0">
      <selection activeCell="M27" sqref="M27"/>
    </sheetView>
  </sheetViews>
  <sheetFormatPr defaultRowHeight="15" x14ac:dyDescent="0.25"/>
  <sheetData/>
  <customSheetViews>
    <customSheetView guid="{6A3968C5-0A0A-44BD-9D91-8A632DB179F3}">
      <selection activeCell="M27" sqref="M27"/>
      <pageMargins left="0.7" right="0.7" top="0.75" bottom="0.75" header="0.3" footer="0.3"/>
    </customSheetView>
    <customSheetView guid="{F952AE04-5FFA-4EC5-9AC4-659942525BDB}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Sheet20">
    <tabColor theme="5"/>
  </sheetPr>
  <dimension ref="AG89"/>
  <sheetViews>
    <sheetView topLeftCell="I3" zoomScale="145" zoomScaleNormal="85" workbookViewId="0">
      <selection activeCell="M27" sqref="M27"/>
    </sheetView>
  </sheetViews>
  <sheetFormatPr defaultRowHeight="15" x14ac:dyDescent="0.25"/>
  <sheetData>
    <row r="89" spans="33:33" x14ac:dyDescent="0.25">
      <c r="AG89">
        <f>90*4/90</f>
        <v>4</v>
      </c>
    </row>
  </sheetData>
  <customSheetViews>
    <customSheetView guid="{6A3968C5-0A0A-44BD-9D91-8A632DB179F3}" scale="145" topLeftCell="I3">
      <selection activeCell="M27" sqref="M27"/>
      <pageMargins left="0.7" right="0.7" top="0.75" bottom="0.75" header="0.3" footer="0.3"/>
    </customSheetView>
    <customSheetView guid="{F952AE04-5FFA-4EC5-9AC4-659942525BDB}" scale="145" state="hidden" topLeftCell="I3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Sheet19">
    <tabColor theme="5"/>
  </sheetPr>
  <dimension ref="A1"/>
  <sheetViews>
    <sheetView topLeftCell="H1" zoomScale="115" zoomScaleNormal="85" workbookViewId="0">
      <selection activeCell="M27" sqref="M27"/>
    </sheetView>
  </sheetViews>
  <sheetFormatPr defaultRowHeight="15" x14ac:dyDescent="0.25"/>
  <sheetData/>
  <customSheetViews>
    <customSheetView guid="{6A3968C5-0A0A-44BD-9D91-8A632DB179F3}" scale="115" topLeftCell="H1">
      <selection activeCell="M27" sqref="M27"/>
      <pageMargins left="0.7" right="0.7" top="0.75" bottom="0.75" header="0.3" footer="0.3"/>
    </customSheetView>
    <customSheetView guid="{F952AE04-5FFA-4EC5-9AC4-659942525BDB}" scale="115" state="hidden" topLeftCell="H1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Sheet15">
    <tabColor theme="5"/>
  </sheetPr>
  <dimension ref="AA10:AI12"/>
  <sheetViews>
    <sheetView topLeftCell="A4" zoomScale="115" zoomScaleNormal="70" workbookViewId="0">
      <selection activeCell="M27" sqref="M27"/>
    </sheetView>
  </sheetViews>
  <sheetFormatPr defaultRowHeight="15" x14ac:dyDescent="0.25"/>
  <sheetData>
    <row r="10" spans="27:35" x14ac:dyDescent="0.25">
      <c r="AA10" t="s">
        <v>604</v>
      </c>
    </row>
    <row r="12" spans="27:35" x14ac:dyDescent="0.25">
      <c r="AI12" t="s">
        <v>603</v>
      </c>
    </row>
  </sheetData>
  <customSheetViews>
    <customSheetView guid="{6A3968C5-0A0A-44BD-9D91-8A632DB179F3}" scale="115" topLeftCell="A4">
      <selection activeCell="M27" sqref="M27"/>
      <pageMargins left="0.7" right="0.7" top="0.75" bottom="0.75" header="0.3" footer="0.3"/>
    </customSheetView>
    <customSheetView guid="{F952AE04-5FFA-4EC5-9AC4-659942525BDB}" scale="115" state="hidden" topLeftCell="A4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Sheet18">
    <tabColor theme="5"/>
  </sheetPr>
  <dimension ref="A1"/>
  <sheetViews>
    <sheetView topLeftCell="A4" workbookViewId="0">
      <selection activeCell="M27" sqref="M27"/>
    </sheetView>
  </sheetViews>
  <sheetFormatPr defaultRowHeight="15" x14ac:dyDescent="0.25"/>
  <sheetData/>
  <customSheetViews>
    <customSheetView guid="{6A3968C5-0A0A-44BD-9D91-8A632DB179F3}" topLeftCell="A4">
      <selection activeCell="M27" sqref="M27"/>
      <pageMargins left="0.7" right="0.7" top="0.75" bottom="0.75" header="0.3" footer="0.3"/>
    </customSheetView>
    <customSheetView guid="{F952AE04-5FFA-4EC5-9AC4-659942525BDB}" state="hidden" topLeftCell="A4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Sheet9">
    <tabColor theme="5"/>
  </sheetPr>
  <dimension ref="A1"/>
  <sheetViews>
    <sheetView zoomScale="85" zoomScaleNormal="85" workbookViewId="0">
      <selection activeCell="M27" sqref="M27"/>
    </sheetView>
  </sheetViews>
  <sheetFormatPr defaultRowHeight="15" x14ac:dyDescent="0.25"/>
  <sheetData/>
  <customSheetViews>
    <customSheetView guid="{6A3968C5-0A0A-44BD-9D91-8A632DB179F3}" scale="85">
      <selection activeCell="M27" sqref="M27"/>
      <pageMargins left="0.7" right="0.7" top="0.75" bottom="0.75" header="0.3" footer="0.3"/>
    </customSheetView>
    <customSheetView guid="{F952AE04-5FFA-4EC5-9AC4-659942525BDB}" scale="85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Sheet8">
    <tabColor theme="5"/>
  </sheetPr>
  <dimension ref="A1"/>
  <sheetViews>
    <sheetView topLeftCell="A5" zoomScale="70" zoomScaleNormal="70" workbookViewId="0">
      <selection activeCell="M27" sqref="M27"/>
    </sheetView>
  </sheetViews>
  <sheetFormatPr defaultRowHeight="15" x14ac:dyDescent="0.25"/>
  <sheetData/>
  <customSheetViews>
    <customSheetView guid="{6A3968C5-0A0A-44BD-9D91-8A632DB179F3}" scale="70" topLeftCell="A5">
      <selection activeCell="M27" sqref="M27"/>
      <pageMargins left="0.7" right="0.7" top="0.75" bottom="0.75" header="0.3" footer="0.3"/>
    </customSheetView>
    <customSheetView guid="{F952AE04-5FFA-4EC5-9AC4-659942525BDB}" scale="70" state="hidden" topLeftCell="A5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53DC56-707D-40A4-A15E-CA8ABB838D09}">
  <sheetPr>
    <tabColor theme="5"/>
  </sheetPr>
  <dimension ref="B142:B143"/>
  <sheetViews>
    <sheetView topLeftCell="A103" zoomScaleNormal="100" workbookViewId="0">
      <selection activeCell="M27" sqref="M27"/>
    </sheetView>
  </sheetViews>
  <sheetFormatPr defaultRowHeight="15" x14ac:dyDescent="0.25"/>
  <sheetData>
    <row r="142" spans="2:2" x14ac:dyDescent="0.25">
      <c r="B142" t="s">
        <v>971</v>
      </c>
    </row>
    <row r="143" spans="2:2" x14ac:dyDescent="0.25">
      <c r="B143" t="s">
        <v>970</v>
      </c>
    </row>
  </sheetData>
  <customSheetViews>
    <customSheetView guid="{6A3968C5-0A0A-44BD-9D91-8A632DB179F3}" topLeftCell="A103">
      <selection activeCell="AF22" sqref="AF22"/>
      <pageMargins left="0.7" right="0.7" top="0.75" bottom="0.75" header="0.3" footer="0.3"/>
    </customSheetView>
    <customSheetView guid="{F952AE04-5FFA-4EC5-9AC4-659942525BDB}" state="hidden" topLeftCell="A103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662CD1-C660-4FEC-8A63-264B69BFB80E}">
  <sheetPr>
    <tabColor theme="5"/>
  </sheetPr>
  <dimension ref="A1"/>
  <sheetViews>
    <sheetView topLeftCell="C1" zoomScale="70" zoomScaleNormal="70" workbookViewId="0">
      <selection activeCell="M27" sqref="M27"/>
    </sheetView>
  </sheetViews>
  <sheetFormatPr defaultRowHeight="15" x14ac:dyDescent="0.25"/>
  <sheetData/>
  <customSheetViews>
    <customSheetView guid="{6A3968C5-0A0A-44BD-9D91-8A632DB179F3}" scale="70" topLeftCell="C1">
      <selection activeCell="AF22" sqref="AF22"/>
      <pageMargins left="0.7" right="0.7" top="0.75" bottom="0.75" header="0.3" footer="0.3"/>
    </customSheetView>
    <customSheetView guid="{F952AE04-5FFA-4EC5-9AC4-659942525BDB}" scale="70" state="hidden" topLeftCell="C1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74943E-0B69-41B5-95AC-6FD42436E051}">
  <sheetPr>
    <tabColor theme="5"/>
  </sheetPr>
  <dimension ref="A1"/>
  <sheetViews>
    <sheetView zoomScale="85" zoomScaleNormal="85" workbookViewId="0">
      <selection activeCell="M27" sqref="M27"/>
    </sheetView>
  </sheetViews>
  <sheetFormatPr defaultRowHeight="15" x14ac:dyDescent="0.25"/>
  <sheetData/>
  <customSheetViews>
    <customSheetView guid="{6A3968C5-0A0A-44BD-9D91-8A632DB179F3}" scale="85">
      <selection activeCell="AF22" sqref="AF22"/>
      <pageMargins left="0.7" right="0.7" top="0.75" bottom="0.75" header="0.3" footer="0.3"/>
    </customSheetView>
    <customSheetView guid="{F952AE04-5FFA-4EC5-9AC4-659942525BDB}" scale="85" state="hidden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 codeName="Sheet4">
    <tabColor theme="5"/>
  </sheetPr>
  <dimension ref="A1"/>
  <sheetViews>
    <sheetView topLeftCell="AD10" zoomScale="85" zoomScaleNormal="70" workbookViewId="0">
      <selection activeCell="M27" sqref="M27"/>
    </sheetView>
  </sheetViews>
  <sheetFormatPr defaultRowHeight="15" x14ac:dyDescent="0.25"/>
  <sheetData/>
  <customSheetViews>
    <customSheetView guid="{6A3968C5-0A0A-44BD-9D91-8A632DB179F3}" scale="85" topLeftCell="AD10">
      <selection activeCell="AU20" sqref="AU20"/>
      <pageMargins left="0.7" right="0.7" top="0.75" bottom="0.75" header="0.3" footer="0.3"/>
    </customSheetView>
    <customSheetView guid="{F952AE04-5FFA-4EC5-9AC4-659942525BDB}" scale="85" state="hidden" topLeftCell="AD10">
      <selection activeCell="M27" sqref="M27"/>
      <pageMargins left="0.7" right="0.7" top="0.75" bottom="0.75" header="0.3" footer="0.3"/>
    </customSheetView>
  </customSheetView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33</vt:i4>
      </vt:variant>
    </vt:vector>
  </HeadingPairs>
  <TitlesOfParts>
    <vt:vector size="33" baseType="lpstr">
      <vt:lpstr>Prisms</vt:lpstr>
      <vt:lpstr>OAN DATABASE</vt:lpstr>
      <vt:lpstr>AGUILAR DATABASE</vt:lpstr>
      <vt:lpstr>Lists</vt:lpstr>
      <vt:lpstr>#ofWalls</vt:lpstr>
      <vt:lpstr>COMPILED</vt:lpstr>
      <vt:lpstr>Histograms</vt:lpstr>
      <vt:lpstr>Scrivener67</vt:lpstr>
      <vt:lpstr>Meli68</vt:lpstr>
      <vt:lpstr>Meli69</vt:lpstr>
      <vt:lpstr>Mayes76</vt:lpstr>
      <vt:lpstr>ChenHidalgo78</vt:lpstr>
      <vt:lpstr>Thurston82</vt:lpstr>
      <vt:lpstr>Matsumara87</vt:lpstr>
      <vt:lpstr>TomazevicLutman88</vt:lpstr>
      <vt:lpstr>JohalAnderson88</vt:lpstr>
      <vt:lpstr>YanceyScribner89</vt:lpstr>
      <vt:lpstr>Ghanem92</vt:lpstr>
      <vt:lpstr>Ghanem93</vt:lpstr>
      <vt:lpstr>Tomazevic96</vt:lpstr>
      <vt:lpstr>Schultz96,98</vt:lpstr>
      <vt:lpstr>Voon06</vt:lpstr>
      <vt:lpstr>Haach07</vt:lpstr>
      <vt:lpstr>Maleki09</vt:lpstr>
      <vt:lpstr>Elmapruk10</vt:lpstr>
      <vt:lpstr>Minaie10</vt:lpstr>
      <vt:lpstr>BaenzigerPorter11</vt:lpstr>
      <vt:lpstr>Nolph12</vt:lpstr>
      <vt:lpstr>Oan13</vt:lpstr>
      <vt:lpstr>Hoque13</vt:lpstr>
      <vt:lpstr>Hamedzadeh13</vt:lpstr>
      <vt:lpstr>Rizaee15</vt:lpstr>
      <vt:lpstr>Ramirez16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Jellyfish</dc:creator>
  <cp:lastModifiedBy>Dr. Lobo</cp:lastModifiedBy>
  <cp:lastPrinted>2017-01-09T15:14:45Z</cp:lastPrinted>
  <dcterms:created xsi:type="dcterms:W3CDTF">2016-11-17T22:50:36Z</dcterms:created>
  <dcterms:modified xsi:type="dcterms:W3CDTF">2022-01-17T00:00:20Z</dcterms:modified>
</cp:coreProperties>
</file>